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rancisco\Desktop\ng_crisis_EU_2022_LCA\data\scenarios\"/>
    </mc:Choice>
  </mc:AlternateContent>
  <xr:revisionPtr revIDLastSave="0" documentId="13_ncr:1_{98B6833F-A52C-451F-900B-07F2D2D43367}" xr6:coauthVersionLast="36" xr6:coauthVersionMax="47" xr10:uidLastSave="{00000000-0000-0000-0000-000000000000}"/>
  <bookViews>
    <workbookView xWindow="0" yWindow="-120" windowWidth="24240" windowHeight="12345" activeTab="1" xr2:uid="{3B7BC339-50EF-4251-A8E6-9107327FA0E7}"/>
  </bookViews>
  <sheets>
    <sheet name="supply" sheetId="7" r:id="rId1"/>
    <sheet name="demand" sheetId="6" r:id="rId2"/>
    <sheet name="supply_old" sheetId="1" r:id="rId3"/>
    <sheet name="demand_old" sheetId="2" r:id="rId4"/>
    <sheet name="demand_2021" sheetId="3" r:id="rId5"/>
    <sheet name="demand_2022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6" l="1"/>
  <c r="P32" i="6"/>
  <c r="G25" i="6" l="1"/>
  <c r="D28" i="6"/>
  <c r="F21" i="7"/>
  <c r="B38" i="6" l="1"/>
  <c r="G31" i="6" l="1"/>
  <c r="G29" i="6"/>
  <c r="G32" i="6" s="1"/>
  <c r="G28" i="6" s="1"/>
  <c r="G30" i="6"/>
  <c r="G27" i="6"/>
  <c r="G26" i="6"/>
  <c r="G12" i="6"/>
  <c r="G11" i="6"/>
  <c r="G7" i="6"/>
  <c r="G6" i="6"/>
  <c r="G4" i="6"/>
  <c r="G5" i="6"/>
  <c r="K9" i="7" l="1"/>
  <c r="K8" i="7"/>
  <c r="K7" i="7"/>
  <c r="K5" i="7"/>
  <c r="K3" i="7"/>
  <c r="K21" i="7" l="1"/>
  <c r="J21" i="7"/>
  <c r="J19" i="7" l="1"/>
  <c r="D21" i="7"/>
  <c r="D34" i="6"/>
  <c r="J34" i="6" l="1"/>
  <c r="G34" i="6"/>
  <c r="P34" i="6"/>
  <c r="D22" i="7"/>
  <c r="F22" i="7"/>
  <c r="H22" i="7"/>
  <c r="J22" i="7"/>
  <c r="L22" i="7"/>
  <c r="N22" i="7"/>
  <c r="D23" i="7"/>
  <c r="F23" i="7"/>
  <c r="H23" i="7"/>
  <c r="J23" i="7"/>
  <c r="L23" i="7"/>
  <c r="N23" i="7"/>
  <c r="I18" i="1"/>
  <c r="I17" i="1"/>
  <c r="I16" i="1"/>
  <c r="I15" i="1"/>
  <c r="I14" i="1"/>
  <c r="I11" i="1"/>
  <c r="I10" i="1"/>
  <c r="I9" i="1"/>
  <c r="I8" i="1"/>
  <c r="I7" i="1"/>
  <c r="I5" i="1"/>
  <c r="I3" i="1"/>
  <c r="J4" i="6"/>
  <c r="L4" i="6" s="1"/>
  <c r="J3" i="6"/>
  <c r="R20" i="7"/>
  <c r="R19" i="7"/>
  <c r="R16" i="7"/>
  <c r="R15" i="7"/>
  <c r="R14" i="7"/>
  <c r="R13" i="7"/>
  <c r="R12" i="7"/>
  <c r="R11" i="7"/>
  <c r="R10" i="7"/>
  <c r="R9" i="7"/>
  <c r="R8" i="7"/>
  <c r="P14" i="7"/>
  <c r="P20" i="7"/>
  <c r="P19" i="7"/>
  <c r="P16" i="7"/>
  <c r="P15" i="7"/>
  <c r="P13" i="7"/>
  <c r="P12" i="7"/>
  <c r="P11" i="7"/>
  <c r="P10" i="7"/>
  <c r="P9" i="7"/>
  <c r="P8" i="7"/>
  <c r="R7" i="7"/>
  <c r="R6" i="7"/>
  <c r="R5" i="7"/>
  <c r="R4" i="7"/>
  <c r="R3" i="7"/>
  <c r="R2" i="7"/>
  <c r="P7" i="7"/>
  <c r="P6" i="7"/>
  <c r="P5" i="7"/>
  <c r="P4" i="7"/>
  <c r="P3" i="7"/>
  <c r="P2" i="7"/>
  <c r="N7" i="7"/>
  <c r="N6" i="7"/>
  <c r="N5" i="7"/>
  <c r="N4" i="7"/>
  <c r="N3" i="7"/>
  <c r="N2" i="7"/>
  <c r="L7" i="7"/>
  <c r="L6" i="7"/>
  <c r="L5" i="7"/>
  <c r="L4" i="7"/>
  <c r="L3" i="7"/>
  <c r="L2" i="7"/>
  <c r="J7" i="7"/>
  <c r="J6" i="7"/>
  <c r="J5" i="7"/>
  <c r="J4" i="7"/>
  <c r="J3" i="7"/>
  <c r="J2" i="7"/>
  <c r="H7" i="7"/>
  <c r="H6" i="7"/>
  <c r="H5" i="7"/>
  <c r="H4" i="7"/>
  <c r="H3" i="7"/>
  <c r="H2" i="7"/>
  <c r="F3" i="7"/>
  <c r="F4" i="7"/>
  <c r="F5" i="7"/>
  <c r="F6" i="7"/>
  <c r="F7" i="7"/>
  <c r="F2" i="7"/>
  <c r="S20" i="7"/>
  <c r="S19" i="7"/>
  <c r="S2" i="7"/>
  <c r="D18" i="7"/>
  <c r="P18" i="7" s="1"/>
  <c r="D17" i="7"/>
  <c r="E11" i="7" s="1"/>
  <c r="R4" i="6"/>
  <c r="R5" i="6"/>
  <c r="R8" i="6"/>
  <c r="R9" i="6"/>
  <c r="R10" i="6"/>
  <c r="R11" i="6"/>
  <c r="R14" i="6"/>
  <c r="R15" i="6"/>
  <c r="R16" i="6"/>
  <c r="R17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L6" i="6"/>
  <c r="L7" i="6"/>
  <c r="L8" i="6"/>
  <c r="L9" i="6"/>
  <c r="L10" i="6"/>
  <c r="L11" i="6"/>
  <c r="L12" i="6"/>
  <c r="L14" i="6"/>
  <c r="L15" i="6"/>
  <c r="L16" i="6"/>
  <c r="L1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F18" i="7"/>
  <c r="F17" i="7" s="1"/>
  <c r="R17" i="7" s="1"/>
  <c r="Q20" i="7"/>
  <c r="Q19" i="7"/>
  <c r="Q2" i="7"/>
  <c r="J17" i="1"/>
  <c r="J32" i="6"/>
  <c r="J29" i="6"/>
  <c r="J5" i="6"/>
  <c r="L5" i="6" s="1"/>
  <c r="H30" i="6"/>
  <c r="H31" i="6"/>
  <c r="H10" i="6"/>
  <c r="H4" i="6"/>
  <c r="P7" i="6"/>
  <c r="R7" i="6" s="1"/>
  <c r="P6" i="6"/>
  <c r="R6" i="6" s="1"/>
  <c r="R12" i="6"/>
  <c r="M4" i="6"/>
  <c r="O4" i="6" s="1"/>
  <c r="F25" i="2"/>
  <c r="G18" i="6"/>
  <c r="G13" i="6"/>
  <c r="H29" i="6"/>
  <c r="H15" i="6"/>
  <c r="H14" i="6"/>
  <c r="B37" i="6"/>
  <c r="AA29" i="6"/>
  <c r="B39" i="6" s="1"/>
  <c r="F18" i="6" s="1"/>
  <c r="AA28" i="6"/>
  <c r="B40" i="6" s="1"/>
  <c r="AB20" i="6"/>
  <c r="AB22" i="6" s="1"/>
  <c r="Z20" i="6"/>
  <c r="Z22" i="6" s="1"/>
  <c r="Y20" i="6"/>
  <c r="Y22" i="6" s="1"/>
  <c r="AD19" i="6"/>
  <c r="AD20" i="6" s="1"/>
  <c r="AD22" i="6" s="1"/>
  <c r="AC19" i="6"/>
  <c r="AC20" i="6" s="1"/>
  <c r="AC22" i="6" s="1"/>
  <c r="AB19" i="6"/>
  <c r="AA19" i="6"/>
  <c r="AA20" i="6" s="1"/>
  <c r="AA22" i="6" s="1"/>
  <c r="Z19" i="6"/>
  <c r="Y19" i="6"/>
  <c r="Q28" i="6"/>
  <c r="P23" i="6"/>
  <c r="P18" i="6"/>
  <c r="Q18" i="6" s="1"/>
  <c r="Q17" i="6"/>
  <c r="Q16" i="6"/>
  <c r="Q14" i="6"/>
  <c r="P13" i="6"/>
  <c r="R13" i="6" s="1"/>
  <c r="Q7" i="6"/>
  <c r="N32" i="6"/>
  <c r="N29" i="6"/>
  <c r="M28" i="6"/>
  <c r="N28" i="6" s="1"/>
  <c r="M23" i="6"/>
  <c r="M18" i="6"/>
  <c r="N15" i="6"/>
  <c r="N14" i="6"/>
  <c r="M13" i="6"/>
  <c r="N13" i="6" s="1"/>
  <c r="J18" i="6"/>
  <c r="K17" i="6"/>
  <c r="J13" i="6"/>
  <c r="L13" i="6" s="1"/>
  <c r="F4" i="6"/>
  <c r="F5" i="6"/>
  <c r="F6" i="6"/>
  <c r="F7" i="6"/>
  <c r="F8" i="6"/>
  <c r="F9" i="6"/>
  <c r="F10" i="6"/>
  <c r="F11" i="6"/>
  <c r="F12" i="6"/>
  <c r="F14" i="6"/>
  <c r="F15" i="6"/>
  <c r="F16" i="6"/>
  <c r="F17" i="6"/>
  <c r="E32" i="6"/>
  <c r="D23" i="6"/>
  <c r="E27" i="6" s="1"/>
  <c r="D18" i="6"/>
  <c r="Q22" i="6" s="1"/>
  <c r="D13" i="6"/>
  <c r="H17" i="6" s="1"/>
  <c r="D3" i="6"/>
  <c r="K9" i="6" s="1"/>
  <c r="D23" i="4"/>
  <c r="D28" i="4"/>
  <c r="D23" i="3"/>
  <c r="D35" i="3"/>
  <c r="D34" i="3"/>
  <c r="D34" i="4"/>
  <c r="D35" i="4"/>
  <c r="D33" i="3"/>
  <c r="D18" i="4"/>
  <c r="D13" i="4"/>
  <c r="D3" i="4"/>
  <c r="D18" i="3"/>
  <c r="D13" i="3"/>
  <c r="D3" i="3"/>
  <c r="D33" i="4"/>
  <c r="B40" i="2"/>
  <c r="B39" i="2"/>
  <c r="D28" i="2"/>
  <c r="D28" i="3"/>
  <c r="D44" i="4"/>
  <c r="G42" i="4"/>
  <c r="F42" i="4"/>
  <c r="I41" i="4"/>
  <c r="I42" i="4" s="1"/>
  <c r="H41" i="4"/>
  <c r="H42" i="4" s="1"/>
  <c r="G41" i="4"/>
  <c r="F41" i="4"/>
  <c r="H32" i="4"/>
  <c r="F32" i="4"/>
  <c r="G32" i="4" s="1"/>
  <c r="F31" i="4"/>
  <c r="G31" i="4" s="1"/>
  <c r="F30" i="4"/>
  <c r="G30" i="4" s="1"/>
  <c r="O29" i="4"/>
  <c r="Z28" i="4"/>
  <c r="F29" i="4" s="1"/>
  <c r="G29" i="4" s="1"/>
  <c r="H28" i="4"/>
  <c r="I28" i="4" s="1"/>
  <c r="M29" i="4"/>
  <c r="M26" i="4"/>
  <c r="K26" i="4"/>
  <c r="I26" i="4"/>
  <c r="K24" i="4"/>
  <c r="I24" i="4"/>
  <c r="G24" i="4"/>
  <c r="E24" i="4"/>
  <c r="N23" i="4"/>
  <c r="L23" i="4"/>
  <c r="M23" i="4" s="1"/>
  <c r="J23" i="4"/>
  <c r="H23" i="4"/>
  <c r="O23" i="4"/>
  <c r="O22" i="4"/>
  <c r="M22" i="4"/>
  <c r="K22" i="4"/>
  <c r="I22" i="4"/>
  <c r="G22" i="4"/>
  <c r="E22" i="4"/>
  <c r="O21" i="4"/>
  <c r="M21" i="4"/>
  <c r="K21" i="4"/>
  <c r="I21" i="4"/>
  <c r="G21" i="4"/>
  <c r="E21" i="4"/>
  <c r="AC20" i="4"/>
  <c r="AC22" i="4" s="1"/>
  <c r="AB20" i="4"/>
  <c r="AB22" i="4" s="1"/>
  <c r="O20" i="4"/>
  <c r="M20" i="4"/>
  <c r="K20" i="4"/>
  <c r="I20" i="4"/>
  <c r="G20" i="4"/>
  <c r="E20" i="4"/>
  <c r="AC19" i="4"/>
  <c r="AB19" i="4"/>
  <c r="AA19" i="4"/>
  <c r="AA20" i="4" s="1"/>
  <c r="AA22" i="4" s="1"/>
  <c r="Z19" i="4"/>
  <c r="Z20" i="4" s="1"/>
  <c r="Z22" i="4" s="1"/>
  <c r="Y19" i="4"/>
  <c r="Y20" i="4" s="1"/>
  <c r="Y22" i="4" s="1"/>
  <c r="X19" i="4"/>
  <c r="X20" i="4" s="1"/>
  <c r="X22" i="4" s="1"/>
  <c r="X24" i="4" s="1"/>
  <c r="O19" i="4"/>
  <c r="M19" i="4"/>
  <c r="K19" i="4"/>
  <c r="I19" i="4"/>
  <c r="G19" i="4"/>
  <c r="E19" i="4"/>
  <c r="O18" i="4"/>
  <c r="M18" i="4"/>
  <c r="K18" i="4"/>
  <c r="I18" i="4"/>
  <c r="G18" i="4"/>
  <c r="E18" i="4"/>
  <c r="M14" i="4"/>
  <c r="N13" i="4"/>
  <c r="L13" i="4"/>
  <c r="J13" i="4"/>
  <c r="K13" i="4" s="1"/>
  <c r="H13" i="4"/>
  <c r="I13" i="4" s="1"/>
  <c r="F13" i="4"/>
  <c r="G13" i="4" s="1"/>
  <c r="G17" i="4"/>
  <c r="G12" i="4"/>
  <c r="F12" i="4"/>
  <c r="F11" i="4"/>
  <c r="K10" i="4"/>
  <c r="I10" i="4"/>
  <c r="G10" i="4"/>
  <c r="E10" i="4"/>
  <c r="O9" i="4"/>
  <c r="E9" i="4"/>
  <c r="O7" i="4"/>
  <c r="N7" i="4"/>
  <c r="M7" i="4"/>
  <c r="K7" i="4"/>
  <c r="I7" i="4"/>
  <c r="H7" i="4"/>
  <c r="F7" i="4"/>
  <c r="G7" i="4" s="1"/>
  <c r="O6" i="4"/>
  <c r="N6" i="4"/>
  <c r="H6" i="4"/>
  <c r="I6" i="4" s="1"/>
  <c r="F6" i="4"/>
  <c r="G6" i="4" s="1"/>
  <c r="E6" i="4"/>
  <c r="O5" i="4"/>
  <c r="M5" i="4"/>
  <c r="K5" i="4"/>
  <c r="J5" i="4"/>
  <c r="F5" i="4"/>
  <c r="G5" i="4" s="1"/>
  <c r="E5" i="4"/>
  <c r="L4" i="4"/>
  <c r="J4" i="4"/>
  <c r="K4" i="4" s="1"/>
  <c r="G4" i="4"/>
  <c r="F4" i="4"/>
  <c r="F3" i="4" s="1"/>
  <c r="E4" i="4"/>
  <c r="N3" i="4"/>
  <c r="O3" i="4" s="1"/>
  <c r="L3" i="4"/>
  <c r="M3" i="4" s="1"/>
  <c r="J3" i="4"/>
  <c r="K3" i="4" s="1"/>
  <c r="I3" i="4"/>
  <c r="H3" i="4"/>
  <c r="D44" i="3"/>
  <c r="G42" i="3"/>
  <c r="I41" i="3"/>
  <c r="I42" i="3" s="1"/>
  <c r="H41" i="3"/>
  <c r="H42" i="3" s="1"/>
  <c r="G41" i="3"/>
  <c r="F41" i="3"/>
  <c r="F42" i="3" s="1"/>
  <c r="D41" i="3"/>
  <c r="H32" i="3"/>
  <c r="F32" i="3"/>
  <c r="F31" i="3"/>
  <c r="F30" i="3"/>
  <c r="F29" i="3"/>
  <c r="Z28" i="3"/>
  <c r="H28" i="3"/>
  <c r="M26" i="3"/>
  <c r="K26" i="3"/>
  <c r="I26" i="3"/>
  <c r="M25" i="3"/>
  <c r="E25" i="3"/>
  <c r="K24" i="3"/>
  <c r="I24" i="3"/>
  <c r="G24" i="3"/>
  <c r="E24" i="3"/>
  <c r="N23" i="3"/>
  <c r="O23" i="3" s="1"/>
  <c r="L23" i="3"/>
  <c r="M23" i="3" s="1"/>
  <c r="J23" i="3"/>
  <c r="K23" i="3" s="1"/>
  <c r="I23" i="3"/>
  <c r="H23" i="3"/>
  <c r="E26" i="3"/>
  <c r="O22" i="3"/>
  <c r="M22" i="3"/>
  <c r="K22" i="3"/>
  <c r="I22" i="3"/>
  <c r="G22" i="3"/>
  <c r="E22" i="3"/>
  <c r="O21" i="3"/>
  <c r="M21" i="3"/>
  <c r="K21" i="3"/>
  <c r="I21" i="3"/>
  <c r="G21" i="3"/>
  <c r="E21" i="3"/>
  <c r="AC20" i="3"/>
  <c r="AC22" i="3" s="1"/>
  <c r="AB20" i="3"/>
  <c r="AB22" i="3" s="1"/>
  <c r="O20" i="3"/>
  <c r="M20" i="3"/>
  <c r="K20" i="3"/>
  <c r="I20" i="3"/>
  <c r="G20" i="3"/>
  <c r="E20" i="3"/>
  <c r="AC19" i="3"/>
  <c r="AB19" i="3"/>
  <c r="AA19" i="3"/>
  <c r="AA20" i="3" s="1"/>
  <c r="AA22" i="3" s="1"/>
  <c r="Z19" i="3"/>
  <c r="Z20" i="3" s="1"/>
  <c r="Z22" i="3" s="1"/>
  <c r="Y19" i="3"/>
  <c r="Y20" i="3" s="1"/>
  <c r="Y22" i="3" s="1"/>
  <c r="X19" i="3"/>
  <c r="X20" i="3" s="1"/>
  <c r="X22" i="3" s="1"/>
  <c r="X24" i="3" s="1"/>
  <c r="O19" i="3"/>
  <c r="M19" i="3"/>
  <c r="K19" i="3"/>
  <c r="I19" i="3"/>
  <c r="G19" i="3"/>
  <c r="E19" i="3"/>
  <c r="O18" i="3"/>
  <c r="M18" i="3"/>
  <c r="K18" i="3"/>
  <c r="I18" i="3"/>
  <c r="G18" i="3"/>
  <c r="E18" i="3"/>
  <c r="N13" i="3"/>
  <c r="O13" i="3" s="1"/>
  <c r="L13" i="3"/>
  <c r="J13" i="3"/>
  <c r="K13" i="3" s="1"/>
  <c r="H13" i="3"/>
  <c r="I13" i="3" s="1"/>
  <c r="F13" i="3"/>
  <c r="G13" i="3" s="1"/>
  <c r="G17" i="3"/>
  <c r="F12" i="3"/>
  <c r="G12" i="3" s="1"/>
  <c r="F11" i="3"/>
  <c r="G11" i="3" s="1"/>
  <c r="G10" i="3"/>
  <c r="E10" i="3"/>
  <c r="O9" i="3"/>
  <c r="N7" i="3"/>
  <c r="O7" i="3" s="1"/>
  <c r="M7" i="3"/>
  <c r="K7" i="3"/>
  <c r="I7" i="3"/>
  <c r="H7" i="3"/>
  <c r="F7" i="3"/>
  <c r="N6" i="3"/>
  <c r="O6" i="3" s="1"/>
  <c r="H6" i="3"/>
  <c r="I6" i="3" s="1"/>
  <c r="F6" i="3"/>
  <c r="G6" i="3" s="1"/>
  <c r="O5" i="3"/>
  <c r="M5" i="3"/>
  <c r="K5" i="3"/>
  <c r="J5" i="3"/>
  <c r="F5" i="3"/>
  <c r="G5" i="3" s="1"/>
  <c r="L4" i="3"/>
  <c r="J4" i="3"/>
  <c r="K4" i="3" s="1"/>
  <c r="F4" i="3"/>
  <c r="G4" i="3" s="1"/>
  <c r="E4" i="3"/>
  <c r="N3" i="3"/>
  <c r="O3" i="3" s="1"/>
  <c r="L3" i="3"/>
  <c r="M3" i="3" s="1"/>
  <c r="J3" i="3"/>
  <c r="K3" i="3" s="1"/>
  <c r="H3" i="3"/>
  <c r="I3" i="3" s="1"/>
  <c r="G23" i="6" l="1"/>
  <c r="K25" i="6"/>
  <c r="N4" i="6"/>
  <c r="H11" i="6"/>
  <c r="Q24" i="6"/>
  <c r="Q25" i="6"/>
  <c r="H16" i="6"/>
  <c r="H9" i="6"/>
  <c r="K26" i="6"/>
  <c r="H8" i="6"/>
  <c r="H24" i="6"/>
  <c r="H25" i="6"/>
  <c r="D33" i="6"/>
  <c r="D35" i="6" s="1"/>
  <c r="G3" i="6"/>
  <c r="G33" i="6" s="1"/>
  <c r="K27" i="6"/>
  <c r="E9" i="6"/>
  <c r="H13" i="6"/>
  <c r="E17" i="6"/>
  <c r="F13" i="6"/>
  <c r="H18" i="6"/>
  <c r="M34" i="6"/>
  <c r="D24" i="7"/>
  <c r="H26" i="7"/>
  <c r="R18" i="7"/>
  <c r="E3" i="7"/>
  <c r="L21" i="7"/>
  <c r="L24" i="7" s="1"/>
  <c r="E7" i="7"/>
  <c r="E14" i="7"/>
  <c r="E8" i="7"/>
  <c r="E9" i="7"/>
  <c r="E15" i="7"/>
  <c r="P17" i="7"/>
  <c r="E10" i="7"/>
  <c r="M16" i="7"/>
  <c r="E18" i="7"/>
  <c r="E17" i="7"/>
  <c r="E16" i="7"/>
  <c r="H21" i="7"/>
  <c r="N21" i="7"/>
  <c r="N24" i="7" s="1"/>
  <c r="E5" i="7"/>
  <c r="R21" i="7"/>
  <c r="R24" i="7" s="1"/>
  <c r="M18" i="7"/>
  <c r="M7" i="7"/>
  <c r="M8" i="7"/>
  <c r="S14" i="7"/>
  <c r="M14" i="7"/>
  <c r="F3" i="6"/>
  <c r="I18" i="6"/>
  <c r="R18" i="6"/>
  <c r="L18" i="6"/>
  <c r="O18" i="6"/>
  <c r="R23" i="6"/>
  <c r="R26" i="6"/>
  <c r="F24" i="6"/>
  <c r="R25" i="6"/>
  <c r="L27" i="6"/>
  <c r="F25" i="6"/>
  <c r="R24" i="6"/>
  <c r="L26" i="6"/>
  <c r="F26" i="6"/>
  <c r="L25" i="6"/>
  <c r="F27" i="6"/>
  <c r="L24" i="6"/>
  <c r="F23" i="6"/>
  <c r="O23" i="6"/>
  <c r="O27" i="6"/>
  <c r="I27" i="6"/>
  <c r="O26" i="6"/>
  <c r="I25" i="6"/>
  <c r="O25" i="6"/>
  <c r="I26" i="6"/>
  <c r="O24" i="6"/>
  <c r="I24" i="6"/>
  <c r="R27" i="6"/>
  <c r="I23" i="6"/>
  <c r="N19" i="6"/>
  <c r="E18" i="6"/>
  <c r="N5" i="6"/>
  <c r="N20" i="6"/>
  <c r="Q8" i="6"/>
  <c r="Q23" i="6"/>
  <c r="Q9" i="6"/>
  <c r="E3" i="6"/>
  <c r="K19" i="6"/>
  <c r="E4" i="6"/>
  <c r="E21" i="6"/>
  <c r="K20" i="6"/>
  <c r="N8" i="6"/>
  <c r="N23" i="6"/>
  <c r="Q12" i="6"/>
  <c r="Q26" i="6"/>
  <c r="H26" i="6"/>
  <c r="H28" i="6"/>
  <c r="E5" i="6"/>
  <c r="E22" i="6"/>
  <c r="K21" i="6"/>
  <c r="N9" i="6"/>
  <c r="N24" i="6"/>
  <c r="Q27" i="6"/>
  <c r="E19" i="6"/>
  <c r="N6" i="6"/>
  <c r="E20" i="6"/>
  <c r="N7" i="6"/>
  <c r="N22" i="6"/>
  <c r="E6" i="6"/>
  <c r="K4" i="6"/>
  <c r="K22" i="6"/>
  <c r="N10" i="6"/>
  <c r="N25" i="6"/>
  <c r="H27" i="6"/>
  <c r="K3" i="6"/>
  <c r="N21" i="6"/>
  <c r="E7" i="6"/>
  <c r="K5" i="6"/>
  <c r="N12" i="6"/>
  <c r="N26" i="6"/>
  <c r="Q15" i="6"/>
  <c r="Q29" i="6"/>
  <c r="K7" i="6"/>
  <c r="K18" i="6"/>
  <c r="Q10" i="6"/>
  <c r="E8" i="6"/>
  <c r="K6" i="6"/>
  <c r="K24" i="6"/>
  <c r="N27" i="6"/>
  <c r="Q32" i="6"/>
  <c r="H7" i="6"/>
  <c r="J23" i="6"/>
  <c r="M3" i="6"/>
  <c r="M33" i="6" s="1"/>
  <c r="J28" i="6"/>
  <c r="H19" i="6"/>
  <c r="E12" i="6"/>
  <c r="N16" i="6"/>
  <c r="Q19" i="6"/>
  <c r="H21" i="6"/>
  <c r="P3" i="6"/>
  <c r="H20" i="6"/>
  <c r="E13" i="6"/>
  <c r="K14" i="6"/>
  <c r="K29" i="6"/>
  <c r="N17" i="6"/>
  <c r="Q4" i="6"/>
  <c r="Q20" i="6"/>
  <c r="H22" i="6"/>
  <c r="K10" i="6"/>
  <c r="K12" i="6"/>
  <c r="E14" i="6"/>
  <c r="K15" i="6"/>
  <c r="K32" i="6"/>
  <c r="Q5" i="6"/>
  <c r="Q21" i="6"/>
  <c r="H12" i="6"/>
  <c r="H23" i="6"/>
  <c r="H32" i="6"/>
  <c r="E10" i="6"/>
  <c r="E15" i="6"/>
  <c r="K16" i="6"/>
  <c r="N18" i="6"/>
  <c r="Q6" i="6"/>
  <c r="H5" i="6"/>
  <c r="K8" i="6"/>
  <c r="H6" i="6"/>
  <c r="Y24" i="6"/>
  <c r="B41" i="6" s="1"/>
  <c r="Q13" i="6"/>
  <c r="K13" i="6"/>
  <c r="E23" i="6"/>
  <c r="E24" i="6"/>
  <c r="E25" i="6"/>
  <c r="E26" i="6"/>
  <c r="E28" i="6"/>
  <c r="E16" i="6"/>
  <c r="E29" i="6"/>
  <c r="G3" i="4"/>
  <c r="F26" i="4"/>
  <c r="G26" i="4" s="1"/>
  <c r="N32" i="4"/>
  <c r="O32" i="4" s="1"/>
  <c r="J29" i="4"/>
  <c r="K29" i="4" s="1"/>
  <c r="J32" i="4"/>
  <c r="K32" i="4" s="1"/>
  <c r="F25" i="4"/>
  <c r="N28" i="4"/>
  <c r="O28" i="4" s="1"/>
  <c r="F27" i="4"/>
  <c r="G27" i="4" s="1"/>
  <c r="L28" i="4"/>
  <c r="J28" i="4"/>
  <c r="I17" i="4"/>
  <c r="G15" i="4"/>
  <c r="O17" i="4"/>
  <c r="H33" i="4"/>
  <c r="I15" i="4"/>
  <c r="M24" i="4"/>
  <c r="O26" i="4"/>
  <c r="I4" i="4"/>
  <c r="E8" i="4"/>
  <c r="M10" i="4"/>
  <c r="K15" i="4"/>
  <c r="E23" i="4"/>
  <c r="O24" i="4"/>
  <c r="E27" i="4"/>
  <c r="E32" i="4"/>
  <c r="D40" i="4"/>
  <c r="E13" i="4"/>
  <c r="M17" i="4"/>
  <c r="G8" i="4"/>
  <c r="O10" i="4"/>
  <c r="M15" i="4"/>
  <c r="D41" i="4"/>
  <c r="E3" i="4"/>
  <c r="I8" i="4"/>
  <c r="O15" i="4"/>
  <c r="E25" i="4"/>
  <c r="K17" i="4"/>
  <c r="K6" i="4"/>
  <c r="K8" i="4"/>
  <c r="G11" i="4"/>
  <c r="E16" i="4"/>
  <c r="I27" i="4"/>
  <c r="M4" i="4"/>
  <c r="M6" i="4"/>
  <c r="M8" i="4"/>
  <c r="E12" i="4"/>
  <c r="M13" i="4"/>
  <c r="G16" i="4"/>
  <c r="I23" i="4"/>
  <c r="K27" i="4"/>
  <c r="E29" i="4"/>
  <c r="I32" i="4"/>
  <c r="O4" i="4"/>
  <c r="O8" i="4"/>
  <c r="I16" i="4"/>
  <c r="I25" i="4"/>
  <c r="M27" i="4"/>
  <c r="O13" i="4"/>
  <c r="K16" i="4"/>
  <c r="K23" i="4"/>
  <c r="K25" i="4"/>
  <c r="O27" i="4"/>
  <c r="E7" i="4"/>
  <c r="G9" i="4"/>
  <c r="I12" i="4"/>
  <c r="E14" i="4"/>
  <c r="M16" i="4"/>
  <c r="M25" i="4"/>
  <c r="I29" i="4"/>
  <c r="M32" i="4"/>
  <c r="I9" i="4"/>
  <c r="K12" i="4"/>
  <c r="G14" i="4"/>
  <c r="O16" i="4"/>
  <c r="O25" i="4"/>
  <c r="E28" i="4"/>
  <c r="O14" i="4"/>
  <c r="E15" i="4"/>
  <c r="I5" i="4"/>
  <c r="K9" i="4"/>
  <c r="M12" i="4"/>
  <c r="I14" i="4"/>
  <c r="E17" i="4"/>
  <c r="E26" i="4"/>
  <c r="F28" i="4"/>
  <c r="G28" i="4" s="1"/>
  <c r="M9" i="4"/>
  <c r="O12" i="4"/>
  <c r="K14" i="4"/>
  <c r="G31" i="3"/>
  <c r="G32" i="3"/>
  <c r="F26" i="3"/>
  <c r="G26" i="3" s="1"/>
  <c r="F27" i="3"/>
  <c r="G27" i="3" s="1"/>
  <c r="N32" i="3"/>
  <c r="O32" i="3" s="1"/>
  <c r="J29" i="3"/>
  <c r="K29" i="3" s="1"/>
  <c r="J32" i="3"/>
  <c r="K32" i="3" s="1"/>
  <c r="N28" i="3"/>
  <c r="O28" i="3" s="1"/>
  <c r="F25" i="3"/>
  <c r="J28" i="3"/>
  <c r="L28" i="3"/>
  <c r="I28" i="3"/>
  <c r="G29" i="3"/>
  <c r="H33" i="3"/>
  <c r="I17" i="3"/>
  <c r="G15" i="3"/>
  <c r="I10" i="3"/>
  <c r="O26" i="3"/>
  <c r="E6" i="3"/>
  <c r="O17" i="3"/>
  <c r="K10" i="3"/>
  <c r="I15" i="3"/>
  <c r="M24" i="3"/>
  <c r="I4" i="3"/>
  <c r="E8" i="3"/>
  <c r="M10" i="3"/>
  <c r="K15" i="3"/>
  <c r="E23" i="3"/>
  <c r="O24" i="3"/>
  <c r="E27" i="3"/>
  <c r="D40" i="3"/>
  <c r="G8" i="3"/>
  <c r="O15" i="3"/>
  <c r="F3" i="3"/>
  <c r="K6" i="3"/>
  <c r="K8" i="3"/>
  <c r="E16" i="3"/>
  <c r="I27" i="3"/>
  <c r="M14" i="3"/>
  <c r="M17" i="3"/>
  <c r="M15" i="3"/>
  <c r="M13" i="3"/>
  <c r="K27" i="3"/>
  <c r="K17" i="3"/>
  <c r="M6" i="3"/>
  <c r="G16" i="3"/>
  <c r="O8" i="3"/>
  <c r="I25" i="3"/>
  <c r="O4" i="3"/>
  <c r="I16" i="3"/>
  <c r="M27" i="3"/>
  <c r="E5" i="3"/>
  <c r="E9" i="3"/>
  <c r="K16" i="3"/>
  <c r="K25" i="3"/>
  <c r="O27" i="3"/>
  <c r="O14" i="3"/>
  <c r="M8" i="3"/>
  <c r="M16" i="3"/>
  <c r="I9" i="3"/>
  <c r="K12" i="3"/>
  <c r="G14" i="3"/>
  <c r="O16" i="3"/>
  <c r="O25" i="3"/>
  <c r="E15" i="3"/>
  <c r="E3" i="3"/>
  <c r="M4" i="3"/>
  <c r="E12" i="3"/>
  <c r="E7" i="3"/>
  <c r="I12" i="3"/>
  <c r="G7" i="3"/>
  <c r="K9" i="3"/>
  <c r="I14" i="3"/>
  <c r="E17" i="3"/>
  <c r="E13" i="3"/>
  <c r="O10" i="3"/>
  <c r="I8" i="3"/>
  <c r="G9" i="3"/>
  <c r="E14" i="3"/>
  <c r="I5" i="3"/>
  <c r="M12" i="3"/>
  <c r="M9" i="3"/>
  <c r="O12" i="3"/>
  <c r="K14" i="3"/>
  <c r="H41" i="2"/>
  <c r="I41" i="2"/>
  <c r="H42" i="2"/>
  <c r="I42" i="2"/>
  <c r="G41" i="2"/>
  <c r="G42" i="2"/>
  <c r="F42" i="2"/>
  <c r="F41" i="2"/>
  <c r="D33" i="2"/>
  <c r="F21" i="1"/>
  <c r="D44" i="2"/>
  <c r="D41" i="2"/>
  <c r="D40" i="2"/>
  <c r="M35" i="6" l="1"/>
  <c r="H3" i="6"/>
  <c r="Q3" i="6"/>
  <c r="P33" i="6"/>
  <c r="P35" i="6" s="1"/>
  <c r="K28" i="6"/>
  <c r="J33" i="6"/>
  <c r="J35" i="6" s="1"/>
  <c r="G35" i="6"/>
  <c r="K17" i="7"/>
  <c r="K11" i="7"/>
  <c r="K18" i="7"/>
  <c r="K14" i="7"/>
  <c r="K16" i="7"/>
  <c r="K15" i="7"/>
  <c r="N26" i="7"/>
  <c r="J24" i="7"/>
  <c r="R26" i="7"/>
  <c r="J26" i="7"/>
  <c r="F24" i="7"/>
  <c r="M9" i="7"/>
  <c r="M10" i="7"/>
  <c r="M15" i="7"/>
  <c r="M11" i="7"/>
  <c r="M17" i="7"/>
  <c r="M5" i="7"/>
  <c r="M21" i="7" s="1"/>
  <c r="O5" i="7"/>
  <c r="I17" i="7"/>
  <c r="L26" i="7"/>
  <c r="H24" i="7"/>
  <c r="M3" i="7"/>
  <c r="K10" i="7"/>
  <c r="I7" i="7"/>
  <c r="I8" i="7"/>
  <c r="I10" i="7"/>
  <c r="I18" i="7"/>
  <c r="O18" i="7"/>
  <c r="I9" i="7"/>
  <c r="G3" i="7"/>
  <c r="O8" i="7"/>
  <c r="O16" i="7"/>
  <c r="O14" i="7"/>
  <c r="O9" i="7"/>
  <c r="O15" i="7"/>
  <c r="I5" i="7"/>
  <c r="I14" i="7"/>
  <c r="O11" i="7"/>
  <c r="I16" i="7"/>
  <c r="I15" i="7"/>
  <c r="S16" i="7"/>
  <c r="S18" i="7"/>
  <c r="S15" i="7"/>
  <c r="S7" i="7"/>
  <c r="S9" i="7"/>
  <c r="S10" i="7"/>
  <c r="O10" i="7"/>
  <c r="I3" i="7"/>
  <c r="S11" i="7"/>
  <c r="O7" i="7"/>
  <c r="S8" i="7"/>
  <c r="S3" i="7"/>
  <c r="I11" i="7"/>
  <c r="S17" i="7"/>
  <c r="G5" i="7"/>
  <c r="S5" i="7"/>
  <c r="G7" i="7"/>
  <c r="O3" i="7"/>
  <c r="O17" i="7"/>
  <c r="G18" i="7"/>
  <c r="G14" i="7"/>
  <c r="G10" i="7"/>
  <c r="G17" i="7"/>
  <c r="G9" i="7"/>
  <c r="G11" i="7"/>
  <c r="G16" i="7"/>
  <c r="G8" i="7"/>
  <c r="G15" i="7"/>
  <c r="P21" i="7"/>
  <c r="R3" i="6"/>
  <c r="L28" i="6"/>
  <c r="I32" i="6"/>
  <c r="O31" i="6"/>
  <c r="I29" i="6"/>
  <c r="F28" i="6"/>
  <c r="I31" i="6"/>
  <c r="I28" i="6"/>
  <c r="O32" i="6"/>
  <c r="I30" i="6"/>
  <c r="O30" i="6"/>
  <c r="O29" i="6"/>
  <c r="O28" i="6"/>
  <c r="L31" i="6"/>
  <c r="L32" i="6"/>
  <c r="F29" i="6"/>
  <c r="R29" i="6"/>
  <c r="F30" i="6"/>
  <c r="F32" i="6"/>
  <c r="R32" i="6"/>
  <c r="R31" i="6"/>
  <c r="R30" i="6"/>
  <c r="L29" i="6"/>
  <c r="R28" i="6"/>
  <c r="L30" i="6"/>
  <c r="F31" i="6"/>
  <c r="I3" i="6"/>
  <c r="O3" i="6"/>
  <c r="L23" i="6"/>
  <c r="K23" i="6"/>
  <c r="L3" i="6"/>
  <c r="N3" i="6"/>
  <c r="K28" i="4"/>
  <c r="J33" i="4"/>
  <c r="M28" i="4"/>
  <c r="L33" i="4"/>
  <c r="G25" i="4"/>
  <c r="F23" i="4"/>
  <c r="N33" i="4"/>
  <c r="M28" i="3"/>
  <c r="L33" i="3"/>
  <c r="F23" i="3"/>
  <c r="G23" i="3" s="1"/>
  <c r="G25" i="3"/>
  <c r="N33" i="3"/>
  <c r="K28" i="3"/>
  <c r="J33" i="3"/>
  <c r="G3" i="3"/>
  <c r="M29" i="3"/>
  <c r="F28" i="3"/>
  <c r="G28" i="3" s="1"/>
  <c r="E28" i="3"/>
  <c r="M32" i="3"/>
  <c r="I29" i="3"/>
  <c r="I32" i="3"/>
  <c r="E29" i="3"/>
  <c r="E32" i="3"/>
  <c r="O29" i="3"/>
  <c r="G30" i="3"/>
  <c r="G8" i="2"/>
  <c r="G9" i="2"/>
  <c r="G10" i="2"/>
  <c r="H25" i="7" l="1"/>
  <c r="J25" i="7"/>
  <c r="L25" i="7"/>
  <c r="N25" i="7"/>
  <c r="R25" i="7"/>
  <c r="P24" i="7"/>
  <c r="P25" i="7" s="1"/>
  <c r="P26" i="7"/>
  <c r="S21" i="7"/>
  <c r="I21" i="7"/>
  <c r="O21" i="7"/>
  <c r="Q3" i="7"/>
  <c r="Q8" i="7"/>
  <c r="Q14" i="7"/>
  <c r="Q10" i="7"/>
  <c r="E21" i="7"/>
  <c r="G21" i="7"/>
  <c r="Q18" i="7"/>
  <c r="Q7" i="7"/>
  <c r="Q5" i="7"/>
  <c r="Q15" i="7"/>
  <c r="Q9" i="7"/>
  <c r="Q17" i="7"/>
  <c r="Q11" i="7"/>
  <c r="Q16" i="7"/>
  <c r="G23" i="4"/>
  <c r="F33" i="4"/>
  <c r="F33" i="3"/>
  <c r="G7" i="1"/>
  <c r="G5" i="1"/>
  <c r="G3" i="1"/>
  <c r="G18" i="1"/>
  <c r="G17" i="1"/>
  <c r="G16" i="1"/>
  <c r="G15" i="1"/>
  <c r="G14" i="1"/>
  <c r="G11" i="1"/>
  <c r="G10" i="1"/>
  <c r="G9" i="1"/>
  <c r="G8" i="1"/>
  <c r="Q21" i="7" l="1"/>
  <c r="J8" i="1"/>
  <c r="J9" i="1"/>
  <c r="F12" i="2" l="1"/>
  <c r="G12" i="2" s="1"/>
  <c r="F11" i="2"/>
  <c r="G11" i="2" s="1"/>
  <c r="F7" i="2"/>
  <c r="G7" i="2" s="1"/>
  <c r="F6" i="2"/>
  <c r="G6" i="2" s="1"/>
  <c r="F5" i="2"/>
  <c r="G5" i="2" s="1"/>
  <c r="F4" i="2"/>
  <c r="F32" i="2"/>
  <c r="Z28" i="2"/>
  <c r="F31" i="2" s="1"/>
  <c r="J3" i="2"/>
  <c r="H32" i="2"/>
  <c r="H28" i="2"/>
  <c r="H23" i="2"/>
  <c r="I22" i="2"/>
  <c r="I21" i="2"/>
  <c r="I20" i="2"/>
  <c r="I19" i="2"/>
  <c r="I18" i="2"/>
  <c r="H13" i="2"/>
  <c r="H7" i="2"/>
  <c r="H6" i="2"/>
  <c r="H3" i="2"/>
  <c r="G22" i="2"/>
  <c r="G21" i="2"/>
  <c r="G20" i="2"/>
  <c r="G19" i="2"/>
  <c r="G18" i="2"/>
  <c r="F13" i="2"/>
  <c r="F3" i="2" l="1"/>
  <c r="G4" i="2"/>
  <c r="F29" i="2"/>
  <c r="F30" i="2"/>
  <c r="N23" i="2"/>
  <c r="L23" i="2"/>
  <c r="J23" i="2"/>
  <c r="D23" i="2"/>
  <c r="Y19" i="2"/>
  <c r="Y20" i="2" s="1"/>
  <c r="Y22" i="2" s="1"/>
  <c r="Z19" i="2"/>
  <c r="Z20" i="2" s="1"/>
  <c r="Z22" i="2" s="1"/>
  <c r="AA19" i="2"/>
  <c r="AA20" i="2" s="1"/>
  <c r="AA22" i="2" s="1"/>
  <c r="AB19" i="2"/>
  <c r="AB20" i="2" s="1"/>
  <c r="AB22" i="2" s="1"/>
  <c r="AC19" i="2"/>
  <c r="AC20" i="2" s="1"/>
  <c r="AC22" i="2" s="1"/>
  <c r="X19" i="2"/>
  <c r="X20" i="2" s="1"/>
  <c r="X22" i="2" s="1"/>
  <c r="G3" i="2" l="1"/>
  <c r="I26" i="2"/>
  <c r="O26" i="2"/>
  <c r="M25" i="2"/>
  <c r="E25" i="2"/>
  <c r="M26" i="2"/>
  <c r="K26" i="2"/>
  <c r="E26" i="2"/>
  <c r="O25" i="2"/>
  <c r="I25" i="2"/>
  <c r="K25" i="2"/>
  <c r="I27" i="2"/>
  <c r="I24" i="2"/>
  <c r="G24" i="2"/>
  <c r="I23" i="2"/>
  <c r="X24" i="2"/>
  <c r="D14" i="1"/>
  <c r="D15" i="1"/>
  <c r="D16" i="1"/>
  <c r="D17" i="1"/>
  <c r="D18" i="1"/>
  <c r="D19" i="1"/>
  <c r="D20" i="1"/>
  <c r="J28" i="2" l="1"/>
  <c r="F26" i="2"/>
  <c r="G26" i="2" s="1"/>
  <c r="F27" i="2"/>
  <c r="G27" i="2" s="1"/>
  <c r="H33" i="2"/>
  <c r="N32" i="2"/>
  <c r="J32" i="2"/>
  <c r="N28" i="2"/>
  <c r="L28" i="2"/>
  <c r="J29" i="2"/>
  <c r="L3" i="2"/>
  <c r="L33" i="2" s="1"/>
  <c r="O19" i="2"/>
  <c r="O20" i="2"/>
  <c r="O21" i="2"/>
  <c r="O22" i="2"/>
  <c r="M19" i="2"/>
  <c r="M20" i="2"/>
  <c r="M21" i="2"/>
  <c r="M22" i="2"/>
  <c r="K19" i="2"/>
  <c r="K20" i="2"/>
  <c r="K21" i="2"/>
  <c r="K22" i="2"/>
  <c r="E19" i="2"/>
  <c r="E20" i="2"/>
  <c r="E21" i="2"/>
  <c r="E22" i="2"/>
  <c r="O18" i="2"/>
  <c r="M18" i="2"/>
  <c r="K18" i="2"/>
  <c r="E18" i="2"/>
  <c r="J13" i="1"/>
  <c r="J11" i="1"/>
  <c r="J10" i="1"/>
  <c r="J7" i="1"/>
  <c r="J6" i="1"/>
  <c r="J5" i="1"/>
  <c r="J4" i="1"/>
  <c r="J3" i="1"/>
  <c r="J2" i="1"/>
  <c r="J20" i="1"/>
  <c r="J19" i="1"/>
  <c r="J18" i="1"/>
  <c r="J16" i="1"/>
  <c r="J15" i="1"/>
  <c r="J14" i="1"/>
  <c r="D12" i="1"/>
  <c r="K20" i="1"/>
  <c r="K19" i="1"/>
  <c r="K2" i="1"/>
  <c r="N7" i="2"/>
  <c r="N6" i="2"/>
  <c r="N3" i="2"/>
  <c r="L4" i="2"/>
  <c r="N13" i="2"/>
  <c r="L13" i="2"/>
  <c r="J5" i="2"/>
  <c r="J4" i="2"/>
  <c r="J13" i="2"/>
  <c r="J33" i="2" s="1"/>
  <c r="K27" i="2"/>
  <c r="D13" i="2"/>
  <c r="D3" i="2"/>
  <c r="N33" i="2" l="1"/>
  <c r="F23" i="2"/>
  <c r="G23" i="2" s="1"/>
  <c r="G25" i="2"/>
  <c r="O10" i="2"/>
  <c r="M10" i="2"/>
  <c r="E10" i="2"/>
  <c r="K10" i="2"/>
  <c r="I10" i="2"/>
  <c r="G30" i="2"/>
  <c r="G31" i="2"/>
  <c r="F28" i="2"/>
  <c r="F33" i="2" s="1"/>
  <c r="I14" i="2"/>
  <c r="I15" i="2"/>
  <c r="G17" i="2"/>
  <c r="G14" i="2"/>
  <c r="I17" i="2"/>
  <c r="I16" i="2"/>
  <c r="G16" i="2"/>
  <c r="G15" i="2"/>
  <c r="G13" i="2"/>
  <c r="I13" i="2"/>
  <c r="K28" i="2"/>
  <c r="I29" i="2"/>
  <c r="G29" i="2"/>
  <c r="I32" i="2"/>
  <c r="G32" i="2"/>
  <c r="I28" i="2"/>
  <c r="I12" i="2"/>
  <c r="I9" i="2"/>
  <c r="I8" i="2"/>
  <c r="I4" i="2"/>
  <c r="I5" i="2"/>
  <c r="I6" i="2"/>
  <c r="I7" i="2"/>
  <c r="I3" i="2"/>
  <c r="J12" i="1"/>
  <c r="K12" i="2"/>
  <c r="E13" i="2"/>
  <c r="O29" i="2"/>
  <c r="M13" i="2"/>
  <c r="K13" i="2"/>
  <c r="O13" i="2"/>
  <c r="O16" i="2"/>
  <c r="M16" i="2"/>
  <c r="K17" i="2"/>
  <c r="E17" i="2"/>
  <c r="E16" i="2"/>
  <c r="K16" i="2"/>
  <c r="O15" i="2"/>
  <c r="M15" i="2"/>
  <c r="O17" i="2"/>
  <c r="K15" i="2"/>
  <c r="E15" i="2"/>
  <c r="E14" i="2"/>
  <c r="M17" i="2"/>
  <c r="E29" i="2"/>
  <c r="K29" i="2"/>
  <c r="E32" i="2"/>
  <c r="E7" i="2"/>
  <c r="O3" i="2"/>
  <c r="M5" i="2"/>
  <c r="M12" i="2"/>
  <c r="O5" i="2"/>
  <c r="O27" i="2"/>
  <c r="O7" i="2"/>
  <c r="O8" i="2"/>
  <c r="M6" i="2"/>
  <c r="O9" i="2"/>
  <c r="M3" i="2"/>
  <c r="M7" i="2"/>
  <c r="M24" i="2"/>
  <c r="M4" i="2"/>
  <c r="E9" i="2"/>
  <c r="E28" i="2"/>
  <c r="K4" i="2"/>
  <c r="M8" i="2"/>
  <c r="M27" i="2"/>
  <c r="O32" i="2"/>
  <c r="M23" i="2"/>
  <c r="E8" i="2"/>
  <c r="M9" i="2"/>
  <c r="O28" i="2"/>
  <c r="O23" i="2"/>
  <c r="O4" i="2"/>
  <c r="O24" i="2"/>
  <c r="J21" i="1"/>
  <c r="D21" i="1"/>
  <c r="K14" i="2"/>
  <c r="M28" i="2"/>
  <c r="K32" i="2"/>
  <c r="M29" i="2"/>
  <c r="O12" i="2"/>
  <c r="O6" i="2"/>
  <c r="M14" i="2"/>
  <c r="M32" i="2"/>
  <c r="O14" i="2"/>
  <c r="K3" i="2"/>
  <c r="E6" i="2"/>
  <c r="E23" i="2"/>
  <c r="K6" i="2"/>
  <c r="E5" i="2"/>
  <c r="E27" i="2"/>
  <c r="K7" i="2"/>
  <c r="K5" i="2"/>
  <c r="E4" i="2"/>
  <c r="E24" i="2"/>
  <c r="K8" i="2"/>
  <c r="K23" i="2"/>
  <c r="E3" i="2"/>
  <c r="K9" i="2"/>
  <c r="K24" i="2"/>
  <c r="E12" i="2"/>
  <c r="G28" i="2" l="1"/>
  <c r="K15" i="1"/>
  <c r="E14" i="1"/>
  <c r="K14" i="1"/>
  <c r="K7" i="1"/>
  <c r="K18" i="1"/>
  <c r="E8" i="1"/>
  <c r="E7" i="1"/>
  <c r="E5" i="1"/>
  <c r="E3" i="1"/>
  <c r="E11" i="1"/>
  <c r="E17" i="1"/>
  <c r="K17" i="1"/>
  <c r="E10" i="1"/>
  <c r="E16" i="1"/>
  <c r="K9" i="1"/>
  <c r="K3" i="1"/>
  <c r="K5" i="1"/>
  <c r="K8" i="1"/>
  <c r="E15" i="1"/>
  <c r="K16" i="1"/>
  <c r="E9" i="1"/>
  <c r="K11" i="1"/>
  <c r="E18" i="1"/>
  <c r="K10" i="1"/>
  <c r="G21" i="1" l="1"/>
  <c r="I21" i="1"/>
  <c r="E21" i="1"/>
  <c r="K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dos Santos  Lucas</author>
  </authors>
  <commentList>
    <comment ref="A2" authorId="0" shapeId="0" xr:uid="{5A0B15CC-7A57-4BD8-A925-680C4524C8EA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bp Statistical Review of World Energy 2022</t>
        </r>
      </text>
    </comment>
    <comment ref="A8" authorId="0" shapeId="0" xr:uid="{DD5743D6-B5D9-44AE-857E-7B530508AF31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https://www.bruegel.org/dataset/european-natural-gas-imports</t>
        </r>
      </text>
    </comment>
    <comment ref="A14" authorId="0" shapeId="0" xr:uid="{18246120-9B74-469B-B4D3-E42E99E28895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https://www.bruegel.org/dataset/european-natural-gas-imports</t>
        </r>
      </text>
    </comment>
    <comment ref="D22" authorId="0" shapeId="0" xr:uid="{F513ADF2-E5CF-4ECF-A51E-816EFDD42DC2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https://doi.org/10.2908/NRG_BAL_C</t>
        </r>
      </text>
    </comment>
    <comment ref="F22" authorId="0" shapeId="0" xr:uid="{91EBD013-11CC-4106-B14E-B80A36CCDD51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https://doi.org/10.2908/NRG_BAL_C</t>
        </r>
      </text>
    </comment>
    <comment ref="H22" authorId="0" shapeId="0" xr:uid="{80354EF7-E8F8-48D0-B941-D3FB944454DC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https://doi.org/10.2908/NRG_BAL_C</t>
        </r>
      </text>
    </comment>
    <comment ref="J22" authorId="0" shapeId="0" xr:uid="{2A666759-45CE-4DA6-979F-4DDFC7F01B95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https://doi.org/10.2908/NRG_BAL_C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dos Santos  Lucas</author>
  </authors>
  <commentList>
    <comment ref="G1" authorId="0" shapeId="0" xr:uid="{94C28F0B-CAEC-4ACA-91A3-806247721BC8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https://www.iea.org/data-and-statistics/charts/estimated-drivers-of-change-in-natural-gas-demand-in-power-buildings-and-industry-in-the-european-union-2022-versus-2021
https://www.iea.org/commentaries/europe-s-energy-crisis-what-factors-drove-the-record-fall-in-natural-gas-demand-in-2022
</t>
        </r>
      </text>
    </comment>
    <comment ref="A34" authorId="0" shapeId="0" xr:uid="{516F17B5-4058-4FA4-A87D-FF89C407F480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https://www.bruegel.org/dataset/european-natural-gas-imports</t>
        </r>
      </text>
    </comment>
    <comment ref="C34" authorId="0" shapeId="0" xr:uid="{A7D91469-D6D1-4D47-B0CD-FF46DB4C3E16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https://www.bruegel.org/dataset/european-natural-gas-imports</t>
        </r>
      </text>
    </comment>
    <comment ref="B40" authorId="0" shapeId="0" xr:uid="{E6D3CF18-2C45-407C-9F70-B01B5A0DB146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Efficiency from Ecoinvent 3.9.1
1 MJ of heat &lt;=&gt; 0.027215 m3-NG * 40 MJ/m3-NG</t>
        </r>
      </text>
    </comment>
    <comment ref="B41" authorId="0" shapeId="0" xr:uid="{756780C9-7BF4-446A-AA14-1EB4FA636D8C}">
      <text>
        <r>
          <rPr>
            <b/>
            <sz val="9"/>
            <color indexed="81"/>
            <rFont val="Tahoma"/>
            <family val="2"/>
          </rPr>
          <t>Francisco dos Santos  Lucas:</t>
        </r>
        <r>
          <rPr>
            <sz val="9"/>
            <color indexed="81"/>
            <rFont val="Tahoma"/>
            <family val="2"/>
          </rPr>
          <t xml:space="preserve">
Efficiency based on Ecoinvet 3.9.1 See table on the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Francisco</author>
  </authors>
  <commentList>
    <comment ref="D23" authorId="0" shapeId="0" xr:uid="{88346CC3-C69E-4BB4-A7C6-292C6114DC3E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from Ecoinvent 3.9
1 MJ of heat &lt;=&gt; 0.027215 m3-NG * 40 MJ/m3-NG</t>
        </r>
      </text>
    </comment>
    <comment ref="D28" authorId="0" shapeId="0" xr:uid="{5942E6FD-A8BC-407A-880E-B2F1811B6FCB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based on Ecoinvet 3.9. See table on the right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Francisco</author>
  </authors>
  <commentList>
    <comment ref="D23" authorId="0" shapeId="0" xr:uid="{C70C3B60-8A6B-457A-A79B-782816E97F86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from Ecoinvent 3.9
1 MJ of heat &lt;=&gt; 0.027215 m3-NG * 40 MJ/m3-NG</t>
        </r>
      </text>
    </comment>
    <comment ref="D28" authorId="0" shapeId="0" xr:uid="{83CAC0EA-57B6-415A-B12D-170F887560D3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based on Ecoinvet 3.9. See table on the right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Francisco</author>
  </authors>
  <commentList>
    <comment ref="D23" authorId="0" shapeId="0" xr:uid="{21C644D9-AE42-4C00-BF56-8B99D654A6EF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from Ecoinvent 3.9
1 MJ of heat &lt;=&gt; 0.027215 m3-NG * 40 MJ/m3-NG</t>
        </r>
      </text>
    </comment>
    <comment ref="D28" authorId="0" shapeId="0" xr:uid="{993A5DFF-40CB-47FA-89D3-08A790C4B8F4}">
      <text>
        <r>
          <rPr>
            <b/>
            <sz val="9"/>
            <color indexed="81"/>
            <rFont val="Segoe UI"/>
            <family val="2"/>
          </rPr>
          <t>Lucas Francisco:</t>
        </r>
        <r>
          <rPr>
            <sz val="9"/>
            <color indexed="81"/>
            <rFont val="Segoe UI"/>
            <family val="2"/>
          </rPr>
          <t xml:space="preserve">
Efficiency based on Ecoinvet 3.9. See table on the right</t>
        </r>
      </text>
    </comment>
  </commentList>
</comments>
</file>

<file path=xl/sharedStrings.xml><?xml version="1.0" encoding="utf-8"?>
<sst xmlns="http://schemas.openxmlformats.org/spreadsheetml/2006/main" count="598" uniqueCount="159">
  <si>
    <t>source</t>
  </si>
  <si>
    <t>NG</t>
  </si>
  <si>
    <t>Coal</t>
  </si>
  <si>
    <t>Nuclear</t>
  </si>
  <si>
    <t>Wind</t>
  </si>
  <si>
    <t>Photovoltaic</t>
  </si>
  <si>
    <t>Biomass</t>
  </si>
  <si>
    <t>Oil</t>
  </si>
  <si>
    <t>Lignite</t>
  </si>
  <si>
    <t>BAU</t>
  </si>
  <si>
    <t>electricity (TWh)</t>
  </si>
  <si>
    <t>CHP (TWh)</t>
  </si>
  <si>
    <t>Electricity</t>
  </si>
  <si>
    <t>Savings</t>
  </si>
  <si>
    <t>REPowerEU</t>
  </si>
  <si>
    <t>Clean</t>
  </si>
  <si>
    <t>Denmark</t>
  </si>
  <si>
    <t>Germany</t>
  </si>
  <si>
    <t>Italy</t>
  </si>
  <si>
    <t>Netherlands</t>
  </si>
  <si>
    <t>Poland</t>
  </si>
  <si>
    <t>Romania</t>
  </si>
  <si>
    <t>NO</t>
  </si>
  <si>
    <t>RU</t>
  </si>
  <si>
    <t>DZ</t>
  </si>
  <si>
    <t>AZ</t>
  </si>
  <si>
    <t>Other Europe</t>
  </si>
  <si>
    <t>Libya</t>
  </si>
  <si>
    <t>LNG-US</t>
  </si>
  <si>
    <t>LNG-QA</t>
  </si>
  <si>
    <t>LNG-RU</t>
  </si>
  <si>
    <t>LNG-NG</t>
  </si>
  <si>
    <t>LNG-DZ</t>
  </si>
  <si>
    <t>LNG-americas</t>
  </si>
  <si>
    <t>LNG-n. africa</t>
  </si>
  <si>
    <t>Total available NG</t>
  </si>
  <si>
    <t>Domestic production [BCM]</t>
  </si>
  <si>
    <t>pipeline imports [BCM]</t>
  </si>
  <si>
    <t>LNG imports [BCM]</t>
  </si>
  <si>
    <t>NG_DE</t>
  </si>
  <si>
    <t>NG_NL</t>
  </si>
  <si>
    <t>NG_RO</t>
  </si>
  <si>
    <t>NG_NO</t>
  </si>
  <si>
    <t>NG_RU</t>
  </si>
  <si>
    <t>NG_DZ</t>
  </si>
  <si>
    <t>NG_AZ</t>
  </si>
  <si>
    <t>LNG_US</t>
  </si>
  <si>
    <t>LNG_QA</t>
  </si>
  <si>
    <t>LNG_RU</t>
  </si>
  <si>
    <t>LNG_NG</t>
  </si>
  <si>
    <t>LNG_DZ</t>
  </si>
  <si>
    <t>code</t>
  </si>
  <si>
    <t>-</t>
  </si>
  <si>
    <t>NG_POWER</t>
  </si>
  <si>
    <t>COAL_POWER</t>
  </si>
  <si>
    <t>NUCLEAR_POWER</t>
  </si>
  <si>
    <t>WIND_POWER</t>
  </si>
  <si>
    <t>SOLAR_POWER</t>
  </si>
  <si>
    <t>BIOMASS_POWER</t>
  </si>
  <si>
    <t>OIL_POWER</t>
  </si>
  <si>
    <t>NG_CHP</t>
  </si>
  <si>
    <t>COAL_CHP</t>
  </si>
  <si>
    <t>NG_HEAT_CHP</t>
  </si>
  <si>
    <t>COAL_HEAT_CHP</t>
  </si>
  <si>
    <t>NG_INDUSTRY</t>
  </si>
  <si>
    <t>COAL_INDUSTRY</t>
  </si>
  <si>
    <t>OIL_INDUSTRY</t>
  </si>
  <si>
    <t>NG_HOUSEHOLDS</t>
  </si>
  <si>
    <t>ELECTRICITY_HOUSEHOLDS</t>
  </si>
  <si>
    <t>SAVINGS_HOUSEHOLDS</t>
  </si>
  <si>
    <t>BIOMASS_CHP</t>
  </si>
  <si>
    <t>OIL_CHP</t>
  </si>
  <si>
    <t>LIGNITE_CHP</t>
  </si>
  <si>
    <t>BIOMASS_HEAT_CHP</t>
  </si>
  <si>
    <t>OIL_HEAT_CHP</t>
  </si>
  <si>
    <t>LIGNITE_HEAT_CHP</t>
  </si>
  <si>
    <t>Supplier</t>
  </si>
  <si>
    <t>base_amount</t>
  </si>
  <si>
    <t>base_share</t>
  </si>
  <si>
    <t>alternative_amount</t>
  </si>
  <si>
    <t>alternative_share</t>
  </si>
  <si>
    <t>coal_amount</t>
  </si>
  <si>
    <t>coal_share</t>
  </si>
  <si>
    <t>clean_amount</t>
  </si>
  <si>
    <t>clean_share</t>
  </si>
  <si>
    <t>repower_amount</t>
  </si>
  <si>
    <t>repower_share</t>
  </si>
  <si>
    <t>CHP Het (TWh)</t>
  </si>
  <si>
    <t>Heat Industry (TWh)</t>
  </si>
  <si>
    <t>Heat in households (TWh)</t>
  </si>
  <si>
    <t>Household</t>
  </si>
  <si>
    <t>tech1</t>
  </si>
  <si>
    <t>tech2</t>
  </si>
  <si>
    <t>tech3</t>
  </si>
  <si>
    <t>tech4</t>
  </si>
  <si>
    <t>tech5</t>
  </si>
  <si>
    <t>tech6</t>
  </si>
  <si>
    <t>NG input (m3)</t>
  </si>
  <si>
    <t>Efficiency</t>
  </si>
  <si>
    <t>NG input (MJ)</t>
  </si>
  <si>
    <t>Overall efficiency</t>
  </si>
  <si>
    <t>Overall household efficiency based on Ecoinvent 3.9</t>
  </si>
  <si>
    <t>y2022</t>
  </si>
  <si>
    <t>y2023</t>
  </si>
  <si>
    <t>y2022_amount</t>
  </si>
  <si>
    <t>y2022_share</t>
  </si>
  <si>
    <t>y2023_amount</t>
  </si>
  <si>
    <t>y2023_share</t>
  </si>
  <si>
    <t>SAVINGS_POWER</t>
  </si>
  <si>
    <t>Hydro</t>
  </si>
  <si>
    <t>HYDRO_POWER</t>
  </si>
  <si>
    <t>SAVINGS_INDUSTRY</t>
  </si>
  <si>
    <t>EFFICIENCY_INDUSTRY</t>
  </si>
  <si>
    <t>Weather</t>
  </si>
  <si>
    <t>WEATHER_HOUSEHOLDS</t>
  </si>
  <si>
    <t>EFFICIENCY_HOUSEHOLDS</t>
  </si>
  <si>
    <t>Electricity production efficiency</t>
  </si>
  <si>
    <t>Efficiency heat industry</t>
  </si>
  <si>
    <t>Total NG consumption</t>
  </si>
  <si>
    <t>LIGNITE_POWER</t>
  </si>
  <si>
    <t>demand of NG for each sector [TWh]</t>
  </si>
  <si>
    <t>y2021</t>
  </si>
  <si>
    <t>base_output</t>
  </si>
  <si>
    <t>Electricity efficiency</t>
  </si>
  <si>
    <t>CHP elec. Efficiency</t>
  </si>
  <si>
    <t>CHP Heat (TWh)</t>
  </si>
  <si>
    <t>CHP heat Efficiency</t>
  </si>
  <si>
    <t>Industrial heat eff.</t>
  </si>
  <si>
    <t>Household heat eff.</t>
  </si>
  <si>
    <t>CHP heat efficiency</t>
  </si>
  <si>
    <t>y2022_output</t>
  </si>
  <si>
    <t>repower_output</t>
  </si>
  <si>
    <t>coal_output</t>
  </si>
  <si>
    <t>clean_output</t>
  </si>
  <si>
    <t>Total available NG after exports</t>
  </si>
  <si>
    <t>exports</t>
  </si>
  <si>
    <t>y2022_mid_amount</t>
  </si>
  <si>
    <t>y2022_mid_share</t>
  </si>
  <si>
    <t>y2021_mid_amount</t>
  </si>
  <si>
    <t>y2021_mid_share</t>
  </si>
  <si>
    <t>y2023_mid_amount</t>
  </si>
  <si>
    <t>y2023_mid_share</t>
  </si>
  <si>
    <t>alternative_mid_amount</t>
  </si>
  <si>
    <t>alternative_mid_share</t>
  </si>
  <si>
    <t>TOT_NG</t>
  </si>
  <si>
    <t>1-year Delta NG available</t>
  </si>
  <si>
    <t>storage</t>
  </si>
  <si>
    <t>Total NG demand</t>
  </si>
  <si>
    <t>STORAGE</t>
  </si>
  <si>
    <t>NG_ENERG_DEMAND</t>
  </si>
  <si>
    <t>Use Storage</t>
  </si>
  <si>
    <t>Storage [bcm]</t>
  </si>
  <si>
    <t>ENDOG1</t>
  </si>
  <si>
    <t>ENDOG2</t>
  </si>
  <si>
    <t>ENDOG3</t>
  </si>
  <si>
    <t>OTHER1</t>
  </si>
  <si>
    <t>OTHER2</t>
  </si>
  <si>
    <t>OTHER_LNG1</t>
  </si>
  <si>
    <t>OTHER_LNG2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</si>
</sst>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"/>
    <numFmt numFmtId="166" formatCode="0.0000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165" fontId="0" fillId="0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1" xfId="1" applyNumberFormat="1" applyFont="1" applyFill="1" applyBorder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164" fontId="0" fillId="0" borderId="1" xfId="1" applyNumberFormat="1" applyFont="1" applyFill="1" applyBorder="1"/>
    <xf numFmtId="165" fontId="0" fillId="0" borderId="4" xfId="0" applyNumberFormat="1" applyFill="1" applyBorder="1" applyAlignment="1">
      <alignment horizontal="center"/>
    </xf>
    <xf numFmtId="2" fontId="0" fillId="0" borderId="4" xfId="1" applyNumberFormat="1" applyFont="1" applyFill="1" applyBorder="1"/>
    <xf numFmtId="2" fontId="0" fillId="0" borderId="5" xfId="1" applyNumberFormat="1" applyFont="1" applyFill="1" applyBorder="1"/>
    <xf numFmtId="165" fontId="0" fillId="2" borderId="9" xfId="0" applyNumberFormat="1" applyFill="1" applyBorder="1" applyAlignment="1">
      <alignment horizontal="center"/>
    </xf>
    <xf numFmtId="2" fontId="0" fillId="0" borderId="9" xfId="1" applyNumberFormat="1" applyFont="1" applyFill="1" applyBorder="1"/>
    <xf numFmtId="164" fontId="0" fillId="0" borderId="9" xfId="1" applyNumberFormat="1" applyFont="1" applyFill="1" applyBorder="1"/>
    <xf numFmtId="165" fontId="0" fillId="2" borderId="4" xfId="0" applyNumberFormat="1" applyFill="1" applyBorder="1" applyAlignment="1">
      <alignment horizontal="center"/>
    </xf>
    <xf numFmtId="2" fontId="0" fillId="0" borderId="4" xfId="0" applyNumberFormat="1" applyFill="1" applyBorder="1"/>
    <xf numFmtId="164" fontId="0" fillId="0" borderId="4" xfId="1" applyNumberFormat="1" applyFont="1" applyFill="1" applyBorder="1"/>
    <xf numFmtId="2" fontId="0" fillId="0" borderId="7" xfId="0" applyNumberFormat="1" applyFill="1" applyBorder="1"/>
    <xf numFmtId="165" fontId="0" fillId="0" borderId="9" xfId="0" applyNumberFormat="1" applyFill="1" applyBorder="1" applyAlignment="1">
      <alignment horizontal="center"/>
    </xf>
    <xf numFmtId="2" fontId="0" fillId="0" borderId="9" xfId="0" applyNumberFormat="1" applyFill="1" applyBorder="1"/>
    <xf numFmtId="2" fontId="0" fillId="0" borderId="10" xfId="0" applyNumberFormat="1" applyFill="1" applyBorder="1"/>
    <xf numFmtId="164" fontId="0" fillId="0" borderId="7" xfId="1" applyNumberFormat="1" applyFont="1" applyFill="1" applyBorder="1"/>
    <xf numFmtId="164" fontId="0" fillId="0" borderId="10" xfId="1" applyNumberFormat="1" applyFont="1" applyFill="1" applyBorder="1"/>
    <xf numFmtId="164" fontId="0" fillId="0" borderId="5" xfId="1" applyNumberFormat="1" applyFont="1" applyFill="1" applyBorder="1"/>
    <xf numFmtId="165" fontId="0" fillId="0" borderId="12" xfId="0" applyNumberFormat="1" applyFill="1" applyBorder="1" applyAlignment="1">
      <alignment horizontal="center"/>
    </xf>
    <xf numFmtId="43" fontId="0" fillId="0" borderId="12" xfId="0" applyNumberFormat="1" applyFill="1" applyBorder="1"/>
    <xf numFmtId="0" fontId="0" fillId="0" borderId="2" xfId="0" applyFill="1" applyBorder="1" applyAlignmen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165" fontId="0" fillId="0" borderId="4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7" xfId="0" applyNumberFormat="1" applyBorder="1"/>
    <xf numFmtId="0" fontId="0" fillId="0" borderId="9" xfId="0" applyBorder="1"/>
    <xf numFmtId="166" fontId="0" fillId="0" borderId="9" xfId="0" applyNumberFormat="1" applyBorder="1"/>
    <xf numFmtId="166" fontId="0" fillId="0" borderId="10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0" fontId="0" fillId="0" borderId="0" xfId="0" applyFont="1"/>
    <xf numFmtId="166" fontId="0" fillId="0" borderId="2" xfId="0" applyNumberFormat="1" applyBorder="1"/>
    <xf numFmtId="165" fontId="0" fillId="0" borderId="2" xfId="0" applyNumberFormat="1" applyBorder="1"/>
    <xf numFmtId="166" fontId="0" fillId="0" borderId="16" xfId="0" applyNumberFormat="1" applyBorder="1"/>
    <xf numFmtId="167" fontId="0" fillId="0" borderId="12" xfId="0" applyNumberFormat="1" applyFill="1" applyBorder="1"/>
    <xf numFmtId="167" fontId="0" fillId="0" borderId="13" xfId="0" applyNumberFormat="1" applyFill="1" applyBorder="1"/>
    <xf numFmtId="165" fontId="0" fillId="0" borderId="19" xfId="0" applyNumberFormat="1" applyBorder="1"/>
    <xf numFmtId="165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0" fontId="0" fillId="0" borderId="23" xfId="0" applyBorder="1"/>
    <xf numFmtId="166" fontId="0" fillId="0" borderId="24" xfId="0" applyNumberFormat="1" applyBorder="1"/>
    <xf numFmtId="166" fontId="0" fillId="0" borderId="17" xfId="0" applyNumberFormat="1" applyBorder="1"/>
    <xf numFmtId="166" fontId="0" fillId="0" borderId="23" xfId="0" applyNumberFormat="1" applyBorder="1"/>
    <xf numFmtId="166" fontId="0" fillId="0" borderId="25" xfId="0" applyNumberFormat="1" applyBorder="1"/>
    <xf numFmtId="0" fontId="0" fillId="0" borderId="20" xfId="0" applyBorder="1"/>
    <xf numFmtId="165" fontId="0" fillId="0" borderId="26" xfId="0" applyNumberFormat="1" applyBorder="1"/>
    <xf numFmtId="165" fontId="0" fillId="0" borderId="27" xfId="0" applyNumberFormat="1" applyBorder="1"/>
    <xf numFmtId="0" fontId="0" fillId="0" borderId="15" xfId="0" applyBorder="1"/>
    <xf numFmtId="0" fontId="0" fillId="0" borderId="16" xfId="0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15" xfId="0" applyNumberFormat="1" applyBorder="1"/>
    <xf numFmtId="165" fontId="0" fillId="0" borderId="8" xfId="0" applyNumberFormat="1" applyBorder="1"/>
    <xf numFmtId="0" fontId="0" fillId="0" borderId="1" xfId="0" applyBorder="1" applyAlignment="1">
      <alignment horizontal="center"/>
    </xf>
    <xf numFmtId="9" fontId="0" fillId="0" borderId="0" xfId="2" applyFont="1"/>
    <xf numFmtId="165" fontId="0" fillId="5" borderId="3" xfId="0" applyNumberFormat="1" applyFill="1" applyBorder="1"/>
    <xf numFmtId="165" fontId="0" fillId="5" borderId="6" xfId="0" applyNumberFormat="1" applyFill="1" applyBorder="1"/>
    <xf numFmtId="165" fontId="0" fillId="5" borderId="8" xfId="0" applyNumberFormat="1" applyFill="1" applyBorder="1"/>
    <xf numFmtId="0" fontId="0" fillId="3" borderId="4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165" fontId="0" fillId="3" borderId="3" xfId="0" applyNumberFormat="1" applyFill="1" applyBorder="1" applyAlignment="1">
      <alignment vertical="center"/>
    </xf>
    <xf numFmtId="9" fontId="0" fillId="3" borderId="4" xfId="2" applyFont="1" applyFill="1" applyBorder="1" applyAlignment="1">
      <alignment vertical="center"/>
    </xf>
    <xf numFmtId="165" fontId="0" fillId="3" borderId="5" xfId="0" applyNumberFormat="1" applyFill="1" applyBorder="1" applyAlignment="1">
      <alignment vertical="center"/>
    </xf>
    <xf numFmtId="165" fontId="0" fillId="3" borderId="26" xfId="0" applyNumberFormat="1" applyFill="1" applyBorder="1" applyAlignment="1">
      <alignment vertical="center"/>
    </xf>
    <xf numFmtId="165" fontId="0" fillId="3" borderId="4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165" fontId="0" fillId="3" borderId="6" xfId="0" applyNumberFormat="1" applyFill="1" applyBorder="1" applyAlignment="1">
      <alignment vertical="center"/>
    </xf>
    <xf numFmtId="9" fontId="0" fillId="3" borderId="1" xfId="2" applyFont="1" applyFill="1" applyBorder="1" applyAlignment="1">
      <alignment vertical="center"/>
    </xf>
    <xf numFmtId="165" fontId="0" fillId="3" borderId="7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165" fontId="0" fillId="3" borderId="8" xfId="0" applyNumberFormat="1" applyFill="1" applyBorder="1" applyAlignment="1">
      <alignment vertical="center"/>
    </xf>
    <xf numFmtId="9" fontId="0" fillId="3" borderId="9" xfId="2" applyFont="1" applyFill="1" applyBorder="1" applyAlignment="1">
      <alignment vertical="center"/>
    </xf>
    <xf numFmtId="165" fontId="0" fillId="3" borderId="10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165" fontId="0" fillId="4" borderId="3" xfId="0" applyNumberFormat="1" applyFill="1" applyBorder="1" applyAlignment="1">
      <alignment vertical="center"/>
    </xf>
    <xf numFmtId="9" fontId="0" fillId="4" borderId="4" xfId="2" applyFont="1" applyFill="1" applyBorder="1" applyAlignment="1">
      <alignment vertical="center"/>
    </xf>
    <xf numFmtId="165" fontId="0" fillId="4" borderId="5" xfId="0" applyNumberFormat="1" applyFill="1" applyBorder="1" applyAlignment="1">
      <alignment vertical="center"/>
    </xf>
    <xf numFmtId="165" fontId="0" fillId="4" borderId="26" xfId="0" applyNumberFormat="1" applyFill="1" applyBorder="1" applyAlignment="1">
      <alignment vertical="center"/>
    </xf>
    <xf numFmtId="165" fontId="0" fillId="4" borderId="4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165" fontId="0" fillId="4" borderId="6" xfId="0" applyNumberFormat="1" applyFill="1" applyBorder="1" applyAlignment="1">
      <alignment vertical="center"/>
    </xf>
    <xf numFmtId="9" fontId="0" fillId="4" borderId="1" xfId="2" applyFon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165" fontId="0" fillId="4" borderId="8" xfId="0" applyNumberFormat="1" applyFill="1" applyBorder="1" applyAlignment="1">
      <alignment vertical="center"/>
    </xf>
    <xf numFmtId="9" fontId="0" fillId="4" borderId="9" xfId="2" applyFont="1" applyFill="1" applyBorder="1" applyAlignment="1">
      <alignment vertical="center"/>
    </xf>
    <xf numFmtId="165" fontId="0" fillId="4" borderId="10" xfId="0" applyNumberForma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165" fontId="0" fillId="5" borderId="3" xfId="0" applyNumberFormat="1" applyFill="1" applyBorder="1" applyAlignment="1">
      <alignment vertical="center"/>
    </xf>
    <xf numFmtId="9" fontId="0" fillId="5" borderId="4" xfId="2" applyFont="1" applyFill="1" applyBorder="1" applyAlignment="1">
      <alignment vertical="center"/>
    </xf>
    <xf numFmtId="165" fontId="0" fillId="5" borderId="5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165" fontId="0" fillId="5" borderId="6" xfId="0" applyNumberFormat="1" applyFill="1" applyBorder="1" applyAlignment="1">
      <alignment vertical="center"/>
    </xf>
    <xf numFmtId="9" fontId="0" fillId="5" borderId="1" xfId="2" applyFont="1" applyFill="1" applyBorder="1" applyAlignment="1">
      <alignment vertical="center"/>
    </xf>
    <xf numFmtId="165" fontId="0" fillId="5" borderId="7" xfId="0" applyNumberFormat="1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165" fontId="0" fillId="5" borderId="8" xfId="0" applyNumberFormat="1" applyFill="1" applyBorder="1" applyAlignment="1">
      <alignment vertical="center"/>
    </xf>
    <xf numFmtId="9" fontId="0" fillId="5" borderId="9" xfId="2" applyFont="1" applyFill="1" applyBorder="1" applyAlignment="1">
      <alignment vertical="center"/>
    </xf>
    <xf numFmtId="165" fontId="0" fillId="5" borderId="10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4" fillId="0" borderId="2" xfId="0" applyFont="1" applyBorder="1"/>
    <xf numFmtId="0" fontId="4" fillId="0" borderId="23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4" fillId="0" borderId="20" xfId="0" applyFont="1" applyBorder="1"/>
    <xf numFmtId="0" fontId="4" fillId="0" borderId="2" xfId="0" applyFont="1" applyFill="1" applyBorder="1"/>
    <xf numFmtId="165" fontId="0" fillId="0" borderId="0" xfId="0" applyNumberFormat="1"/>
    <xf numFmtId="165" fontId="0" fillId="3" borderId="19" xfId="0" applyNumberFormat="1" applyFill="1" applyBorder="1" applyAlignment="1">
      <alignment vertical="center"/>
    </xf>
    <xf numFmtId="165" fontId="0" fillId="3" borderId="27" xfId="0" applyNumberFormat="1" applyFill="1" applyBorder="1" applyAlignment="1">
      <alignment vertical="center"/>
    </xf>
    <xf numFmtId="165" fontId="0" fillId="4" borderId="19" xfId="0" applyNumberFormat="1" applyFill="1" applyBorder="1" applyAlignment="1">
      <alignment vertical="center"/>
    </xf>
    <xf numFmtId="165" fontId="0" fillId="4" borderId="27" xfId="0" applyNumberFormat="1" applyFill="1" applyBorder="1" applyAlignment="1">
      <alignment vertical="center"/>
    </xf>
    <xf numFmtId="166" fontId="0" fillId="0" borderId="0" xfId="0" applyNumberFormat="1"/>
    <xf numFmtId="165" fontId="0" fillId="3" borderId="1" xfId="0" applyNumberFormat="1" applyFill="1" applyBorder="1" applyAlignment="1">
      <alignment vertical="center"/>
    </xf>
    <xf numFmtId="165" fontId="0" fillId="3" borderId="9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165" fontId="0" fillId="4" borderId="9" xfId="0" applyNumberFormat="1" applyFill="1" applyBorder="1" applyAlignment="1">
      <alignment vertical="center"/>
    </xf>
    <xf numFmtId="165" fontId="0" fillId="5" borderId="4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5" fontId="0" fillId="5" borderId="9" xfId="0" applyNumberFormat="1" applyFill="1" applyBorder="1" applyAlignment="1">
      <alignment vertical="center"/>
    </xf>
    <xf numFmtId="0" fontId="0" fillId="0" borderId="23" xfId="0" applyFill="1" applyBorder="1" applyAlignment="1"/>
    <xf numFmtId="165" fontId="0" fillId="2" borderId="17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165" fontId="0" fillId="5" borderId="3" xfId="1" applyNumberFormat="1" applyFont="1" applyFill="1" applyBorder="1"/>
    <xf numFmtId="9" fontId="0" fillId="5" borderId="5" xfId="2" applyFont="1" applyFill="1" applyBorder="1"/>
    <xf numFmtId="165" fontId="0" fillId="5" borderId="6" xfId="1" applyNumberFormat="1" applyFont="1" applyFill="1" applyBorder="1"/>
    <xf numFmtId="9" fontId="0" fillId="5" borderId="7" xfId="2" applyFont="1" applyFill="1" applyBorder="1"/>
    <xf numFmtId="165" fontId="0" fillId="5" borderId="8" xfId="1" applyNumberFormat="1" applyFont="1" applyFill="1" applyBorder="1"/>
    <xf numFmtId="9" fontId="0" fillId="5" borderId="10" xfId="2" applyFont="1" applyFill="1" applyBorder="1"/>
    <xf numFmtId="165" fontId="0" fillId="5" borderId="11" xfId="0" applyNumberFormat="1" applyFill="1" applyBorder="1"/>
    <xf numFmtId="9" fontId="0" fillId="5" borderId="13" xfId="2" applyFont="1" applyFill="1" applyBorder="1"/>
    <xf numFmtId="165" fontId="0" fillId="5" borderId="26" xfId="1" applyNumberFormat="1" applyFont="1" applyFill="1" applyBorder="1"/>
    <xf numFmtId="9" fontId="0" fillId="5" borderId="24" xfId="2" applyFont="1" applyFill="1" applyBorder="1"/>
    <xf numFmtId="165" fontId="0" fillId="5" borderId="19" xfId="1" applyNumberFormat="1" applyFont="1" applyFill="1" applyBorder="1"/>
    <xf numFmtId="9" fontId="0" fillId="5" borderId="17" xfId="2" applyFont="1" applyFill="1" applyBorder="1"/>
    <xf numFmtId="165" fontId="0" fillId="5" borderId="27" xfId="1" applyNumberFormat="1" applyFont="1" applyFill="1" applyBorder="1"/>
    <xf numFmtId="9" fontId="0" fillId="5" borderId="25" xfId="2" applyFont="1" applyFill="1" applyBorder="1"/>
    <xf numFmtId="165" fontId="0" fillId="5" borderId="19" xfId="0" applyNumberFormat="1" applyFill="1" applyBorder="1"/>
    <xf numFmtId="165" fontId="0" fillId="5" borderId="27" xfId="0" applyNumberFormat="1" applyFill="1" applyBorder="1"/>
    <xf numFmtId="165" fontId="0" fillId="5" borderId="33" xfId="0" applyNumberFormat="1" applyFill="1" applyBorder="1"/>
    <xf numFmtId="165" fontId="0" fillId="6" borderId="3" xfId="1" applyNumberFormat="1" applyFont="1" applyFill="1" applyBorder="1"/>
    <xf numFmtId="9" fontId="0" fillId="6" borderId="5" xfId="2" applyFont="1" applyFill="1" applyBorder="1"/>
    <xf numFmtId="165" fontId="0" fillId="6" borderId="6" xfId="1" applyNumberFormat="1" applyFont="1" applyFill="1" applyBorder="1"/>
    <xf numFmtId="9" fontId="0" fillId="6" borderId="7" xfId="2" applyFont="1" applyFill="1" applyBorder="1"/>
    <xf numFmtId="165" fontId="0" fillId="6" borderId="8" xfId="1" applyNumberFormat="1" applyFont="1" applyFill="1" applyBorder="1"/>
    <xf numFmtId="9" fontId="0" fillId="6" borderId="10" xfId="2" applyFont="1" applyFill="1" applyBorder="1"/>
    <xf numFmtId="165" fontId="0" fillId="6" borderId="6" xfId="0" applyNumberFormat="1" applyFill="1" applyBorder="1"/>
    <xf numFmtId="165" fontId="0" fillId="6" borderId="8" xfId="0" applyNumberFormat="1" applyFill="1" applyBorder="1"/>
    <xf numFmtId="165" fontId="0" fillId="6" borderId="11" xfId="0" applyNumberFormat="1" applyFill="1" applyBorder="1"/>
    <xf numFmtId="9" fontId="0" fillId="6" borderId="13" xfId="2" applyFont="1" applyFill="1" applyBorder="1"/>
    <xf numFmtId="165" fontId="0" fillId="6" borderId="3" xfId="0" applyNumberFormat="1" applyFill="1" applyBorder="1"/>
    <xf numFmtId="165" fontId="0" fillId="8" borderId="4" xfId="0" applyNumberFormat="1" applyFill="1" applyBorder="1" applyAlignment="1">
      <alignment horizontal="center"/>
    </xf>
    <xf numFmtId="165" fontId="0" fillId="8" borderId="2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17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25" xfId="0" applyNumberFormat="1" applyFill="1" applyBorder="1" applyAlignment="1">
      <alignment horizontal="center"/>
    </xf>
    <xf numFmtId="0" fontId="0" fillId="7" borderId="11" xfId="0" applyFill="1" applyBorder="1" applyAlignment="1"/>
    <xf numFmtId="0" fontId="0" fillId="7" borderId="32" xfId="0" applyFill="1" applyBorder="1" applyAlignment="1"/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165" fontId="0" fillId="2" borderId="32" xfId="0" applyNumberFormat="1" applyFill="1" applyBorder="1" applyAlignment="1">
      <alignment horizontal="center"/>
    </xf>
    <xf numFmtId="164" fontId="0" fillId="0" borderId="34" xfId="1" applyNumberFormat="1" applyFont="1" applyFill="1" applyBorder="1"/>
    <xf numFmtId="0" fontId="0" fillId="4" borderId="31" xfId="0" applyFill="1" applyBorder="1" applyAlignment="1">
      <alignment vertical="center"/>
    </xf>
    <xf numFmtId="9" fontId="0" fillId="5" borderId="32" xfId="2" applyNumberFormat="1" applyFont="1" applyFill="1" applyBorder="1"/>
    <xf numFmtId="9" fontId="0" fillId="0" borderId="0" xfId="0" applyNumberFormat="1"/>
    <xf numFmtId="165" fontId="0" fillId="7" borderId="3" xfId="0" applyNumberFormat="1" applyFill="1" applyBorder="1" applyAlignment="1">
      <alignment horizontal="center" vertical="center" wrapText="1"/>
    </xf>
    <xf numFmtId="165" fontId="0" fillId="7" borderId="6" xfId="0" applyNumberFormat="1" applyFill="1" applyBorder="1" applyAlignment="1">
      <alignment horizontal="center" vertical="center" wrapText="1"/>
    </xf>
    <xf numFmtId="165" fontId="0" fillId="7" borderId="8" xfId="0" applyNumberFormat="1" applyFill="1" applyBorder="1" applyAlignment="1">
      <alignment horizontal="center" vertical="center" wrapText="1"/>
    </xf>
    <xf numFmtId="165" fontId="0" fillId="7" borderId="11" xfId="0" applyNumberFormat="1" applyFill="1" applyBorder="1" applyAlignment="1">
      <alignment horizontal="center"/>
    </xf>
    <xf numFmtId="165" fontId="0" fillId="7" borderId="1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9" fontId="0" fillId="0" borderId="17" xfId="2" applyFont="1" applyBorder="1" applyAlignment="1">
      <alignment horizontal="center"/>
    </xf>
    <xf numFmtId="9" fontId="0" fillId="0" borderId="18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 wrapText="1"/>
    </xf>
    <xf numFmtId="165" fontId="0" fillId="0" borderId="6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812C-7BED-41A7-8C7C-FF6F0C8C89CD}">
  <dimension ref="A1:S29"/>
  <sheetViews>
    <sheetView zoomScale="115" zoomScaleNormal="115" workbookViewId="0">
      <selection activeCell="J8" sqref="J8:J19"/>
    </sheetView>
  </sheetViews>
  <sheetFormatPr defaultRowHeight="15" x14ac:dyDescent="0.25"/>
  <cols>
    <col min="1" max="1" width="11.28515625" customWidth="1"/>
    <col min="2" max="2" width="13.28515625" bestFit="1" customWidth="1"/>
    <col min="3" max="3" width="8.42578125" bestFit="1" customWidth="1"/>
    <col min="4" max="4" width="13.140625" bestFit="1" customWidth="1"/>
    <col min="5" max="5" width="11" bestFit="1" customWidth="1"/>
    <col min="6" max="6" width="18.85546875" bestFit="1" customWidth="1"/>
    <col min="7" max="7" width="16.85546875" bestFit="1" customWidth="1"/>
    <col min="8" max="8" width="14.42578125" bestFit="1" customWidth="1"/>
    <col min="9" max="9" width="12.28515625" bestFit="1" customWidth="1"/>
    <col min="10" max="10" width="18.85546875" bestFit="1" customWidth="1"/>
    <col min="11" max="11" width="16.85546875" bestFit="1" customWidth="1"/>
    <col min="12" max="12" width="14.42578125" hidden="1" customWidth="1"/>
    <col min="13" max="13" width="12.28515625" hidden="1" customWidth="1"/>
    <col min="14" max="14" width="18.85546875" hidden="1" customWidth="1"/>
    <col min="15" max="15" width="16.85546875" hidden="1" customWidth="1"/>
    <col min="16" max="16" width="18.85546875" bestFit="1" customWidth="1"/>
    <col min="17" max="17" width="16.7109375" bestFit="1" customWidth="1"/>
    <col min="18" max="18" width="23.42578125" bestFit="1" customWidth="1"/>
    <col min="19" max="19" width="21.42578125" bestFit="1" customWidth="1"/>
  </cols>
  <sheetData>
    <row r="1" spans="1:19" ht="15.75" thickBot="1" x14ac:dyDescent="0.3">
      <c r="A1" s="141"/>
      <c r="B1" s="179" t="s">
        <v>76</v>
      </c>
      <c r="C1" s="180" t="s">
        <v>51</v>
      </c>
      <c r="D1" s="181" t="s">
        <v>77</v>
      </c>
      <c r="E1" s="182" t="s">
        <v>78</v>
      </c>
      <c r="F1" s="183" t="s">
        <v>138</v>
      </c>
      <c r="G1" s="184" t="s">
        <v>139</v>
      </c>
      <c r="H1" s="181" t="s">
        <v>104</v>
      </c>
      <c r="I1" s="182" t="s">
        <v>105</v>
      </c>
      <c r="J1" s="185" t="s">
        <v>136</v>
      </c>
      <c r="K1" s="186" t="s">
        <v>137</v>
      </c>
      <c r="L1" s="181" t="s">
        <v>106</v>
      </c>
      <c r="M1" s="182" t="s">
        <v>107</v>
      </c>
      <c r="N1" s="183" t="s">
        <v>140</v>
      </c>
      <c r="O1" s="184" t="s">
        <v>141</v>
      </c>
      <c r="P1" s="181" t="s">
        <v>79</v>
      </c>
      <c r="Q1" s="182" t="s">
        <v>80</v>
      </c>
      <c r="R1" s="183" t="s">
        <v>142</v>
      </c>
      <c r="S1" s="184" t="s">
        <v>143</v>
      </c>
    </row>
    <row r="2" spans="1:19" x14ac:dyDescent="0.25">
      <c r="A2" s="192" t="s">
        <v>36</v>
      </c>
      <c r="B2" s="173" t="s">
        <v>16</v>
      </c>
      <c r="C2" s="174" t="s">
        <v>152</v>
      </c>
      <c r="D2" s="162">
        <v>1.3</v>
      </c>
      <c r="E2" s="163" t="s">
        <v>52</v>
      </c>
      <c r="F2" s="145">
        <f>$D2</f>
        <v>1.3</v>
      </c>
      <c r="G2" s="146" t="s">
        <v>52</v>
      </c>
      <c r="H2" s="162">
        <f>$D2</f>
        <v>1.3</v>
      </c>
      <c r="I2" s="163" t="s">
        <v>52</v>
      </c>
      <c r="J2" s="153">
        <f>$D2</f>
        <v>1.3</v>
      </c>
      <c r="K2" s="154" t="s">
        <v>52</v>
      </c>
      <c r="L2" s="162">
        <f>$D2</f>
        <v>1.3</v>
      </c>
      <c r="M2" s="163" t="s">
        <v>52</v>
      </c>
      <c r="N2" s="145">
        <f>$D2</f>
        <v>1.3</v>
      </c>
      <c r="O2" s="146" t="s">
        <v>52</v>
      </c>
      <c r="P2" s="162">
        <f>$D2</f>
        <v>1.3</v>
      </c>
      <c r="Q2" s="163" t="str">
        <f>G2</f>
        <v>-</v>
      </c>
      <c r="R2" s="145">
        <f>$D2</f>
        <v>1.3</v>
      </c>
      <c r="S2" s="146" t="str">
        <f>I2</f>
        <v>-</v>
      </c>
    </row>
    <row r="3" spans="1:19" x14ac:dyDescent="0.25">
      <c r="A3" s="193"/>
      <c r="B3" s="2" t="s">
        <v>17</v>
      </c>
      <c r="C3" s="142" t="s">
        <v>39</v>
      </c>
      <c r="D3" s="164">
        <v>4.5</v>
      </c>
      <c r="E3" s="165">
        <f>D3/SUM($D$3,$D$5,$D$7)*SUM($D$2:$D$7)/$D$21</f>
        <v>1.3820935141135769E-2</v>
      </c>
      <c r="F3" s="147">
        <f t="shared" ref="F3:R7" si="0">$D3</f>
        <v>4.5</v>
      </c>
      <c r="G3" s="148">
        <f>F3/SUM($F$3,$F$5,$F$7)*SUM($F$2:$F$7)/$F$21</f>
        <v>1.3393362794778148E-2</v>
      </c>
      <c r="H3" s="164">
        <f t="shared" si="0"/>
        <v>4.5</v>
      </c>
      <c r="I3" s="165">
        <f>H3/SUM($H$3,$H$5,$H$7)*SUM($H$2:$H$7)/$H$21</f>
        <v>1.4027500254233823E-2</v>
      </c>
      <c r="J3" s="155">
        <f t="shared" si="0"/>
        <v>4.5</v>
      </c>
      <c r="K3" s="156">
        <f>J3/SUM($J$3,$J$5,$J$7)*SUM($J$2:$J$7)/$J$21</f>
        <v>1.5167480005395884E-2</v>
      </c>
      <c r="L3" s="164">
        <f t="shared" si="0"/>
        <v>4.5</v>
      </c>
      <c r="M3" s="165">
        <f>L3/SUM($L$3,$L$5,$L$7)*SUM($L$2:$L$7)/$L$21</f>
        <v>1.6150787798627282E-2</v>
      </c>
      <c r="N3" s="147">
        <f t="shared" si="0"/>
        <v>4.5</v>
      </c>
      <c r="O3" s="148">
        <f>N3/SUM($P$3,$N$5,$N$7)*SUM($N$2:$N$7)/$N$21</f>
        <v>1.6150787798627282E-2</v>
      </c>
      <c r="P3" s="164">
        <f t="shared" si="0"/>
        <v>4.5</v>
      </c>
      <c r="Q3" s="165">
        <f>P3/SUM($P$3,$P$5,$P$7)*SUM($P$2:$P$7)/$P$21</f>
        <v>1.5721845996139992E-2</v>
      </c>
      <c r="R3" s="147">
        <f t="shared" si="0"/>
        <v>4.5</v>
      </c>
      <c r="S3" s="148">
        <f>R3/SUM($R$3,$R$5,$R$7)*SUM($R$2:$R$7)/$R$21</f>
        <v>1.5170914200732147E-2</v>
      </c>
    </row>
    <row r="4" spans="1:19" x14ac:dyDescent="0.25">
      <c r="A4" s="193"/>
      <c r="B4" s="175" t="s">
        <v>18</v>
      </c>
      <c r="C4" s="176" t="s">
        <v>153</v>
      </c>
      <c r="D4" s="164">
        <v>3.2</v>
      </c>
      <c r="E4" s="165" t="s">
        <v>52</v>
      </c>
      <c r="F4" s="147">
        <f t="shared" si="0"/>
        <v>3.2</v>
      </c>
      <c r="G4" s="148" t="s">
        <v>52</v>
      </c>
      <c r="H4" s="164">
        <f t="shared" si="0"/>
        <v>3.2</v>
      </c>
      <c r="I4" s="165" t="s">
        <v>52</v>
      </c>
      <c r="J4" s="155">
        <f t="shared" si="0"/>
        <v>3.2</v>
      </c>
      <c r="K4" s="156" t="s">
        <v>52</v>
      </c>
      <c r="L4" s="164">
        <f t="shared" si="0"/>
        <v>3.2</v>
      </c>
      <c r="M4" s="165" t="s">
        <v>52</v>
      </c>
      <c r="N4" s="147">
        <f t="shared" si="0"/>
        <v>3.2</v>
      </c>
      <c r="O4" s="148" t="s">
        <v>52</v>
      </c>
      <c r="P4" s="164">
        <f t="shared" si="0"/>
        <v>3.2</v>
      </c>
      <c r="Q4" s="165" t="s">
        <v>52</v>
      </c>
      <c r="R4" s="147">
        <f t="shared" si="0"/>
        <v>3.2</v>
      </c>
      <c r="S4" s="148" t="s">
        <v>52</v>
      </c>
    </row>
    <row r="5" spans="1:19" x14ac:dyDescent="0.25">
      <c r="A5" s="193"/>
      <c r="B5" s="2" t="s">
        <v>19</v>
      </c>
      <c r="C5" s="142" t="s">
        <v>40</v>
      </c>
      <c r="D5" s="164">
        <v>18.100000000000001</v>
      </c>
      <c r="E5" s="165">
        <f>D5/SUM($D$3,$D$5,$D$7)*SUM($D$2:$D$7)/$D$21</f>
        <v>5.5590872456568324E-2</v>
      </c>
      <c r="F5" s="147">
        <f t="shared" si="0"/>
        <v>18.100000000000001</v>
      </c>
      <c r="G5" s="148">
        <f>F5/SUM($F$3,$F$5,$F$7)*SUM($F$2:$F$7)/$F$21</f>
        <v>5.3871081463441009E-2</v>
      </c>
      <c r="H5" s="164">
        <f t="shared" si="0"/>
        <v>18.100000000000001</v>
      </c>
      <c r="I5" s="165">
        <f>H5/SUM($H$3,$H$5,$H$7)*SUM($H$2:$H$7)/$H$21</f>
        <v>5.6421723244807168E-2</v>
      </c>
      <c r="J5" s="155">
        <f t="shared" si="0"/>
        <v>18.100000000000001</v>
      </c>
      <c r="K5" s="156">
        <f>J5/SUM($J$3,$J$5,$J$7)*SUM($J$2:$J$7)/$J$21</f>
        <v>6.1006975132814563E-2</v>
      </c>
      <c r="L5" s="164">
        <f t="shared" si="0"/>
        <v>18.100000000000001</v>
      </c>
      <c r="M5" s="165">
        <f>L5/SUM($L$3,$L$5,$L$7)*SUM($L$2:$L$7)/$L$21</f>
        <v>6.4962057590034192E-2</v>
      </c>
      <c r="N5" s="147">
        <f t="shared" si="0"/>
        <v>18.100000000000001</v>
      </c>
      <c r="O5" s="148">
        <f>N5/SUM($P$3,$N$5,$N$7)*SUM($N$2:$N$7)/$N$21</f>
        <v>6.4962057590034192E-2</v>
      </c>
      <c r="P5" s="164">
        <f t="shared" si="0"/>
        <v>18.100000000000001</v>
      </c>
      <c r="Q5" s="165">
        <f>P5/SUM($P$3,$P$5,$P$7)*SUM($P$2:$P$7)/$P$21</f>
        <v>6.3236758340029758E-2</v>
      </c>
      <c r="R5" s="147">
        <f t="shared" si="0"/>
        <v>18.100000000000001</v>
      </c>
      <c r="S5" s="148">
        <f>R5/SUM($R$3,$R$5,$R$7)*SUM($R$2:$R$7)/$R$21</f>
        <v>6.1020788229611538E-2</v>
      </c>
    </row>
    <row r="6" spans="1:19" x14ac:dyDescent="0.25">
      <c r="A6" s="193"/>
      <c r="B6" s="175" t="s">
        <v>20</v>
      </c>
      <c r="C6" s="176" t="s">
        <v>154</v>
      </c>
      <c r="D6" s="164">
        <v>3.9</v>
      </c>
      <c r="E6" s="165" t="s">
        <v>52</v>
      </c>
      <c r="F6" s="147">
        <f t="shared" si="0"/>
        <v>3.9</v>
      </c>
      <c r="G6" s="148" t="s">
        <v>52</v>
      </c>
      <c r="H6" s="164">
        <f t="shared" si="0"/>
        <v>3.9</v>
      </c>
      <c r="I6" s="165" t="s">
        <v>52</v>
      </c>
      <c r="J6" s="155">
        <f t="shared" si="0"/>
        <v>3.9</v>
      </c>
      <c r="K6" s="156" t="s">
        <v>52</v>
      </c>
      <c r="L6" s="164">
        <f t="shared" si="0"/>
        <v>3.9</v>
      </c>
      <c r="M6" s="165" t="s">
        <v>52</v>
      </c>
      <c r="N6" s="147">
        <f t="shared" si="0"/>
        <v>3.9</v>
      </c>
      <c r="O6" s="148" t="s">
        <v>52</v>
      </c>
      <c r="P6" s="164">
        <f t="shared" si="0"/>
        <v>3.9</v>
      </c>
      <c r="Q6" s="165" t="s">
        <v>52</v>
      </c>
      <c r="R6" s="147">
        <f t="shared" si="0"/>
        <v>3.9</v>
      </c>
      <c r="S6" s="148" t="s">
        <v>52</v>
      </c>
    </row>
    <row r="7" spans="1:19" ht="15.75" thickBot="1" x14ac:dyDescent="0.3">
      <c r="A7" s="194"/>
      <c r="B7" s="10" t="s">
        <v>21</v>
      </c>
      <c r="C7" s="143" t="s">
        <v>41</v>
      </c>
      <c r="D7" s="166">
        <v>8.5</v>
      </c>
      <c r="E7" s="165">
        <f>D7/SUM($D$3,$D$5,$D$7)*SUM($D$2:$D$7)/$D$21</f>
        <v>2.6106210822145339E-2</v>
      </c>
      <c r="F7" s="149">
        <f t="shared" si="0"/>
        <v>8.5</v>
      </c>
      <c r="G7" s="150">
        <f>F7/SUM($F$3,$F$5,$F$7)*SUM($F$2:$F$7)/$F$21</f>
        <v>2.529857416791428E-2</v>
      </c>
      <c r="H7" s="166">
        <f t="shared" si="0"/>
        <v>8.5</v>
      </c>
      <c r="I7" s="167">
        <f>H7/SUM($H$3,$H$5,$H$7)*SUM($H$2:$H$7)/$H$21</f>
        <v>2.6496389369108333E-2</v>
      </c>
      <c r="J7" s="157">
        <f t="shared" si="0"/>
        <v>8.5</v>
      </c>
      <c r="K7" s="156">
        <f>J7/SUM($J$3,$J$5,$J$7)*SUM($J$2:$J$7)/$J$21</f>
        <v>2.8649684454636667E-2</v>
      </c>
      <c r="L7" s="166">
        <f t="shared" si="0"/>
        <v>8.5</v>
      </c>
      <c r="M7" s="165">
        <f>L7/SUM($L$3,$L$5,$L$7)*SUM($L$2:$L$7)/$L$21</f>
        <v>3.0507043619629307E-2</v>
      </c>
      <c r="N7" s="149">
        <f t="shared" si="0"/>
        <v>8.5</v>
      </c>
      <c r="O7" s="148">
        <f>N7/SUM($P$3,$N$5,$N$7)*SUM($N$2:$N$7)/$N$21</f>
        <v>3.0507043619629307E-2</v>
      </c>
      <c r="P7" s="166">
        <f t="shared" si="0"/>
        <v>8.5</v>
      </c>
      <c r="Q7" s="167">
        <f>P7/SUM($P$3,$P$5,$P$7)*SUM($P$2:$P$7)/$P$21</f>
        <v>2.9696820214931093E-2</v>
      </c>
      <c r="R7" s="149">
        <f t="shared" si="0"/>
        <v>8.5</v>
      </c>
      <c r="S7" s="148">
        <f>R7/SUM($R$3,$R$5,$R$7)*SUM($R$2:$R$7)/$R$21</f>
        <v>2.8656171268049611E-2</v>
      </c>
    </row>
    <row r="8" spans="1:19" x14ac:dyDescent="0.25">
      <c r="A8" s="192" t="s">
        <v>37</v>
      </c>
      <c r="B8" s="13" t="s">
        <v>22</v>
      </c>
      <c r="C8" s="144" t="s">
        <v>42</v>
      </c>
      <c r="D8" s="172">
        <v>87.608000000000004</v>
      </c>
      <c r="E8" s="163">
        <f>D8/SUM($D$8:$D$11)*SUM($D$8:$D$13)/$D$21</f>
        <v>0.22073647463717494</v>
      </c>
      <c r="F8" s="66">
        <v>96.44</v>
      </c>
      <c r="G8" s="146">
        <f>F8/SUM($F$8:$F$11)*SUM($F$8:$F$13)/$F$21</f>
        <v>0.24252490959722492</v>
      </c>
      <c r="H8" s="162">
        <v>94.082400000000007</v>
      </c>
      <c r="I8" s="163">
        <f>H8/SUM($H$8:$H$11)*SUM($H$8:$H$13)/$H$21</f>
        <v>0.26366040669691665</v>
      </c>
      <c r="J8" s="153">
        <v>94.900999999999996</v>
      </c>
      <c r="K8" s="154">
        <f>J8/SUM($J$8:$J$11)*SUM($J$8:$J$13)/$J$21</f>
        <v>0.29537231083343107</v>
      </c>
      <c r="L8" s="162">
        <v>90.188000000000002</v>
      </c>
      <c r="M8" s="163">
        <f>L8/SUM($L$8:$L$11)*SUM($L$8:$L$13)/$L$21</f>
        <v>0.28707496980233815</v>
      </c>
      <c r="N8" s="145">
        <v>90.188000000000002</v>
      </c>
      <c r="O8" s="146">
        <f>N8/SUM($N$8:$N$11)*SUM($N$8:$N$13)/$N$21</f>
        <v>0.28707496980233815</v>
      </c>
      <c r="P8" s="172">
        <f>D8</f>
        <v>87.608000000000004</v>
      </c>
      <c r="Q8" s="163">
        <f>P8/SUM($P$8:$P$11)*SUM($P$8:$P$13)/$P$21</f>
        <v>0.25649244815394223</v>
      </c>
      <c r="R8" s="66">
        <f>F8</f>
        <v>96.44</v>
      </c>
      <c r="S8" s="146">
        <f>R8/SUM($R$8:$R$11)*SUM($R$8:$R$13)/$R$21</f>
        <v>0.28567058032693254</v>
      </c>
    </row>
    <row r="9" spans="1:19" x14ac:dyDescent="0.25">
      <c r="A9" s="193"/>
      <c r="B9" s="2" t="s">
        <v>23</v>
      </c>
      <c r="C9" s="142" t="s">
        <v>43</v>
      </c>
      <c r="D9" s="168">
        <v>153.381</v>
      </c>
      <c r="E9" s="165">
        <f t="shared" ref="E9:E11" si="1">D9/SUM($D$8:$D$11)*SUM($D$8:$D$13)/$D$21</f>
        <v>0.38645764332394911</v>
      </c>
      <c r="F9" s="67">
        <v>127.645</v>
      </c>
      <c r="G9" s="148">
        <f>F9/SUM($F$8:$F$11)*SUM($F$8:$F$13)/$F$21</f>
        <v>0.3209984662540209</v>
      </c>
      <c r="H9" s="164">
        <v>67.400000000000006</v>
      </c>
      <c r="I9" s="165">
        <f>H9/SUM($H$8:$H$11)*SUM($H$8:$H$13)/$H$21</f>
        <v>0.18888454600830953</v>
      </c>
      <c r="J9" s="155">
        <v>29.98</v>
      </c>
      <c r="K9" s="156">
        <f>J9/SUM($J$8:$J$11)*SUM($J$8:$J$13)/$J$21</f>
        <v>9.3310522321010989E-2</v>
      </c>
      <c r="L9" s="164">
        <v>27.286300000000001</v>
      </c>
      <c r="M9" s="165">
        <f t="shared" ref="M9:M11" si="2">L9/SUM($L$8:$L$11)*SUM($L$8:$L$13)/$L$21</f>
        <v>8.6854279377716989E-2</v>
      </c>
      <c r="N9" s="147">
        <v>27.286300000000001</v>
      </c>
      <c r="O9" s="148">
        <f>N9/SUM($N$8:$N$11)*SUM($N$8:$N$13)/$N$21</f>
        <v>8.6854279377716989E-2</v>
      </c>
      <c r="P9" s="168">
        <f>D9-110</f>
        <v>43.381</v>
      </c>
      <c r="Q9" s="165">
        <f>P9/SUM($P$8:$P$11)*SUM($P$8:$P$13)/$P$21</f>
        <v>0.12700779487451108</v>
      </c>
      <c r="R9" s="67">
        <f>F9-110</f>
        <v>17.644999999999996</v>
      </c>
      <c r="S9" s="148">
        <f t="shared" ref="S9:S11" si="3">R9/SUM($R$8:$R$11)*SUM($R$8:$R$13)/$R$21</f>
        <v>5.2267289401376239E-2</v>
      </c>
    </row>
    <row r="10" spans="1:19" x14ac:dyDescent="0.25">
      <c r="A10" s="193"/>
      <c r="B10" s="2" t="s">
        <v>24</v>
      </c>
      <c r="C10" s="142" t="s">
        <v>44</v>
      </c>
      <c r="D10" s="168">
        <v>37.447200000000002</v>
      </c>
      <c r="E10" s="165">
        <f t="shared" si="1"/>
        <v>9.4351690633654658E-2</v>
      </c>
      <c r="F10" s="67">
        <v>35.24</v>
      </c>
      <c r="G10" s="148">
        <f>F10/SUM($F$8:$F$11)*SUM($F$8:$F$13)/$F$21</f>
        <v>8.8620674141499461E-2</v>
      </c>
      <c r="H10" s="164">
        <v>34.084000000000003</v>
      </c>
      <c r="I10" s="165">
        <f>H10/SUM($H$8:$H$11)*SUM($H$8:$H$13)/$H$21</f>
        <v>9.551841047696176E-2</v>
      </c>
      <c r="J10" s="155">
        <v>33.726999999999997</v>
      </c>
      <c r="K10" s="156">
        <f t="shared" ref="K10:K11" si="4">J10/SUM($J$8:$J$11)*SUM($J$8:$J$13)/$J$21</f>
        <v>0.10497278139829011</v>
      </c>
      <c r="L10" s="164">
        <v>32.871499999999997</v>
      </c>
      <c r="M10" s="165">
        <f t="shared" si="2"/>
        <v>0.10463237758745683</v>
      </c>
      <c r="N10" s="147">
        <v>32.871499999999997</v>
      </c>
      <c r="O10" s="148">
        <f>N10/SUM($N$8:$N$11)*SUM($N$8:$N$13)/$N$21</f>
        <v>0.10463237758745683</v>
      </c>
      <c r="P10" s="168">
        <f>D10</f>
        <v>37.447200000000002</v>
      </c>
      <c r="Q10" s="165">
        <f>P10/SUM($P$8:$P$11)*SUM($P$8:$P$13)/$P$21</f>
        <v>0.10963523884246081</v>
      </c>
      <c r="R10" s="67">
        <f>F10</f>
        <v>35.24</v>
      </c>
      <c r="S10" s="148">
        <f t="shared" si="3"/>
        <v>0.1043864708701898</v>
      </c>
    </row>
    <row r="11" spans="1:19" x14ac:dyDescent="0.25">
      <c r="A11" s="193"/>
      <c r="B11" s="2" t="s">
        <v>25</v>
      </c>
      <c r="C11" s="142" t="s">
        <v>45</v>
      </c>
      <c r="D11" s="168">
        <v>8.8575999999999997</v>
      </c>
      <c r="E11" s="165">
        <f t="shared" si="1"/>
        <v>2.2317544034177707E-2</v>
      </c>
      <c r="F11" s="67">
        <v>11.548999999999999</v>
      </c>
      <c r="G11" s="148">
        <f>F11/SUM($F$8:$F$11)*SUM($F$8:$F$13)/$F$21</f>
        <v>2.9043137504545319E-2</v>
      </c>
      <c r="H11" s="164">
        <v>12.2303</v>
      </c>
      <c r="I11" s="165">
        <f>H11/SUM($H$8:$H$11)*SUM($H$8:$H$13)/$H$21</f>
        <v>3.4274698264768963E-2</v>
      </c>
      <c r="J11" s="155">
        <v>12.711399999999999</v>
      </c>
      <c r="K11" s="156">
        <f t="shared" si="4"/>
        <v>3.9563287973025323E-2</v>
      </c>
      <c r="L11" s="164">
        <v>12.3537</v>
      </c>
      <c r="M11" s="165">
        <f t="shared" si="2"/>
        <v>3.9322726465240883E-2</v>
      </c>
      <c r="N11" s="147">
        <v>12.3537</v>
      </c>
      <c r="O11" s="148">
        <f>N11/SUM($N$8:$N$11)*SUM($N$8:$N$13)/$N$21</f>
        <v>3.9322726465240883E-2</v>
      </c>
      <c r="P11" s="168">
        <f>D11+10</f>
        <v>18.857599999999998</v>
      </c>
      <c r="Q11" s="165">
        <f>P11/SUM($P$8:$P$11)*SUM($P$8:$P$13)/$P$21</f>
        <v>5.5209935055106608E-2</v>
      </c>
      <c r="R11" s="67">
        <f>F11+10</f>
        <v>21.548999999999999</v>
      </c>
      <c r="S11" s="148">
        <f t="shared" si="3"/>
        <v>6.3831556775871739E-2</v>
      </c>
    </row>
    <row r="12" spans="1:19" x14ac:dyDescent="0.25">
      <c r="A12" s="193"/>
      <c r="B12" s="175" t="s">
        <v>26</v>
      </c>
      <c r="C12" s="176" t="s">
        <v>155</v>
      </c>
      <c r="D12" s="168">
        <v>8.6821999999999999</v>
      </c>
      <c r="E12" s="165" t="s">
        <v>52</v>
      </c>
      <c r="F12" s="67">
        <v>16.920000000000002</v>
      </c>
      <c r="G12" s="148" t="s">
        <v>52</v>
      </c>
      <c r="H12" s="168">
        <v>26.107500000000002</v>
      </c>
      <c r="I12" s="165" t="s">
        <v>52</v>
      </c>
      <c r="J12" s="159">
        <v>26.699000000000002</v>
      </c>
      <c r="K12" s="156" t="s">
        <v>52</v>
      </c>
      <c r="L12" s="168">
        <v>17.9864</v>
      </c>
      <c r="M12" s="165" t="s">
        <v>52</v>
      </c>
      <c r="N12" s="67">
        <v>17.9864</v>
      </c>
      <c r="O12" s="148" t="s">
        <v>52</v>
      </c>
      <c r="P12" s="168">
        <f>D12</f>
        <v>8.6821999999999999</v>
      </c>
      <c r="Q12" s="165" t="s">
        <v>52</v>
      </c>
      <c r="R12" s="67">
        <f>F12</f>
        <v>16.920000000000002</v>
      </c>
      <c r="S12" s="148" t="s">
        <v>52</v>
      </c>
    </row>
    <row r="13" spans="1:19" ht="15.75" thickBot="1" x14ac:dyDescent="0.3">
      <c r="A13" s="194"/>
      <c r="B13" s="177" t="s">
        <v>27</v>
      </c>
      <c r="C13" s="178" t="s">
        <v>156</v>
      </c>
      <c r="D13" s="169">
        <v>3.3664999999999998</v>
      </c>
      <c r="E13" s="167" t="s">
        <v>52</v>
      </c>
      <c r="F13" s="68">
        <v>2.8933</v>
      </c>
      <c r="G13" s="150" t="s">
        <v>52</v>
      </c>
      <c r="H13" s="169">
        <v>3.3664999999999998</v>
      </c>
      <c r="I13" s="167" t="s">
        <v>52</v>
      </c>
      <c r="J13" s="160">
        <v>2.91</v>
      </c>
      <c r="K13" s="158" t="s">
        <v>52</v>
      </c>
      <c r="L13" s="169">
        <v>2.5828000000000002</v>
      </c>
      <c r="M13" s="167" t="s">
        <v>52</v>
      </c>
      <c r="N13" s="68">
        <v>2.5828000000000002</v>
      </c>
      <c r="O13" s="150" t="s">
        <v>52</v>
      </c>
      <c r="P13" s="168">
        <f>D13</f>
        <v>3.3664999999999998</v>
      </c>
      <c r="Q13" s="167" t="s">
        <v>52</v>
      </c>
      <c r="R13" s="68">
        <f>F13</f>
        <v>2.8933</v>
      </c>
      <c r="S13" s="150" t="s">
        <v>52</v>
      </c>
    </row>
    <row r="14" spans="1:19" x14ac:dyDescent="0.25">
      <c r="A14" s="192" t="s">
        <v>38</v>
      </c>
      <c r="B14" s="13" t="s">
        <v>28</v>
      </c>
      <c r="C14" s="144" t="s">
        <v>46</v>
      </c>
      <c r="D14" s="172">
        <v>24.327300000000001</v>
      </c>
      <c r="E14" s="163">
        <f>D14/SUM($D$14:$D$18)*SUM($D$14:$D$20)/$D$21</f>
        <v>5.8827733911524127E-2</v>
      </c>
      <c r="F14" s="66">
        <v>38.57</v>
      </c>
      <c r="G14" s="146">
        <f>F14/SUM($F$14:$F$18)*SUM($F$14:$F$20)/$F$21</f>
        <v>9.0383686599897886E-2</v>
      </c>
      <c r="H14" s="162">
        <v>59.87124</v>
      </c>
      <c r="I14" s="163">
        <f>H14/SUM($H$14:$H$18)*SUM($H$14:$H$20)/$H$21</f>
        <v>0.14694314063230521</v>
      </c>
      <c r="J14" s="153">
        <v>60.954000000000001</v>
      </c>
      <c r="K14" s="154">
        <f>J14/SUM($J$14:$J$18)*SUM($J$14:$J$20)/$J$21</f>
        <v>0.16376725364238842</v>
      </c>
      <c r="L14" s="162">
        <v>66.864999999999995</v>
      </c>
      <c r="M14" s="163">
        <f>L14/SUM($L$14:$L$18)*SUM($L$14:$L$20)/$L$21</f>
        <v>0.19812078939262631</v>
      </c>
      <c r="N14" s="145">
        <v>66.864999999999995</v>
      </c>
      <c r="O14" s="146">
        <f>N14/SUM($N$14:$N$18)*SUM($N$14:$N$20)/$N$21</f>
        <v>0.19812078939262631</v>
      </c>
      <c r="P14" s="172">
        <f>D14+50</f>
        <v>74.327300000000008</v>
      </c>
      <c r="Q14" s="163">
        <f>P14/SUM($P$14:$P$18)*SUM($P$14:$P$20)/$P$21</f>
        <v>0.20445732499334271</v>
      </c>
      <c r="R14" s="66">
        <f>F14+50</f>
        <v>88.57</v>
      </c>
      <c r="S14" s="146">
        <f>R14/SUM($R$14:$R$18)*SUM($R$14:$R$20)/$R$21</f>
        <v>0.23509813097384033</v>
      </c>
    </row>
    <row r="15" spans="1:19" x14ac:dyDescent="0.25">
      <c r="A15" s="193"/>
      <c r="B15" s="2" t="s">
        <v>29</v>
      </c>
      <c r="C15" s="142" t="s">
        <v>47</v>
      </c>
      <c r="D15" s="168">
        <v>16.312899999999999</v>
      </c>
      <c r="E15" s="165">
        <f t="shared" ref="E15:E18" si="5">D15/SUM($D$14:$D$18)*SUM($D$14:$D$20)/$D$21</f>
        <v>3.9447490700788901E-2</v>
      </c>
      <c r="F15" s="67">
        <v>17.14</v>
      </c>
      <c r="G15" s="148">
        <f>F15/SUM($F$14:$F$18)*SUM($F$14:$F$20)/$F$21</f>
        <v>4.0165319894276637E-2</v>
      </c>
      <c r="H15" s="164">
        <v>20.214393000000001</v>
      </c>
      <c r="I15" s="165">
        <f>H15/SUM($H$14:$H$18)*SUM($H$14:$H$20)/$H$21</f>
        <v>4.9612575142851334E-2</v>
      </c>
      <c r="J15" s="155">
        <v>21.42</v>
      </c>
      <c r="K15" s="156">
        <f t="shared" ref="K15:K18" si="6">J15/SUM($J$14:$J$18)*SUM($J$14:$J$20)/$J$21</f>
        <v>5.7549866670275299E-2</v>
      </c>
      <c r="L15" s="164">
        <v>18.174499999999998</v>
      </c>
      <c r="M15" s="165">
        <f t="shared" ref="M15:M18" si="7">L15/SUM($L$14:$L$18)*SUM($L$14:$L$20)/$L$21</f>
        <v>5.3850987614092398E-2</v>
      </c>
      <c r="N15" s="147">
        <v>18.174499999999998</v>
      </c>
      <c r="O15" s="148">
        <f t="shared" ref="O15:O18" si="8">N15/SUM($N$14:$N$18)*SUM($N$14:$N$20)/$N$21</f>
        <v>5.3850987614092398E-2</v>
      </c>
      <c r="P15" s="168">
        <f t="shared" ref="P15:P20" si="9">D15</f>
        <v>16.312899999999999</v>
      </c>
      <c r="Q15" s="165">
        <f>P15/SUM($P$14:$P$18)*SUM($P$14:$P$20)/$P$21</f>
        <v>4.487303987745956E-2</v>
      </c>
      <c r="R15" s="67">
        <f t="shared" ref="R15:R20" si="10">F15</f>
        <v>17.14</v>
      </c>
      <c r="S15" s="148">
        <f t="shared" ref="S15:S18" si="11">R15/SUM($R$14:$R$18)*SUM($R$14:$R$20)/$R$21</f>
        <v>4.5496014055454712E-2</v>
      </c>
    </row>
    <row r="16" spans="1:19" x14ac:dyDescent="0.25">
      <c r="A16" s="193"/>
      <c r="B16" s="2" t="s">
        <v>30</v>
      </c>
      <c r="C16" s="142" t="s">
        <v>48</v>
      </c>
      <c r="D16" s="168">
        <v>14.051842000000001</v>
      </c>
      <c r="E16" s="165">
        <f t="shared" si="5"/>
        <v>3.3979850708577564E-2</v>
      </c>
      <c r="F16" s="67">
        <v>16.32</v>
      </c>
      <c r="G16" s="148">
        <f>F16/SUM($F$14:$F$18)*SUM($F$14:$F$20)/$F$21</f>
        <v>3.8243758499101208E-2</v>
      </c>
      <c r="H16" s="164">
        <v>18.949741</v>
      </c>
      <c r="I16" s="165">
        <f>H16/SUM($H$14:$H$18)*SUM($H$14:$H$20)/$H$21</f>
        <v>4.65087153148784E-2</v>
      </c>
      <c r="J16" s="155">
        <v>18.54</v>
      </c>
      <c r="K16" s="156">
        <f t="shared" si="6"/>
        <v>4.9812069470910554E-2</v>
      </c>
      <c r="L16" s="164">
        <v>17.801385</v>
      </c>
      <c r="M16" s="165">
        <f t="shared" si="7"/>
        <v>5.2745449016407063E-2</v>
      </c>
      <c r="N16" s="147">
        <v>17.801385</v>
      </c>
      <c r="O16" s="148">
        <f t="shared" si="8"/>
        <v>5.2745449016407063E-2</v>
      </c>
      <c r="P16" s="168">
        <f t="shared" si="9"/>
        <v>14.051842000000001</v>
      </c>
      <c r="Q16" s="165">
        <f>P16/SUM($P$14:$P$18)*SUM($P$14:$P$20)/$P$21</f>
        <v>3.865338881607569E-2</v>
      </c>
      <c r="R16" s="67">
        <f t="shared" si="10"/>
        <v>16.32</v>
      </c>
      <c r="S16" s="148">
        <f t="shared" si="11"/>
        <v>4.3319425285007047E-2</v>
      </c>
    </row>
    <row r="17" spans="1:19" x14ac:dyDescent="0.25">
      <c r="A17" s="193"/>
      <c r="B17" s="2" t="s">
        <v>31</v>
      </c>
      <c r="C17" s="142" t="s">
        <v>49</v>
      </c>
      <c r="D17" s="168">
        <f>13-0.1-1.5</f>
        <v>11.4</v>
      </c>
      <c r="E17" s="165">
        <f t="shared" si="5"/>
        <v>2.7567225569273001E-2</v>
      </c>
      <c r="F17" s="67">
        <f>24.519-F18</f>
        <v>15.918999999999997</v>
      </c>
      <c r="G17" s="148">
        <f>F17/SUM($F$14:$F$18)*SUM($F$14:$F$20)/$F$21</f>
        <v>3.7304068109509314E-2</v>
      </c>
      <c r="H17" s="164">
        <v>27.651717000000001</v>
      </c>
      <c r="I17" s="165">
        <f>H17/SUM($H$14:$H$18)*SUM($H$14:$H$20)/$H$21</f>
        <v>6.7866143073965143E-2</v>
      </c>
      <c r="J17" s="155">
        <v>28.15</v>
      </c>
      <c r="K17" s="156">
        <f t="shared" si="6"/>
        <v>7.5631594153513046E-2</v>
      </c>
      <c r="L17" s="164">
        <v>13.6</v>
      </c>
      <c r="M17" s="165">
        <f t="shared" si="7"/>
        <v>4.0296758180508763E-2</v>
      </c>
      <c r="N17" s="147">
        <v>13.6</v>
      </c>
      <c r="O17" s="148">
        <f t="shared" si="8"/>
        <v>4.0296758180508763E-2</v>
      </c>
      <c r="P17" s="168">
        <f t="shared" si="9"/>
        <v>11.4</v>
      </c>
      <c r="Q17" s="165">
        <f>P17/SUM($P$14:$P$18)*SUM($P$14:$P$20)/$P$21</f>
        <v>3.1358780756520238E-2</v>
      </c>
      <c r="R17" s="67">
        <f t="shared" si="10"/>
        <v>15.918999999999997</v>
      </c>
      <c r="S17" s="148">
        <f t="shared" si="11"/>
        <v>4.2255020288727144E-2</v>
      </c>
    </row>
    <row r="18" spans="1:19" x14ac:dyDescent="0.25">
      <c r="A18" s="193"/>
      <c r="B18" s="2" t="s">
        <v>32</v>
      </c>
      <c r="C18" s="142" t="s">
        <v>50</v>
      </c>
      <c r="D18" s="168">
        <f>15.4-0.7-6.1</f>
        <v>8.6000000000000014</v>
      </c>
      <c r="E18" s="165">
        <f t="shared" si="5"/>
        <v>2.079632806103051E-2</v>
      </c>
      <c r="F18" s="67">
        <f>15.4-0.7-6.1</f>
        <v>8.6000000000000014</v>
      </c>
      <c r="G18" s="148">
        <f>F18/SUM($F$14:$F$18)*SUM($F$14:$F$20)/$F$21</f>
        <v>2.015296097379108E-2</v>
      </c>
      <c r="H18" s="164">
        <v>3.987155</v>
      </c>
      <c r="I18" s="165">
        <f>H18/SUM($H$14:$H$18)*SUM($H$14:$H$20)/$H$21</f>
        <v>9.7857515208938199E-3</v>
      </c>
      <c r="J18" s="155">
        <v>5.6559999999999997</v>
      </c>
      <c r="K18" s="156">
        <f t="shared" si="6"/>
        <v>1.5196173944307985E-2</v>
      </c>
      <c r="L18" s="164">
        <v>8.6000000000000014</v>
      </c>
      <c r="M18" s="165">
        <f t="shared" si="7"/>
        <v>2.5481773555321725E-2</v>
      </c>
      <c r="N18" s="147">
        <v>8.6000000000000014</v>
      </c>
      <c r="O18" s="148">
        <f t="shared" si="8"/>
        <v>2.5481773555321725E-2</v>
      </c>
      <c r="P18" s="168">
        <f t="shared" si="9"/>
        <v>8.6000000000000014</v>
      </c>
      <c r="Q18" s="165">
        <f>P18/SUM($P$14:$P$18)*SUM($P$14:$P$20)/$P$21</f>
        <v>2.3656624079480184E-2</v>
      </c>
      <c r="R18" s="67">
        <f t="shared" si="10"/>
        <v>8.6000000000000014</v>
      </c>
      <c r="S18" s="148">
        <f t="shared" si="11"/>
        <v>2.2827638324207151E-2</v>
      </c>
    </row>
    <row r="19" spans="1:19" x14ac:dyDescent="0.25">
      <c r="A19" s="193"/>
      <c r="B19" s="175" t="s">
        <v>33</v>
      </c>
      <c r="C19" s="176" t="s">
        <v>157</v>
      </c>
      <c r="D19" s="168">
        <v>0</v>
      </c>
      <c r="E19" s="165" t="s">
        <v>52</v>
      </c>
      <c r="F19" s="67">
        <v>0</v>
      </c>
      <c r="G19" s="148" t="s">
        <v>52</v>
      </c>
      <c r="H19" s="168">
        <v>0</v>
      </c>
      <c r="I19" s="165" t="s">
        <v>52</v>
      </c>
      <c r="J19" s="159">
        <f>136.3932-SUM(J14:J18)</f>
        <v>1.6732000000000085</v>
      </c>
      <c r="K19" s="156" t="s">
        <v>52</v>
      </c>
      <c r="L19" s="168">
        <v>6.07</v>
      </c>
      <c r="M19" s="165" t="s">
        <v>52</v>
      </c>
      <c r="N19" s="67">
        <v>6.07</v>
      </c>
      <c r="O19" s="148" t="s">
        <v>52</v>
      </c>
      <c r="P19" s="168">
        <f t="shared" si="9"/>
        <v>0</v>
      </c>
      <c r="Q19" s="165" t="str">
        <f>G19</f>
        <v>-</v>
      </c>
      <c r="R19" s="67">
        <f t="shared" si="10"/>
        <v>0</v>
      </c>
      <c r="S19" s="148" t="str">
        <f>I19</f>
        <v>-</v>
      </c>
    </row>
    <row r="20" spans="1:19" ht="15.75" thickBot="1" x14ac:dyDescent="0.3">
      <c r="A20" s="194"/>
      <c r="B20" s="177" t="s">
        <v>34</v>
      </c>
      <c r="C20" s="178" t="s">
        <v>158</v>
      </c>
      <c r="D20" s="169">
        <v>0</v>
      </c>
      <c r="E20" s="167" t="s">
        <v>52</v>
      </c>
      <c r="F20" s="68">
        <v>0</v>
      </c>
      <c r="G20" s="150" t="s">
        <v>52</v>
      </c>
      <c r="H20" s="169">
        <v>0</v>
      </c>
      <c r="I20" s="167" t="s">
        <v>52</v>
      </c>
      <c r="J20" s="160">
        <v>0</v>
      </c>
      <c r="K20" s="158" t="s">
        <v>52</v>
      </c>
      <c r="L20" s="169">
        <v>0</v>
      </c>
      <c r="M20" s="167" t="s">
        <v>52</v>
      </c>
      <c r="N20" s="68">
        <v>0</v>
      </c>
      <c r="O20" s="150" t="s">
        <v>52</v>
      </c>
      <c r="P20" s="168">
        <f t="shared" si="9"/>
        <v>0</v>
      </c>
      <c r="Q20" s="167" t="str">
        <f>G20</f>
        <v>-</v>
      </c>
      <c r="R20" s="68">
        <f t="shared" si="10"/>
        <v>0</v>
      </c>
      <c r="S20" s="150" t="str">
        <f>I20</f>
        <v>-</v>
      </c>
    </row>
    <row r="21" spans="1:19" ht="15.75" thickBot="1" x14ac:dyDescent="0.3">
      <c r="A21" s="195" t="s">
        <v>35</v>
      </c>
      <c r="B21" s="196"/>
      <c r="C21" s="187" t="s">
        <v>144</v>
      </c>
      <c r="D21" s="170">
        <f>SUM(D2:D20)</f>
        <v>413.53454200000004</v>
      </c>
      <c r="E21" s="171">
        <f t="shared" ref="E21:S21" si="12">SUM(E2:E20)</f>
        <v>1</v>
      </c>
      <c r="F21" s="151">
        <f>SUM(F2:F20)</f>
        <v>426.73629999999997</v>
      </c>
      <c r="G21" s="152">
        <f t="shared" si="12"/>
        <v>1.0000000000000002</v>
      </c>
      <c r="H21" s="170">
        <f t="shared" si="12"/>
        <v>407.44494599999996</v>
      </c>
      <c r="I21" s="171">
        <f t="shared" si="12"/>
        <v>1</v>
      </c>
      <c r="J21" s="161">
        <f>SUM(J2:J20)</f>
        <v>376.82160000000005</v>
      </c>
      <c r="K21" s="190">
        <f>SUM(K2:K20)</f>
        <v>0.99999999999999989</v>
      </c>
      <c r="L21" s="170">
        <f t="shared" si="12"/>
        <v>353.87958500000002</v>
      </c>
      <c r="M21" s="171">
        <f t="shared" si="12"/>
        <v>1</v>
      </c>
      <c r="N21" s="151">
        <f t="shared" si="12"/>
        <v>353.87958500000002</v>
      </c>
      <c r="O21" s="152">
        <f t="shared" si="12"/>
        <v>1</v>
      </c>
      <c r="P21" s="170">
        <f t="shared" si="12"/>
        <v>363.53454200000004</v>
      </c>
      <c r="Q21" s="171">
        <f t="shared" si="12"/>
        <v>1</v>
      </c>
      <c r="R21" s="151">
        <f t="shared" si="12"/>
        <v>376.73629999999997</v>
      </c>
      <c r="S21" s="152">
        <f t="shared" si="12"/>
        <v>1</v>
      </c>
    </row>
    <row r="22" spans="1:19" hidden="1" x14ac:dyDescent="0.25">
      <c r="A22" t="s">
        <v>135</v>
      </c>
      <c r="D22" s="128">
        <f>311.748/9.77</f>
        <v>31.908700102354146</v>
      </c>
      <c r="E22" s="128"/>
      <c r="F22" s="128">
        <f>311.748/9.77</f>
        <v>31.908700102354146</v>
      </c>
      <c r="G22" s="128"/>
      <c r="H22" s="128">
        <f>563.7/9.77</f>
        <v>57.697031729785067</v>
      </c>
      <c r="I22" s="128"/>
      <c r="J22" s="128">
        <f>563.7/9.77</f>
        <v>57.697031729785067</v>
      </c>
      <c r="K22" s="128"/>
      <c r="L22" s="128">
        <f>563.7/9.77</f>
        <v>57.697031729785067</v>
      </c>
      <c r="M22" s="128"/>
      <c r="N22" s="128">
        <f>563.7/9.77</f>
        <v>57.697031729785067</v>
      </c>
      <c r="O22" s="128"/>
      <c r="P22" s="128"/>
      <c r="Q22" s="128"/>
      <c r="R22" s="128"/>
      <c r="S22" s="128"/>
    </row>
    <row r="23" spans="1:19" hidden="1" x14ac:dyDescent="0.25">
      <c r="A23" t="s">
        <v>146</v>
      </c>
      <c r="D23" s="128">
        <f>90.491-57.804</f>
        <v>32.686999999999998</v>
      </c>
      <c r="E23" s="128"/>
      <c r="F23" s="128">
        <f>60.213-47.481</f>
        <v>12.731999999999999</v>
      </c>
      <c r="G23" s="128"/>
      <c r="H23" s="128">
        <f>95.945-90.491</f>
        <v>5.4539999999999935</v>
      </c>
      <c r="I23" s="128"/>
      <c r="J23" s="128">
        <f>82.344-60.213</f>
        <v>22.130999999999993</v>
      </c>
      <c r="K23" s="128"/>
      <c r="L23" s="128">
        <f>90.491-57.804</f>
        <v>32.686999999999998</v>
      </c>
      <c r="M23" s="128"/>
      <c r="N23" s="128">
        <f>60.213-47.481</f>
        <v>12.731999999999999</v>
      </c>
      <c r="S23" s="128"/>
    </row>
    <row r="24" spans="1:19" hidden="1" x14ac:dyDescent="0.25">
      <c r="A24" t="s">
        <v>134</v>
      </c>
      <c r="D24" s="128">
        <f>D21-D23</f>
        <v>380.84754200000003</v>
      </c>
      <c r="E24" s="128"/>
      <c r="F24" s="128">
        <f>F21-F23</f>
        <v>414.00429999999994</v>
      </c>
      <c r="G24" s="128"/>
      <c r="H24" s="128">
        <f>H21-H23</f>
        <v>401.99094599999995</v>
      </c>
      <c r="I24" s="128"/>
      <c r="J24" s="128">
        <f>J21-J23</f>
        <v>354.69060000000007</v>
      </c>
      <c r="K24" s="128"/>
      <c r="L24" s="128">
        <f>L21-L23</f>
        <v>321.19258500000001</v>
      </c>
      <c r="M24" s="128"/>
      <c r="N24" s="128">
        <f>N21-N23</f>
        <v>341.14758500000005</v>
      </c>
      <c r="O24" s="128"/>
      <c r="P24" s="128" t="e">
        <f>P21-#REF!</f>
        <v>#REF!</v>
      </c>
      <c r="Q24" s="128"/>
      <c r="R24" s="128" t="e">
        <f>R21-#REF!</f>
        <v>#REF!</v>
      </c>
      <c r="S24" s="128"/>
    </row>
    <row r="25" spans="1:19" hidden="1" x14ac:dyDescent="0.25">
      <c r="D25" s="128"/>
      <c r="E25" s="128"/>
      <c r="F25" s="128"/>
      <c r="G25" s="128"/>
      <c r="H25" s="128">
        <f>$F$24-H24</f>
        <v>12.013353999999993</v>
      </c>
      <c r="I25" s="128"/>
      <c r="J25" s="128">
        <f>$F$24-J24</f>
        <v>59.313699999999869</v>
      </c>
      <c r="K25" s="128"/>
      <c r="L25" s="128">
        <f>$F$24-L24</f>
        <v>92.811714999999936</v>
      </c>
      <c r="M25" s="128"/>
      <c r="N25" s="128">
        <f>$F$24-N24</f>
        <v>72.856714999999895</v>
      </c>
      <c r="O25" s="128"/>
      <c r="P25" s="128" t="e">
        <f>$F$24-P24</f>
        <v>#REF!</v>
      </c>
      <c r="Q25" s="128"/>
      <c r="R25" s="128" t="e">
        <f>$F$24-R24</f>
        <v>#REF!</v>
      </c>
      <c r="S25" s="128"/>
    </row>
    <row r="26" spans="1:19" hidden="1" x14ac:dyDescent="0.25">
      <c r="A26" t="s">
        <v>145</v>
      </c>
      <c r="H26" s="128">
        <f>D21-H21</f>
        <v>6.0895960000000855</v>
      </c>
      <c r="J26" s="128">
        <f>F21-J21</f>
        <v>49.914699999999925</v>
      </c>
      <c r="L26" s="128">
        <f>H21-L21</f>
        <v>53.565360999999939</v>
      </c>
      <c r="N26" s="128">
        <f>J21-N21</f>
        <v>22.942015000000026</v>
      </c>
      <c r="P26" s="128">
        <f>D21-P21</f>
        <v>50</v>
      </c>
      <c r="R26" s="128">
        <f>F21-R21</f>
        <v>50</v>
      </c>
    </row>
    <row r="29" spans="1:19" x14ac:dyDescent="0.25">
      <c r="J29" s="128"/>
    </row>
  </sheetData>
  <mergeCells count="4">
    <mergeCell ref="A2:A7"/>
    <mergeCell ref="A8:A13"/>
    <mergeCell ref="A14:A20"/>
    <mergeCell ref="A21:B2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A8D-8EBB-472B-ACA0-7B34D677C5F8}">
  <dimension ref="A1:AD48"/>
  <sheetViews>
    <sheetView tabSelected="1" zoomScale="90" zoomScaleNormal="90" workbookViewId="0">
      <selection activeCell="Q39" sqref="Q39"/>
    </sheetView>
  </sheetViews>
  <sheetFormatPr defaultRowHeight="15" x14ac:dyDescent="0.25"/>
  <cols>
    <col min="1" max="1" width="18" customWidth="1"/>
    <col min="2" max="2" width="12.140625" customWidth="1"/>
    <col min="3" max="3" width="23.42578125" customWidth="1"/>
    <col min="4" max="4" width="13.140625" bestFit="1" customWidth="1"/>
    <col min="5" max="5" width="11" bestFit="1" customWidth="1"/>
    <col min="6" max="6" width="12.140625" bestFit="1" customWidth="1"/>
    <col min="7" max="7" width="14" bestFit="1" customWidth="1"/>
    <col min="8" max="8" width="11.85546875" bestFit="1" customWidth="1"/>
    <col min="9" max="9" width="13.140625" bestFit="1" customWidth="1"/>
    <col min="10" max="10" width="16.5703125" bestFit="1" customWidth="1"/>
    <col min="11" max="11" width="14.5703125" bestFit="1" customWidth="1"/>
    <col min="12" max="12" width="15.7109375" bestFit="1" customWidth="1"/>
    <col min="13" max="13" width="12.42578125" bestFit="1" customWidth="1"/>
    <col min="14" max="14" width="10.42578125" bestFit="1" customWidth="1"/>
    <col min="15" max="15" width="11.5703125" bestFit="1" customWidth="1"/>
    <col min="16" max="16" width="13.7109375" bestFit="1" customWidth="1"/>
    <col min="17" max="17" width="11.5703125" bestFit="1" customWidth="1"/>
    <col min="18" max="18" width="12.7109375" bestFit="1" customWidth="1"/>
    <col min="24" max="24" width="16.7109375" bestFit="1" customWidth="1"/>
    <col min="25" max="30" width="12" bestFit="1" customWidth="1"/>
  </cols>
  <sheetData>
    <row r="1" spans="1:30" x14ac:dyDescent="0.25">
      <c r="D1" s="205" t="s">
        <v>121</v>
      </c>
      <c r="E1" s="206"/>
      <c r="F1" s="207"/>
      <c r="G1" s="214" t="s">
        <v>102</v>
      </c>
      <c r="H1" s="215"/>
      <c r="I1" s="215"/>
      <c r="J1" s="215" t="s">
        <v>14</v>
      </c>
      <c r="K1" s="215"/>
      <c r="L1" s="215"/>
      <c r="M1" s="215" t="s">
        <v>2</v>
      </c>
      <c r="N1" s="215"/>
      <c r="O1" s="215"/>
      <c r="P1" s="215" t="s">
        <v>15</v>
      </c>
      <c r="Q1" s="215"/>
      <c r="R1" s="215"/>
    </row>
    <row r="2" spans="1:30" ht="15.75" thickBot="1" x14ac:dyDescent="0.3">
      <c r="B2" s="122" t="s">
        <v>0</v>
      </c>
      <c r="C2" s="123" t="s">
        <v>51</v>
      </c>
      <c r="D2" s="124" t="s">
        <v>77</v>
      </c>
      <c r="E2" s="122" t="s">
        <v>78</v>
      </c>
      <c r="F2" s="125" t="s">
        <v>122</v>
      </c>
      <c r="G2" s="126" t="s">
        <v>104</v>
      </c>
      <c r="H2" s="122" t="s">
        <v>105</v>
      </c>
      <c r="I2" s="127" t="s">
        <v>130</v>
      </c>
      <c r="J2" s="122" t="s">
        <v>85</v>
      </c>
      <c r="K2" s="122" t="s">
        <v>86</v>
      </c>
      <c r="L2" s="127" t="s">
        <v>131</v>
      </c>
      <c r="M2" s="122" t="s">
        <v>81</v>
      </c>
      <c r="N2" s="122" t="s">
        <v>82</v>
      </c>
      <c r="O2" s="127" t="s">
        <v>132</v>
      </c>
      <c r="P2" s="122" t="s">
        <v>83</v>
      </c>
      <c r="Q2" s="122" t="s">
        <v>84</v>
      </c>
      <c r="R2" s="127" t="s">
        <v>133</v>
      </c>
    </row>
    <row r="3" spans="1:30" x14ac:dyDescent="0.25">
      <c r="A3" s="208" t="s">
        <v>10</v>
      </c>
      <c r="B3" s="69" t="s">
        <v>1</v>
      </c>
      <c r="C3" s="70" t="s">
        <v>53</v>
      </c>
      <c r="D3" s="71">
        <f>451.865+33.261</f>
        <v>485.12600000000003</v>
      </c>
      <c r="E3" s="72">
        <f t="shared" ref="E3:E10" si="0">D3/SUM($D$3:$D$12)</f>
        <v>1</v>
      </c>
      <c r="F3" s="73">
        <f>D3*$B$38</f>
        <v>247.41426000000001</v>
      </c>
      <c r="G3" s="74">
        <f>D3-SUM(G4:G12)</f>
        <v>504.66600000000005</v>
      </c>
      <c r="H3" s="72">
        <f>G3/SUM($D$3:$D$12)</f>
        <v>1.0402781957676974</v>
      </c>
      <c r="I3" s="73">
        <f>G3*$B$38</f>
        <v>257.37966000000006</v>
      </c>
      <c r="J3" s="75">
        <f>D3-SUM(J4:J12)</f>
        <v>182.25600000000003</v>
      </c>
      <c r="K3" s="72">
        <f t="shared" ref="K3:K10" si="1">J3/SUM($D$3:$D$12)</f>
        <v>0.37568796560068934</v>
      </c>
      <c r="L3" s="73">
        <f>J3*$B$38</f>
        <v>92.95056000000001</v>
      </c>
      <c r="M3" s="75">
        <f>D3-SUM(M4:M12)</f>
        <v>-3.3739999999999668</v>
      </c>
      <c r="N3" s="72">
        <f t="shared" ref="N3:N10" si="2">M3/SUM($D$3:$D$12)</f>
        <v>-6.9548941924365351E-3</v>
      </c>
      <c r="O3" s="73">
        <f>M3*$B$38</f>
        <v>-1.7207399999999831</v>
      </c>
      <c r="P3" s="75">
        <f>D3-SUM(P4:P12)</f>
        <v>94.326000000000079</v>
      </c>
      <c r="Q3" s="72">
        <f t="shared" ref="Q3:Q10" si="3">P3/SUM($D$3:$D$12)</f>
        <v>0.19443608464605086</v>
      </c>
      <c r="R3" s="73">
        <f>P3*$B$38</f>
        <v>48.106260000000042</v>
      </c>
      <c r="V3" s="128"/>
    </row>
    <row r="4" spans="1:30" x14ac:dyDescent="0.25">
      <c r="A4" s="209"/>
      <c r="B4" s="76" t="s">
        <v>2</v>
      </c>
      <c r="C4" s="77" t="s">
        <v>54</v>
      </c>
      <c r="D4" s="78">
        <v>0</v>
      </c>
      <c r="E4" s="79">
        <f t="shared" si="0"/>
        <v>0</v>
      </c>
      <c r="F4" s="80">
        <f t="shared" ref="F4:F17" si="4">D4*0.51</f>
        <v>0</v>
      </c>
      <c r="G4" s="129">
        <f>6*9.77</f>
        <v>58.62</v>
      </c>
      <c r="H4" s="79">
        <f>G4/SUM($D$3:$D$12)</f>
        <v>0.12083458730309238</v>
      </c>
      <c r="I4" s="80">
        <f t="shared" ref="I4:I17" si="5">G4*$B$38</f>
        <v>29.8962</v>
      </c>
      <c r="J4" s="134">
        <f>24*9.77</f>
        <v>234.48</v>
      </c>
      <c r="K4" s="79">
        <f t="shared" si="1"/>
        <v>0.48333834921236951</v>
      </c>
      <c r="L4" s="80">
        <f>J4*$B$38</f>
        <v>119.5848</v>
      </c>
      <c r="M4" s="134">
        <f>50*9.77</f>
        <v>488.5</v>
      </c>
      <c r="N4" s="79">
        <f t="shared" si="2"/>
        <v>1.0069548941924364</v>
      </c>
      <c r="O4" s="80">
        <f t="shared" ref="O4:O17" si="6">M4*$B$38</f>
        <v>249.13499999999999</v>
      </c>
      <c r="P4" s="76">
        <v>0</v>
      </c>
      <c r="Q4" s="79">
        <f t="shared" si="3"/>
        <v>0</v>
      </c>
      <c r="R4" s="80">
        <f t="shared" ref="R4:R17" si="7">P4*$B$38</f>
        <v>0</v>
      </c>
      <c r="V4" s="128"/>
    </row>
    <row r="5" spans="1:30" x14ac:dyDescent="0.25">
      <c r="A5" s="209"/>
      <c r="B5" s="76" t="s">
        <v>3</v>
      </c>
      <c r="C5" s="77" t="s">
        <v>55</v>
      </c>
      <c r="D5" s="78">
        <v>0</v>
      </c>
      <c r="E5" s="79">
        <f t="shared" si="0"/>
        <v>0</v>
      </c>
      <c r="F5" s="80">
        <f t="shared" si="4"/>
        <v>0</v>
      </c>
      <c r="G5" s="129">
        <f>-22*9.77</f>
        <v>-214.94</v>
      </c>
      <c r="H5" s="79">
        <f t="shared" ref="H5:H11" si="8">G5/SUM($D$3:$D$12)</f>
        <v>-0.44306015344467209</v>
      </c>
      <c r="I5" s="80">
        <f t="shared" si="5"/>
        <v>-109.6194</v>
      </c>
      <c r="J5" s="134">
        <f>7*9.77</f>
        <v>68.39</v>
      </c>
      <c r="K5" s="79">
        <f t="shared" si="1"/>
        <v>0.14097368518694112</v>
      </c>
      <c r="L5" s="80">
        <f t="shared" ref="L5:L17" si="9">J5*$B$38</f>
        <v>34.878900000000002</v>
      </c>
      <c r="M5" s="76">
        <v>0</v>
      </c>
      <c r="N5" s="79">
        <f t="shared" si="2"/>
        <v>0</v>
      </c>
      <c r="O5" s="80">
        <f t="shared" si="6"/>
        <v>0</v>
      </c>
      <c r="P5" s="76">
        <v>0</v>
      </c>
      <c r="Q5" s="79">
        <f t="shared" si="3"/>
        <v>0</v>
      </c>
      <c r="R5" s="80">
        <f t="shared" si="7"/>
        <v>0</v>
      </c>
      <c r="V5" s="128"/>
    </row>
    <row r="6" spans="1:30" x14ac:dyDescent="0.25">
      <c r="A6" s="209"/>
      <c r="B6" s="76" t="s">
        <v>4</v>
      </c>
      <c r="C6" s="77" t="s">
        <v>56</v>
      </c>
      <c r="D6" s="78">
        <v>0</v>
      </c>
      <c r="E6" s="79">
        <f t="shared" si="0"/>
        <v>0</v>
      </c>
      <c r="F6" s="80">
        <f t="shared" si="4"/>
        <v>0</v>
      </c>
      <c r="G6" s="129">
        <f>5.5*9.77</f>
        <v>53.734999999999999</v>
      </c>
      <c r="H6" s="79">
        <f t="shared" si="8"/>
        <v>0.11076503836116802</v>
      </c>
      <c r="I6" s="80">
        <f t="shared" si="5"/>
        <v>27.40485</v>
      </c>
      <c r="J6" s="134">
        <v>0</v>
      </c>
      <c r="K6" s="79">
        <f t="shared" si="1"/>
        <v>0</v>
      </c>
      <c r="L6" s="80">
        <f t="shared" si="9"/>
        <v>0</v>
      </c>
      <c r="M6" s="76">
        <v>0</v>
      </c>
      <c r="N6" s="79">
        <f t="shared" si="2"/>
        <v>0</v>
      </c>
      <c r="O6" s="80">
        <f t="shared" si="6"/>
        <v>0</v>
      </c>
      <c r="P6" s="76">
        <f>20*9.77</f>
        <v>195.39999999999998</v>
      </c>
      <c r="Q6" s="79">
        <f t="shared" si="3"/>
        <v>0.40278195767697456</v>
      </c>
      <c r="R6" s="80">
        <f t="shared" si="7"/>
        <v>99.653999999999996</v>
      </c>
      <c r="V6" s="128"/>
    </row>
    <row r="7" spans="1:30" x14ac:dyDescent="0.25">
      <c r="A7" s="209"/>
      <c r="B7" s="76" t="s">
        <v>5</v>
      </c>
      <c r="C7" s="77" t="s">
        <v>57</v>
      </c>
      <c r="D7" s="78">
        <v>0</v>
      </c>
      <c r="E7" s="79">
        <f t="shared" si="0"/>
        <v>0</v>
      </c>
      <c r="F7" s="80">
        <f t="shared" si="4"/>
        <v>0</v>
      </c>
      <c r="G7" s="129">
        <f>5.5*9.77</f>
        <v>53.734999999999999</v>
      </c>
      <c r="H7" s="79">
        <f t="shared" si="8"/>
        <v>0.11076503836116802</v>
      </c>
      <c r="I7" s="80">
        <f t="shared" si="5"/>
        <v>27.40485</v>
      </c>
      <c r="J7" s="134">
        <v>0</v>
      </c>
      <c r="K7" s="79">
        <f t="shared" si="1"/>
        <v>0</v>
      </c>
      <c r="L7" s="80">
        <f t="shared" si="9"/>
        <v>0</v>
      </c>
      <c r="M7" s="76">
        <v>0</v>
      </c>
      <c r="N7" s="79">
        <f t="shared" si="2"/>
        <v>0</v>
      </c>
      <c r="O7" s="80">
        <f t="shared" si="6"/>
        <v>0</v>
      </c>
      <c r="P7" s="76">
        <f>20*9.77</f>
        <v>195.39999999999998</v>
      </c>
      <c r="Q7" s="79">
        <f t="shared" si="3"/>
        <v>0.40278195767697456</v>
      </c>
      <c r="R7" s="80">
        <f t="shared" si="7"/>
        <v>99.653999999999996</v>
      </c>
      <c r="V7" s="128"/>
    </row>
    <row r="8" spans="1:30" x14ac:dyDescent="0.25">
      <c r="A8" s="209"/>
      <c r="B8" s="76" t="s">
        <v>6</v>
      </c>
      <c r="C8" s="77" t="s">
        <v>58</v>
      </c>
      <c r="D8" s="78">
        <v>0</v>
      </c>
      <c r="E8" s="79">
        <f t="shared" si="0"/>
        <v>0</v>
      </c>
      <c r="F8" s="80">
        <f t="shared" si="4"/>
        <v>0</v>
      </c>
      <c r="G8" s="129">
        <v>0</v>
      </c>
      <c r="H8" s="79">
        <f t="shared" si="8"/>
        <v>0</v>
      </c>
      <c r="I8" s="80">
        <f t="shared" si="5"/>
        <v>0</v>
      </c>
      <c r="J8" s="134">
        <v>0</v>
      </c>
      <c r="K8" s="79">
        <f t="shared" si="1"/>
        <v>0</v>
      </c>
      <c r="L8" s="80">
        <f t="shared" si="9"/>
        <v>0</v>
      </c>
      <c r="M8" s="76">
        <v>0</v>
      </c>
      <c r="N8" s="79">
        <f t="shared" si="2"/>
        <v>0</v>
      </c>
      <c r="O8" s="80">
        <f t="shared" si="6"/>
        <v>0</v>
      </c>
      <c r="P8" s="76">
        <v>0</v>
      </c>
      <c r="Q8" s="79">
        <f t="shared" si="3"/>
        <v>0</v>
      </c>
      <c r="R8" s="80">
        <f t="shared" si="7"/>
        <v>0</v>
      </c>
      <c r="V8" s="128"/>
    </row>
    <row r="9" spans="1:30" x14ac:dyDescent="0.25">
      <c r="A9" s="209"/>
      <c r="B9" s="76" t="s">
        <v>7</v>
      </c>
      <c r="C9" s="77" t="s">
        <v>59</v>
      </c>
      <c r="D9" s="78">
        <v>0</v>
      </c>
      <c r="E9" s="79">
        <f t="shared" si="0"/>
        <v>0</v>
      </c>
      <c r="F9" s="80">
        <f t="shared" si="4"/>
        <v>0</v>
      </c>
      <c r="G9" s="129">
        <v>0</v>
      </c>
      <c r="H9" s="79">
        <f t="shared" si="8"/>
        <v>0</v>
      </c>
      <c r="I9" s="80">
        <f t="shared" si="5"/>
        <v>0</v>
      </c>
      <c r="J9" s="134">
        <v>0</v>
      </c>
      <c r="K9" s="79">
        <f t="shared" si="1"/>
        <v>0</v>
      </c>
      <c r="L9" s="80">
        <f t="shared" si="9"/>
        <v>0</v>
      </c>
      <c r="M9" s="76">
        <v>0</v>
      </c>
      <c r="N9" s="79">
        <f t="shared" si="2"/>
        <v>0</v>
      </c>
      <c r="O9" s="80">
        <f t="shared" si="6"/>
        <v>0</v>
      </c>
      <c r="P9" s="76">
        <v>0</v>
      </c>
      <c r="Q9" s="79">
        <f t="shared" si="3"/>
        <v>0</v>
      </c>
      <c r="R9" s="80">
        <f t="shared" si="7"/>
        <v>0</v>
      </c>
      <c r="V9" s="128"/>
      <c r="X9" s="26"/>
      <c r="Y9" s="26" t="s">
        <v>91</v>
      </c>
      <c r="Z9" s="26" t="s">
        <v>92</v>
      </c>
      <c r="AA9" s="26" t="s">
        <v>93</v>
      </c>
      <c r="AB9" s="26" t="s">
        <v>94</v>
      </c>
      <c r="AC9" s="26" t="s">
        <v>95</v>
      </c>
      <c r="AD9" s="26" t="s">
        <v>96</v>
      </c>
    </row>
    <row r="10" spans="1:30" x14ac:dyDescent="0.25">
      <c r="A10" s="209"/>
      <c r="B10" s="81" t="s">
        <v>8</v>
      </c>
      <c r="C10" s="82" t="s">
        <v>119</v>
      </c>
      <c r="D10" s="78">
        <v>0</v>
      </c>
      <c r="E10" s="79">
        <f t="shared" si="0"/>
        <v>0</v>
      </c>
      <c r="F10" s="80">
        <f t="shared" si="4"/>
        <v>0</v>
      </c>
      <c r="G10" s="129">
        <v>0</v>
      </c>
      <c r="H10" s="79">
        <f t="shared" si="8"/>
        <v>0</v>
      </c>
      <c r="I10" s="80">
        <f t="shared" si="5"/>
        <v>0</v>
      </c>
      <c r="J10" s="134">
        <v>0</v>
      </c>
      <c r="K10" s="79">
        <f t="shared" si="1"/>
        <v>0</v>
      </c>
      <c r="L10" s="80">
        <f t="shared" si="9"/>
        <v>0</v>
      </c>
      <c r="M10" s="76">
        <v>0</v>
      </c>
      <c r="N10" s="79">
        <f t="shared" si="2"/>
        <v>0</v>
      </c>
      <c r="O10" s="80">
        <f t="shared" si="6"/>
        <v>0</v>
      </c>
      <c r="P10" s="76">
        <v>0</v>
      </c>
      <c r="Q10" s="79">
        <f t="shared" si="3"/>
        <v>0</v>
      </c>
      <c r="R10" s="80">
        <f t="shared" si="7"/>
        <v>0</v>
      </c>
      <c r="V10" s="128"/>
      <c r="X10" s="64" t="s">
        <v>90</v>
      </c>
      <c r="Y10" s="26">
        <v>0.170276672595744</v>
      </c>
      <c r="Z10" s="26">
        <v>0.16062988018138</v>
      </c>
      <c r="AA10" s="26">
        <v>0.15728342434426801</v>
      </c>
      <c r="AB10" s="26">
        <v>0.15728342434426801</v>
      </c>
      <c r="AC10" s="26">
        <v>0.15393696850715599</v>
      </c>
      <c r="AD10" s="26">
        <v>0.150590512670044</v>
      </c>
    </row>
    <row r="11" spans="1:30" x14ac:dyDescent="0.25">
      <c r="A11" s="209"/>
      <c r="B11" s="81" t="s">
        <v>109</v>
      </c>
      <c r="C11" s="82" t="s">
        <v>110</v>
      </c>
      <c r="D11" s="78">
        <v>0</v>
      </c>
      <c r="E11" s="79">
        <v>0</v>
      </c>
      <c r="F11" s="80">
        <f t="shared" si="4"/>
        <v>0</v>
      </c>
      <c r="G11" s="129">
        <f>-12*9.77</f>
        <v>-117.24</v>
      </c>
      <c r="H11" s="79">
        <f t="shared" si="8"/>
        <v>-0.24166917460618476</v>
      </c>
      <c r="I11" s="80">
        <f t="shared" si="5"/>
        <v>-59.792400000000001</v>
      </c>
      <c r="J11" s="134">
        <v>0</v>
      </c>
      <c r="K11" s="79">
        <v>0</v>
      </c>
      <c r="L11" s="80">
        <f t="shared" si="9"/>
        <v>0</v>
      </c>
      <c r="M11" s="76">
        <v>0</v>
      </c>
      <c r="N11" s="79">
        <v>0</v>
      </c>
      <c r="O11" s="80">
        <f t="shared" si="6"/>
        <v>0</v>
      </c>
      <c r="P11" s="76">
        <v>0</v>
      </c>
      <c r="Q11" s="79">
        <v>0</v>
      </c>
      <c r="R11" s="80">
        <f t="shared" si="7"/>
        <v>0</v>
      </c>
      <c r="V11" s="128"/>
      <c r="X11" s="216" t="s">
        <v>97</v>
      </c>
      <c r="Y11" s="26">
        <v>5.0979896371612403E-3</v>
      </c>
      <c r="Z11" s="26">
        <v>5.5141520565213601E-3</v>
      </c>
      <c r="AA11" s="26">
        <v>5.4101114516813403E-3</v>
      </c>
      <c r="AB11" s="26">
        <v>5.5141520565213601E-3</v>
      </c>
      <c r="AC11" s="26">
        <v>5.6702129637814002E-3</v>
      </c>
      <c r="AD11" s="26">
        <v>5.7742535686214199E-3</v>
      </c>
    </row>
    <row r="12" spans="1:30" ht="15.75" thickBot="1" x14ac:dyDescent="0.3">
      <c r="A12" s="210"/>
      <c r="B12" s="83" t="s">
        <v>13</v>
      </c>
      <c r="C12" s="84" t="s">
        <v>108</v>
      </c>
      <c r="D12" s="85">
        <v>0</v>
      </c>
      <c r="E12" s="86">
        <f>D12/SUM($D$3:$D$12)</f>
        <v>0</v>
      </c>
      <c r="F12" s="87">
        <f t="shared" si="4"/>
        <v>0</v>
      </c>
      <c r="G12" s="130">
        <f>15*9.77</f>
        <v>146.54999999999998</v>
      </c>
      <c r="H12" s="86">
        <f>G12/SUM($D$3:$D$12)</f>
        <v>0.30208646825773094</v>
      </c>
      <c r="I12" s="87">
        <f t="shared" si="5"/>
        <v>74.740499999999997</v>
      </c>
      <c r="J12" s="135">
        <v>0</v>
      </c>
      <c r="K12" s="86">
        <f>J12/SUM($D$3:$D$12)</f>
        <v>0</v>
      </c>
      <c r="L12" s="87">
        <f t="shared" si="9"/>
        <v>0</v>
      </c>
      <c r="M12" s="83">
        <v>0</v>
      </c>
      <c r="N12" s="86">
        <f>M12/SUM($D$3:$D$12)</f>
        <v>0</v>
      </c>
      <c r="O12" s="87">
        <f t="shared" si="6"/>
        <v>0</v>
      </c>
      <c r="P12" s="83">
        <v>0</v>
      </c>
      <c r="Q12" s="86">
        <f>P12/SUM($D$3:$D$12)</f>
        <v>0</v>
      </c>
      <c r="R12" s="87">
        <f>P12*$B$38</f>
        <v>0</v>
      </c>
      <c r="V12" s="128"/>
      <c r="X12" s="216"/>
      <c r="Y12" s="26">
        <v>4.8259517696499698E-3</v>
      </c>
      <c r="Z12" s="26">
        <v>1.02397274048529E-3</v>
      </c>
      <c r="AA12" s="26">
        <v>1.0046525000987701E-3</v>
      </c>
      <c r="AB12" s="26">
        <v>1.02397274048529E-3</v>
      </c>
      <c r="AC12" s="26">
        <v>1.0529531010650601E-3</v>
      </c>
      <c r="AD12" s="26">
        <v>1.07227334145157E-3</v>
      </c>
    </row>
    <row r="13" spans="1:30" x14ac:dyDescent="0.25">
      <c r="A13" s="199" t="s">
        <v>11</v>
      </c>
      <c r="B13" s="88" t="s">
        <v>1</v>
      </c>
      <c r="C13" s="89" t="s">
        <v>60</v>
      </c>
      <c r="D13" s="90">
        <f>394.7+212.298</f>
        <v>606.99800000000005</v>
      </c>
      <c r="E13" s="91">
        <f>D13/SUM($D$13:$D$17)</f>
        <v>1</v>
      </c>
      <c r="F13" s="92">
        <f>D13*$B$38</f>
        <v>309.56898000000001</v>
      </c>
      <c r="G13" s="90">
        <f>394.7+212.298</f>
        <v>606.99800000000005</v>
      </c>
      <c r="H13" s="91">
        <f>G13/SUM($D$13:$D$17)</f>
        <v>1</v>
      </c>
      <c r="I13" s="92">
        <f t="shared" si="5"/>
        <v>309.56898000000001</v>
      </c>
      <c r="J13" s="94">
        <f>394.7+212.298</f>
        <v>606.99800000000005</v>
      </c>
      <c r="K13" s="91">
        <f>J13/SUM($D$13:$D$17)</f>
        <v>1</v>
      </c>
      <c r="L13" s="92">
        <f t="shared" si="9"/>
        <v>309.56898000000001</v>
      </c>
      <c r="M13" s="94">
        <f>394.7+212.298</f>
        <v>606.99800000000005</v>
      </c>
      <c r="N13" s="91">
        <f>M13/SUM($D$13:$D$17)</f>
        <v>1</v>
      </c>
      <c r="O13" s="92">
        <f t="shared" si="6"/>
        <v>309.56898000000001</v>
      </c>
      <c r="P13" s="94">
        <f>394.7+212.298</f>
        <v>606.99800000000005</v>
      </c>
      <c r="Q13" s="91">
        <f>P13/SUM($D$13:$D$17)</f>
        <v>1</v>
      </c>
      <c r="R13" s="92">
        <f t="shared" si="7"/>
        <v>309.56898000000001</v>
      </c>
      <c r="V13" s="128"/>
      <c r="X13" s="216"/>
      <c r="Y13" s="26">
        <v>4.2873167919776503E-3</v>
      </c>
      <c r="Z13" s="26">
        <v>4.1665097716297997E-3</v>
      </c>
      <c r="AA13" s="26">
        <v>4.0878963797122596E-3</v>
      </c>
      <c r="AB13" s="26">
        <v>4.1665097716297997E-3</v>
      </c>
      <c r="AC13" s="26">
        <v>4.2844298595061201E-3</v>
      </c>
      <c r="AD13" s="26">
        <v>4.3630432514236601E-3</v>
      </c>
    </row>
    <row r="14" spans="1:30" x14ac:dyDescent="0.25">
      <c r="A14" s="200"/>
      <c r="B14" s="95" t="s">
        <v>2</v>
      </c>
      <c r="C14" s="96" t="s">
        <v>61</v>
      </c>
      <c r="D14" s="97">
        <v>0</v>
      </c>
      <c r="E14" s="98">
        <f t="shared" ref="E14:E17" si="10">D14/SUM($D$13:$D$17)</f>
        <v>0</v>
      </c>
      <c r="F14" s="99">
        <f t="shared" si="4"/>
        <v>0</v>
      </c>
      <c r="G14" s="97">
        <v>0</v>
      </c>
      <c r="H14" s="98">
        <f t="shared" ref="H14:H17" si="11">G14/SUM($D$13:$D$17)</f>
        <v>0</v>
      </c>
      <c r="I14" s="99">
        <f t="shared" si="5"/>
        <v>0</v>
      </c>
      <c r="J14" s="136">
        <v>0</v>
      </c>
      <c r="K14" s="98">
        <f t="shared" ref="K14:K17" si="12">J14/SUM($D$13:$D$17)</f>
        <v>0</v>
      </c>
      <c r="L14" s="99">
        <f t="shared" si="9"/>
        <v>0</v>
      </c>
      <c r="M14" s="95">
        <v>0</v>
      </c>
      <c r="N14" s="98">
        <f t="shared" ref="N14:N17" si="13">M14/SUM($D$13:$D$17)</f>
        <v>0</v>
      </c>
      <c r="O14" s="99">
        <f t="shared" si="6"/>
        <v>0</v>
      </c>
      <c r="P14" s="95">
        <v>0</v>
      </c>
      <c r="Q14" s="98">
        <f t="shared" ref="Q14:Q17" si="14">P14/SUM($D$13:$D$17)</f>
        <v>0</v>
      </c>
      <c r="R14" s="99">
        <f t="shared" si="7"/>
        <v>0</v>
      </c>
      <c r="V14" s="128"/>
      <c r="X14" s="216"/>
      <c r="Y14" s="26">
        <v>3.85205620395961E-3</v>
      </c>
      <c r="Z14" s="26">
        <v>2.12444919146661E-3</v>
      </c>
      <c r="AA14" s="26">
        <v>2.0843652444577998E-3</v>
      </c>
      <c r="AB14" s="26">
        <v>2.12444919146661E-3</v>
      </c>
      <c r="AC14" s="26">
        <v>2.1845751119798102E-3</v>
      </c>
      <c r="AD14" s="26">
        <v>2.2246590589886099E-3</v>
      </c>
    </row>
    <row r="15" spans="1:30" x14ac:dyDescent="0.25">
      <c r="A15" s="200"/>
      <c r="B15" s="95" t="s">
        <v>6</v>
      </c>
      <c r="C15" s="96" t="s">
        <v>70</v>
      </c>
      <c r="D15" s="97">
        <v>0</v>
      </c>
      <c r="E15" s="98">
        <f t="shared" si="10"/>
        <v>0</v>
      </c>
      <c r="F15" s="99">
        <f t="shared" si="4"/>
        <v>0</v>
      </c>
      <c r="G15" s="97">
        <v>0</v>
      </c>
      <c r="H15" s="98">
        <f t="shared" si="11"/>
        <v>0</v>
      </c>
      <c r="I15" s="99">
        <f t="shared" si="5"/>
        <v>0</v>
      </c>
      <c r="J15" s="136">
        <v>0</v>
      </c>
      <c r="K15" s="98">
        <f t="shared" si="12"/>
        <v>0</v>
      </c>
      <c r="L15" s="99">
        <f t="shared" si="9"/>
        <v>0</v>
      </c>
      <c r="M15" s="95">
        <v>0</v>
      </c>
      <c r="N15" s="98">
        <f t="shared" si="13"/>
        <v>0</v>
      </c>
      <c r="O15" s="99">
        <f t="shared" si="6"/>
        <v>0</v>
      </c>
      <c r="P15" s="95">
        <v>0</v>
      </c>
      <c r="Q15" s="98">
        <f t="shared" si="14"/>
        <v>0</v>
      </c>
      <c r="R15" s="99">
        <f t="shared" si="7"/>
        <v>0</v>
      </c>
      <c r="V15" s="128"/>
      <c r="X15" s="216"/>
      <c r="Y15" s="26">
        <v>2.3612886899978401E-3</v>
      </c>
      <c r="Z15" s="26">
        <v>5.2199070161520304E-3</v>
      </c>
      <c r="AA15" s="26">
        <v>5.1214182045265198E-3</v>
      </c>
      <c r="AB15" s="26">
        <v>5.2199070161520304E-3</v>
      </c>
      <c r="AC15" s="26">
        <v>5.3676402335902903E-3</v>
      </c>
      <c r="AD15" s="26">
        <v>5.4661290452158E-3</v>
      </c>
    </row>
    <row r="16" spans="1:30" x14ac:dyDescent="0.25">
      <c r="A16" s="200"/>
      <c r="B16" s="95" t="s">
        <v>7</v>
      </c>
      <c r="C16" s="96" t="s">
        <v>71</v>
      </c>
      <c r="D16" s="97">
        <v>0</v>
      </c>
      <c r="E16" s="98">
        <f t="shared" si="10"/>
        <v>0</v>
      </c>
      <c r="F16" s="99">
        <f t="shared" si="4"/>
        <v>0</v>
      </c>
      <c r="G16" s="97">
        <v>0</v>
      </c>
      <c r="H16" s="98">
        <f t="shared" si="11"/>
        <v>0</v>
      </c>
      <c r="I16" s="99">
        <f t="shared" si="5"/>
        <v>0</v>
      </c>
      <c r="J16" s="136">
        <v>0</v>
      </c>
      <c r="K16" s="98">
        <f t="shared" si="12"/>
        <v>0</v>
      </c>
      <c r="L16" s="99">
        <f t="shared" si="9"/>
        <v>0</v>
      </c>
      <c r="M16" s="95">
        <v>0</v>
      </c>
      <c r="N16" s="98">
        <f t="shared" si="13"/>
        <v>0</v>
      </c>
      <c r="O16" s="99">
        <f t="shared" si="6"/>
        <v>0</v>
      </c>
      <c r="P16" s="95">
        <v>0</v>
      </c>
      <c r="Q16" s="98">
        <f t="shared" si="14"/>
        <v>0</v>
      </c>
      <c r="R16" s="99">
        <f t="shared" si="7"/>
        <v>0</v>
      </c>
      <c r="V16" s="128"/>
      <c r="X16" s="216"/>
      <c r="Y16" s="26">
        <v>2.0021987048829599E-3</v>
      </c>
      <c r="Z16" s="26">
        <v>2.5540469504058399E-3</v>
      </c>
      <c r="AA16" s="26">
        <v>2.5058573853038398E-3</v>
      </c>
      <c r="AB16" s="26">
        <v>2.5540469504058399E-3</v>
      </c>
      <c r="AC16" s="26">
        <v>2.6263312980588302E-3</v>
      </c>
      <c r="AD16" s="26">
        <v>2.6745208631608298E-3</v>
      </c>
    </row>
    <row r="17" spans="1:30" ht="15.75" thickBot="1" x14ac:dyDescent="0.3">
      <c r="A17" s="201"/>
      <c r="B17" s="100" t="s">
        <v>8</v>
      </c>
      <c r="C17" s="101" t="s">
        <v>72</v>
      </c>
      <c r="D17" s="102">
        <v>0</v>
      </c>
      <c r="E17" s="103">
        <f t="shared" si="10"/>
        <v>0</v>
      </c>
      <c r="F17" s="104">
        <f t="shared" si="4"/>
        <v>0</v>
      </c>
      <c r="G17" s="102">
        <v>0</v>
      </c>
      <c r="H17" s="103">
        <f t="shared" si="11"/>
        <v>0</v>
      </c>
      <c r="I17" s="104">
        <f t="shared" si="5"/>
        <v>0</v>
      </c>
      <c r="J17" s="137">
        <v>0</v>
      </c>
      <c r="K17" s="103">
        <f t="shared" si="12"/>
        <v>0</v>
      </c>
      <c r="L17" s="104">
        <f t="shared" si="9"/>
        <v>0</v>
      </c>
      <c r="M17" s="100">
        <v>0</v>
      </c>
      <c r="N17" s="103">
        <f t="shared" si="13"/>
        <v>0</v>
      </c>
      <c r="O17" s="104">
        <f t="shared" si="6"/>
        <v>0</v>
      </c>
      <c r="P17" s="100">
        <v>0</v>
      </c>
      <c r="Q17" s="103">
        <f t="shared" si="14"/>
        <v>0</v>
      </c>
      <c r="R17" s="104">
        <f t="shared" si="7"/>
        <v>0</v>
      </c>
      <c r="V17" s="128"/>
      <c r="X17" s="216"/>
      <c r="Y17" s="26">
        <v>1.9641134034313799E-3</v>
      </c>
      <c r="Z17" s="26">
        <v>2.1656434971183101E-3</v>
      </c>
      <c r="AA17" s="26">
        <v>2.1247822990594798E-3</v>
      </c>
      <c r="AB17" s="26">
        <v>2.1656434971183101E-3</v>
      </c>
      <c r="AC17" s="26">
        <v>2.2269352942065699E-3</v>
      </c>
      <c r="AD17" s="26">
        <v>2.2677964922654002E-3</v>
      </c>
    </row>
    <row r="18" spans="1:30" x14ac:dyDescent="0.25">
      <c r="A18" s="211" t="s">
        <v>125</v>
      </c>
      <c r="B18" s="105" t="s">
        <v>1</v>
      </c>
      <c r="C18" s="106" t="s">
        <v>62</v>
      </c>
      <c r="D18" s="107">
        <f>73.472+5.643</f>
        <v>79.114999999999995</v>
      </c>
      <c r="E18" s="108">
        <f>D18/SUM($D$18:$D$22)</f>
        <v>1</v>
      </c>
      <c r="F18" s="109">
        <f>$B$39*SUM(D13:D22)</f>
        <v>212.72937989987099</v>
      </c>
      <c r="G18" s="107">
        <f>73.472+5.643</f>
        <v>79.114999999999995</v>
      </c>
      <c r="H18" s="108">
        <f>G18/SUM($D$18:$D$22)</f>
        <v>1</v>
      </c>
      <c r="I18" s="109">
        <f>$B$39*SUM(G13:G22)</f>
        <v>212.72937989987099</v>
      </c>
      <c r="J18" s="138">
        <f>73.472+5.643</f>
        <v>79.114999999999995</v>
      </c>
      <c r="K18" s="108">
        <f>J18/SUM($D$18:$D$22)</f>
        <v>1</v>
      </c>
      <c r="L18" s="109">
        <f>$B$39*SUM(J13:J22)</f>
        <v>212.72937989987099</v>
      </c>
      <c r="M18" s="105">
        <f>73.472+5.643</f>
        <v>79.114999999999995</v>
      </c>
      <c r="N18" s="108">
        <f>M18/SUM($D$18:$D$22)</f>
        <v>1</v>
      </c>
      <c r="O18" s="109">
        <f>$B$39*SUM(M13:M22)</f>
        <v>212.72937989987099</v>
      </c>
      <c r="P18" s="105">
        <f>73.472+5.643</f>
        <v>79.114999999999995</v>
      </c>
      <c r="Q18" s="108">
        <f>P18/SUM($D$18:$D$22)</f>
        <v>1</v>
      </c>
      <c r="R18" s="109">
        <f>$B$39*SUM(P13:P22)</f>
        <v>212.72937989987099</v>
      </c>
      <c r="V18" s="128"/>
      <c r="X18" s="216"/>
      <c r="Y18" s="26">
        <v>9.4669177893922697E-4</v>
      </c>
      <c r="Z18" s="26">
        <v>4.6373018362207401E-3</v>
      </c>
      <c r="AA18" s="26">
        <v>4.5498055751599696E-3</v>
      </c>
      <c r="AB18" s="26">
        <v>4.6373018362207401E-3</v>
      </c>
      <c r="AC18" s="26">
        <v>4.7685462278118903E-3</v>
      </c>
      <c r="AD18" s="26">
        <v>4.8560424888726599E-3</v>
      </c>
    </row>
    <row r="19" spans="1:30" x14ac:dyDescent="0.25">
      <c r="A19" s="212"/>
      <c r="B19" s="110" t="s">
        <v>2</v>
      </c>
      <c r="C19" s="111" t="s">
        <v>63</v>
      </c>
      <c r="D19" s="112">
        <v>0</v>
      </c>
      <c r="E19" s="113">
        <f t="shared" ref="E19:E22" si="15">D19/SUM($D$18:$D$22)</f>
        <v>0</v>
      </c>
      <c r="F19" s="114">
        <v>0</v>
      </c>
      <c r="G19" s="112">
        <v>0</v>
      </c>
      <c r="H19" s="113">
        <f t="shared" ref="H19:H22" si="16">G19/SUM($D$18:$D$22)</f>
        <v>0</v>
      </c>
      <c r="I19" s="114">
        <v>0</v>
      </c>
      <c r="J19" s="139">
        <v>0</v>
      </c>
      <c r="K19" s="113">
        <f t="shared" ref="K19:K22" si="17">J19/SUM($D$18:$D$22)</f>
        <v>0</v>
      </c>
      <c r="L19" s="114">
        <v>0</v>
      </c>
      <c r="M19" s="110">
        <v>0</v>
      </c>
      <c r="N19" s="113">
        <f t="shared" ref="N19:N22" si="18">M19/SUM($D$18:$D$22)</f>
        <v>0</v>
      </c>
      <c r="O19" s="114">
        <v>0</v>
      </c>
      <c r="P19" s="110">
        <v>0</v>
      </c>
      <c r="Q19" s="113">
        <f t="shared" ref="Q19:Q22" si="19">P19/SUM($D$18:$D$22)</f>
        <v>0</v>
      </c>
      <c r="R19" s="114">
        <v>0</v>
      </c>
      <c r="V19" s="128"/>
      <c r="X19" s="64" t="s">
        <v>99</v>
      </c>
      <c r="Y19" s="26">
        <f t="shared" ref="Y19:AD19" si="20">SUM(Y11:Y18)*40</f>
        <v>1.0135042791999951</v>
      </c>
      <c r="Z19" s="26">
        <f t="shared" si="20"/>
        <v>1.0962393223999991</v>
      </c>
      <c r="AA19" s="26">
        <f t="shared" si="20"/>
        <v>1.0755555615999992</v>
      </c>
      <c r="AB19" s="26">
        <f t="shared" si="20"/>
        <v>1.0962393223999991</v>
      </c>
      <c r="AC19" s="26">
        <f t="shared" si="20"/>
        <v>1.1272649635999989</v>
      </c>
      <c r="AD19" s="26">
        <f t="shared" si="20"/>
        <v>1.147948724399998</v>
      </c>
    </row>
    <row r="20" spans="1:30" x14ac:dyDescent="0.25">
      <c r="A20" s="212"/>
      <c r="B20" s="110" t="s">
        <v>6</v>
      </c>
      <c r="C20" s="111" t="s">
        <v>73</v>
      </c>
      <c r="D20" s="112">
        <v>0</v>
      </c>
      <c r="E20" s="113">
        <f t="shared" si="15"/>
        <v>0</v>
      </c>
      <c r="F20" s="114">
        <v>0</v>
      </c>
      <c r="G20" s="112">
        <v>0</v>
      </c>
      <c r="H20" s="113">
        <f t="shared" si="16"/>
        <v>0</v>
      </c>
      <c r="I20" s="114">
        <v>0</v>
      </c>
      <c r="J20" s="139">
        <v>0</v>
      </c>
      <c r="K20" s="113">
        <f t="shared" si="17"/>
        <v>0</v>
      </c>
      <c r="L20" s="114">
        <v>0</v>
      </c>
      <c r="M20" s="110">
        <v>0</v>
      </c>
      <c r="N20" s="113">
        <f t="shared" si="18"/>
        <v>0</v>
      </c>
      <c r="O20" s="114">
        <v>0</v>
      </c>
      <c r="P20" s="110">
        <v>0</v>
      </c>
      <c r="Q20" s="113">
        <f t="shared" si="19"/>
        <v>0</v>
      </c>
      <c r="R20" s="114">
        <v>0</v>
      </c>
      <c r="V20" s="128"/>
      <c r="X20" s="64" t="s">
        <v>98</v>
      </c>
      <c r="Y20" s="26">
        <f>1/Y19</f>
        <v>0.98667565645538802</v>
      </c>
      <c r="Z20" s="26">
        <f t="shared" ref="Z20:AC20" si="21">1/Z19</f>
        <v>0.91220956917573237</v>
      </c>
      <c r="AA20" s="26">
        <f t="shared" si="21"/>
        <v>0.92975206089065021</v>
      </c>
      <c r="AB20" s="26">
        <f t="shared" si="21"/>
        <v>0.91220956917573237</v>
      </c>
      <c r="AC20" s="26">
        <f t="shared" si="21"/>
        <v>0.88710288378557478</v>
      </c>
      <c r="AD20" s="26">
        <f>1/AD19</f>
        <v>0.87111904804169127</v>
      </c>
    </row>
    <row r="21" spans="1:30" x14ac:dyDescent="0.25">
      <c r="A21" s="212"/>
      <c r="B21" s="110" t="s">
        <v>7</v>
      </c>
      <c r="C21" s="111" t="s">
        <v>74</v>
      </c>
      <c r="D21" s="112">
        <v>0</v>
      </c>
      <c r="E21" s="113">
        <f t="shared" si="15"/>
        <v>0</v>
      </c>
      <c r="F21" s="114">
        <v>0</v>
      </c>
      <c r="G21" s="112">
        <v>0</v>
      </c>
      <c r="H21" s="113">
        <f t="shared" si="16"/>
        <v>0</v>
      </c>
      <c r="I21" s="114">
        <v>0</v>
      </c>
      <c r="J21" s="139">
        <v>0</v>
      </c>
      <c r="K21" s="113">
        <f t="shared" si="17"/>
        <v>0</v>
      </c>
      <c r="L21" s="114">
        <v>0</v>
      </c>
      <c r="M21" s="110">
        <v>0</v>
      </c>
      <c r="N21" s="113">
        <f t="shared" si="18"/>
        <v>0</v>
      </c>
      <c r="O21" s="114">
        <v>0</v>
      </c>
      <c r="P21" s="110">
        <v>0</v>
      </c>
      <c r="Q21" s="113">
        <f t="shared" si="19"/>
        <v>0</v>
      </c>
      <c r="R21" s="114">
        <v>0</v>
      </c>
      <c r="V21" s="128"/>
      <c r="X21" s="197"/>
      <c r="Y21" s="197"/>
      <c r="Z21" s="197"/>
      <c r="AA21" s="197"/>
      <c r="AB21" s="197"/>
      <c r="AC21" s="197"/>
      <c r="AD21" s="197"/>
    </row>
    <row r="22" spans="1:30" ht="15.75" thickBot="1" x14ac:dyDescent="0.3">
      <c r="A22" s="213"/>
      <c r="B22" s="115" t="s">
        <v>8</v>
      </c>
      <c r="C22" s="116" t="s">
        <v>75</v>
      </c>
      <c r="D22" s="117">
        <v>0</v>
      </c>
      <c r="E22" s="118">
        <f t="shared" si="15"/>
        <v>0</v>
      </c>
      <c r="F22" s="119">
        <v>0</v>
      </c>
      <c r="G22" s="117">
        <v>0</v>
      </c>
      <c r="H22" s="118">
        <f t="shared" si="16"/>
        <v>0</v>
      </c>
      <c r="I22" s="119">
        <v>0</v>
      </c>
      <c r="J22" s="140">
        <v>0</v>
      </c>
      <c r="K22" s="118">
        <f t="shared" si="17"/>
        <v>0</v>
      </c>
      <c r="L22" s="119">
        <v>0</v>
      </c>
      <c r="M22" s="115">
        <v>0</v>
      </c>
      <c r="N22" s="118">
        <f t="shared" si="18"/>
        <v>0</v>
      </c>
      <c r="O22" s="119">
        <v>0</v>
      </c>
      <c r="P22" s="115">
        <v>0</v>
      </c>
      <c r="Q22" s="118">
        <f t="shared" si="19"/>
        <v>0</v>
      </c>
      <c r="R22" s="119">
        <v>0</v>
      </c>
      <c r="V22" s="128"/>
      <c r="X22" s="26"/>
      <c r="Y22" s="26">
        <f t="shared" ref="Y22:AD22" si="22">Y20*Y10</f>
        <v>0.1680078477124449</v>
      </c>
      <c r="Z22" s="26">
        <f t="shared" si="22"/>
        <v>0.14652811379700617</v>
      </c>
      <c r="AA22" s="26">
        <f t="shared" si="22"/>
        <v>0.14623458792802185</v>
      </c>
      <c r="AB22" s="26">
        <f t="shared" si="22"/>
        <v>0.14347544475956861</v>
      </c>
      <c r="AC22" s="26">
        <f t="shared" si="22"/>
        <v>0.13655792868390729</v>
      </c>
      <c r="AD22" s="26">
        <f t="shared" si="22"/>
        <v>0.13118226404123898</v>
      </c>
    </row>
    <row r="23" spans="1:30" x14ac:dyDescent="0.25">
      <c r="A23" s="208" t="s">
        <v>88</v>
      </c>
      <c r="B23" s="69" t="s">
        <v>1</v>
      </c>
      <c r="C23" s="70" t="s">
        <v>64</v>
      </c>
      <c r="D23" s="71">
        <f>946.3+132.633</f>
        <v>1078.933</v>
      </c>
      <c r="E23" s="72">
        <f>D23/SUM($D$23:$D$27)</f>
        <v>1</v>
      </c>
      <c r="F23" s="73">
        <f>D23*$B$40</f>
        <v>991.11978688223405</v>
      </c>
      <c r="G23" s="74">
        <f>D23-SUM(G24:G27)</f>
        <v>834.68299999999999</v>
      </c>
      <c r="H23" s="72">
        <f>G23/SUM($D$23:$D$27)</f>
        <v>0.77361893648632496</v>
      </c>
      <c r="I23" s="73">
        <f>G23*$B$40</f>
        <v>766.74903545838686</v>
      </c>
      <c r="J23" s="75">
        <f>D23</f>
        <v>1078.933</v>
      </c>
      <c r="K23" s="72">
        <f>J23/SUM($D$23:$D$27)</f>
        <v>1</v>
      </c>
      <c r="L23" s="73">
        <f>J23*$B$40</f>
        <v>991.11978688223405</v>
      </c>
      <c r="M23" s="75">
        <f>946.3+132.633</f>
        <v>1078.933</v>
      </c>
      <c r="N23" s="72">
        <f>M23/SUM($D$23:$D$27)</f>
        <v>1</v>
      </c>
      <c r="O23" s="73">
        <f>M23*$B$40</f>
        <v>991.11978688223405</v>
      </c>
      <c r="P23" s="75">
        <f>946.3+132.633</f>
        <v>1078.933</v>
      </c>
      <c r="Q23" s="72">
        <f>P23/SUM($D$23:$D$27)</f>
        <v>1</v>
      </c>
      <c r="R23" s="73">
        <f>P23*$B$40</f>
        <v>991.11978688223405</v>
      </c>
      <c r="V23" s="128"/>
      <c r="X23" s="197"/>
      <c r="Y23" s="197"/>
      <c r="Z23" s="197"/>
      <c r="AA23" s="197"/>
      <c r="AB23" s="197"/>
      <c r="AC23" s="197"/>
      <c r="AD23" s="197"/>
    </row>
    <row r="24" spans="1:30" x14ac:dyDescent="0.25">
      <c r="A24" s="209"/>
      <c r="B24" s="76" t="s">
        <v>2</v>
      </c>
      <c r="C24" s="77" t="s">
        <v>65</v>
      </c>
      <c r="D24" s="78">
        <v>0</v>
      </c>
      <c r="E24" s="79">
        <f>D24/SUM($D$23:$D$27)</f>
        <v>0</v>
      </c>
      <c r="F24" s="80">
        <f t="shared" ref="F24:F27" si="23">D24*$B$40</f>
        <v>0</v>
      </c>
      <c r="G24" s="129">
        <v>0</v>
      </c>
      <c r="H24" s="79">
        <f>G24/SUM($D$23:$D$27)</f>
        <v>0</v>
      </c>
      <c r="I24" s="80">
        <f t="shared" ref="I24:I27" si="24">G24*$B$40</f>
        <v>0</v>
      </c>
      <c r="J24" s="134">
        <v>0</v>
      </c>
      <c r="K24" s="79">
        <f>J24/SUM($D$23:$D$27)</f>
        <v>0</v>
      </c>
      <c r="L24" s="80">
        <f t="shared" ref="L24:L27" si="25">J24*$B$40</f>
        <v>0</v>
      </c>
      <c r="M24" s="76">
        <v>0</v>
      </c>
      <c r="N24" s="79">
        <f>M24/SUM($D$23:$D$27)</f>
        <v>0</v>
      </c>
      <c r="O24" s="80">
        <f t="shared" ref="O24:O27" si="26">M24*$B$40</f>
        <v>0</v>
      </c>
      <c r="P24" s="76">
        <v>0</v>
      </c>
      <c r="Q24" s="79">
        <f>P24/SUM($D$23:$D$27)</f>
        <v>0</v>
      </c>
      <c r="R24" s="80">
        <f t="shared" ref="R24:R27" si="27">P24*$B$40</f>
        <v>0</v>
      </c>
      <c r="V24" s="128"/>
      <c r="X24" s="64" t="s">
        <v>100</v>
      </c>
      <c r="Y24" s="197">
        <f>SUM(Y22:AD22)/SUM(Y10:AD10)</f>
        <v>0.91787934396056681</v>
      </c>
      <c r="Z24" s="197"/>
      <c r="AA24" s="197"/>
      <c r="AB24" s="197"/>
      <c r="AC24" s="197"/>
      <c r="AD24" s="197"/>
    </row>
    <row r="25" spans="1:30" x14ac:dyDescent="0.25">
      <c r="A25" s="209"/>
      <c r="B25" s="81" t="s">
        <v>7</v>
      </c>
      <c r="C25" s="82" t="s">
        <v>66</v>
      </c>
      <c r="D25" s="78">
        <v>0</v>
      </c>
      <c r="E25" s="79">
        <f>D25/SUM($D$23:$D$27)</f>
        <v>0</v>
      </c>
      <c r="F25" s="80">
        <f t="shared" si="23"/>
        <v>0</v>
      </c>
      <c r="G25" s="129">
        <f>7*9.77</f>
        <v>68.39</v>
      </c>
      <c r="H25" s="79">
        <f>G25/SUM($D$23:$D$27)</f>
        <v>6.3386697783829021E-2</v>
      </c>
      <c r="I25" s="80">
        <f t="shared" si="24"/>
        <v>62.823810398677196</v>
      </c>
      <c r="J25" s="134">
        <v>0</v>
      </c>
      <c r="K25" s="79">
        <f>J25/SUM($D$23:$D$27)</f>
        <v>0</v>
      </c>
      <c r="L25" s="80">
        <f t="shared" si="25"/>
        <v>0</v>
      </c>
      <c r="M25" s="76">
        <v>0</v>
      </c>
      <c r="N25" s="79">
        <f>M25/SUM($D$23:$D$27)</f>
        <v>0</v>
      </c>
      <c r="O25" s="80">
        <f t="shared" si="26"/>
        <v>0</v>
      </c>
      <c r="P25" s="76">
        <v>0</v>
      </c>
      <c r="Q25" s="79">
        <f>P25/SUM($D$23:$D$27)</f>
        <v>0</v>
      </c>
      <c r="R25" s="80">
        <f t="shared" si="27"/>
        <v>0</v>
      </c>
      <c r="V25" s="128"/>
    </row>
    <row r="26" spans="1:30" x14ac:dyDescent="0.25">
      <c r="A26" s="209"/>
      <c r="B26" s="81" t="s">
        <v>98</v>
      </c>
      <c r="C26" s="82" t="s">
        <v>112</v>
      </c>
      <c r="D26" s="78">
        <v>0</v>
      </c>
      <c r="E26" s="79">
        <f>D26/SUM($D$23:$D$27)</f>
        <v>0</v>
      </c>
      <c r="F26" s="80">
        <f t="shared" si="23"/>
        <v>0</v>
      </c>
      <c r="G26" s="129">
        <f>3*9.77</f>
        <v>29.31</v>
      </c>
      <c r="H26" s="79">
        <f>G26/SUM($D$23:$D$27)</f>
        <v>2.716572762164101E-2</v>
      </c>
      <c r="I26" s="80">
        <f t="shared" si="24"/>
        <v>26.924490170861656</v>
      </c>
      <c r="J26" s="134">
        <v>0</v>
      </c>
      <c r="K26" s="79">
        <f>J26/SUM($D$23:$D$27)</f>
        <v>0</v>
      </c>
      <c r="L26" s="80">
        <f t="shared" si="25"/>
        <v>0</v>
      </c>
      <c r="M26" s="76">
        <v>0</v>
      </c>
      <c r="N26" s="79">
        <f>M26/SUM($D$23:$D$27)</f>
        <v>0</v>
      </c>
      <c r="O26" s="80">
        <f t="shared" si="26"/>
        <v>0</v>
      </c>
      <c r="P26" s="76">
        <v>0</v>
      </c>
      <c r="Q26" s="79">
        <f>P26/SUM($D$23:$D$27)</f>
        <v>0</v>
      </c>
      <c r="R26" s="80">
        <f t="shared" si="27"/>
        <v>0</v>
      </c>
      <c r="V26" s="128"/>
    </row>
    <row r="27" spans="1:30" ht="15.75" thickBot="1" x14ac:dyDescent="0.3">
      <c r="A27" s="210"/>
      <c r="B27" s="83" t="s">
        <v>13</v>
      </c>
      <c r="C27" s="84" t="s">
        <v>111</v>
      </c>
      <c r="D27" s="85">
        <v>0</v>
      </c>
      <c r="E27" s="86">
        <f>D27/SUM($D$23:$D$27)</f>
        <v>0</v>
      </c>
      <c r="F27" s="87">
        <f t="shared" si="23"/>
        <v>0</v>
      </c>
      <c r="G27" s="130">
        <f>(13+2)*9.77</f>
        <v>146.54999999999998</v>
      </c>
      <c r="H27" s="86">
        <f>G27/SUM($D$23:$D$27)</f>
        <v>0.13582863810820503</v>
      </c>
      <c r="I27" s="87">
        <f t="shared" si="24"/>
        <v>134.62245085430825</v>
      </c>
      <c r="J27" s="135">
        <v>0</v>
      </c>
      <c r="K27" s="86">
        <f>J27/SUM($D$23:$D$27)</f>
        <v>0</v>
      </c>
      <c r="L27" s="87">
        <f t="shared" si="25"/>
        <v>0</v>
      </c>
      <c r="M27" s="83">
        <v>0</v>
      </c>
      <c r="N27" s="86">
        <f>M27/SUM($D$23:$D$27)</f>
        <v>0</v>
      </c>
      <c r="O27" s="87">
        <f t="shared" si="26"/>
        <v>0</v>
      </c>
      <c r="P27" s="83">
        <v>0</v>
      </c>
      <c r="Q27" s="86">
        <f>P27/SUM($D$23:$D$27)</f>
        <v>0</v>
      </c>
      <c r="R27" s="87">
        <f t="shared" si="27"/>
        <v>0</v>
      </c>
      <c r="V27" s="128"/>
      <c r="X27" s="217" t="s">
        <v>116</v>
      </c>
      <c r="Y27" s="218"/>
      <c r="Z27" s="219"/>
      <c r="AA27" s="198">
        <v>0.51</v>
      </c>
      <c r="AB27" s="198"/>
      <c r="AC27" s="198"/>
      <c r="AD27" s="198"/>
    </row>
    <row r="28" spans="1:30" x14ac:dyDescent="0.25">
      <c r="A28" s="199" t="s">
        <v>89</v>
      </c>
      <c r="B28" s="88" t="s">
        <v>1</v>
      </c>
      <c r="C28" s="89" t="s">
        <v>67</v>
      </c>
      <c r="D28" s="90">
        <f>1503.4</f>
        <v>1503.4</v>
      </c>
      <c r="E28" s="91">
        <f>D28/SUM($D$28:$D$32)</f>
        <v>1</v>
      </c>
      <c r="F28" s="92">
        <f>$B$41*D28</f>
        <v>1379.9398057103163</v>
      </c>
      <c r="G28" s="93">
        <f>D28-SUM(G29:G32)</f>
        <v>1224.9550000000002</v>
      </c>
      <c r="H28" s="91">
        <f>G28/SUM($D$28:$D$32)</f>
        <v>0.81478980976453375</v>
      </c>
      <c r="I28" s="92">
        <f>$B$41*G28</f>
        <v>1124.3608917812162</v>
      </c>
      <c r="J28" s="94">
        <f>D28-SUM(J29:J32)</f>
        <v>1317.77</v>
      </c>
      <c r="K28" s="91">
        <f>J28/SUM($D$28:$D$32)</f>
        <v>0.87652653984302242</v>
      </c>
      <c r="L28" s="92">
        <f>$B$41*J28</f>
        <v>1209.5538630909161</v>
      </c>
      <c r="M28" s="94">
        <f>1503.4</f>
        <v>1503.4</v>
      </c>
      <c r="N28" s="91">
        <f>M28/SUM($D$28:$D$32)</f>
        <v>1</v>
      </c>
      <c r="O28" s="92">
        <f>$B$41*M28</f>
        <v>1379.9398057103163</v>
      </c>
      <c r="P28" s="94">
        <f>D28-P32</f>
        <v>1405.7</v>
      </c>
      <c r="Q28" s="91">
        <f>P28/SUM($D$28:$D$32)</f>
        <v>0.93501396833843287</v>
      </c>
      <c r="R28" s="92">
        <f>$B$41*P28</f>
        <v>1290.2629938053688</v>
      </c>
      <c r="V28" s="128"/>
      <c r="X28" s="197" t="s">
        <v>117</v>
      </c>
      <c r="Y28" s="197"/>
      <c r="Z28" s="197"/>
      <c r="AA28" s="198">
        <f xml:space="preserve"> 1 /  0.027215 / 40</f>
        <v>0.91861106007716331</v>
      </c>
      <c r="AB28" s="198"/>
      <c r="AC28" s="198"/>
      <c r="AD28" s="198"/>
    </row>
    <row r="29" spans="1:30" x14ac:dyDescent="0.25">
      <c r="A29" s="200"/>
      <c r="B29" s="95" t="s">
        <v>12</v>
      </c>
      <c r="C29" s="96" t="s">
        <v>68</v>
      </c>
      <c r="D29" s="97">
        <v>0</v>
      </c>
      <c r="E29" s="98">
        <f t="shared" ref="E29:E32" si="28">D29/SUM($D$28:$D$32)</f>
        <v>0</v>
      </c>
      <c r="F29" s="99">
        <f t="shared" ref="F29:F32" si="29">$B$41*D29</f>
        <v>0</v>
      </c>
      <c r="G29" s="131">
        <f>1.4*9.77</f>
        <v>13.677999999999999</v>
      </c>
      <c r="H29" s="98">
        <f t="shared" ref="H29:H31" si="30">G29/SUM($D$28:$D$32)</f>
        <v>9.0980444326193947E-3</v>
      </c>
      <c r="I29" s="99">
        <f t="shared" ref="I29:I32" si="31">$B$41*G29</f>
        <v>12.554753666692632</v>
      </c>
      <c r="J29" s="136">
        <f>9*9.77</f>
        <v>87.929999999999993</v>
      </c>
      <c r="K29" s="98">
        <f t="shared" ref="K29" si="32">J29/SUM($D$28:$D$32)</f>
        <v>5.8487428495410394E-2</v>
      </c>
      <c r="L29" s="99">
        <f t="shared" ref="L29:L32" si="33">$B$41*J29</f>
        <v>80.709130714452627</v>
      </c>
      <c r="M29" s="95">
        <v>0</v>
      </c>
      <c r="N29" s="98">
        <f t="shared" ref="N29" si="34">M29/SUM($D$28:$D$32)</f>
        <v>0</v>
      </c>
      <c r="O29" s="99">
        <f t="shared" ref="O29:O32" si="35">$B$41*M29</f>
        <v>0</v>
      </c>
      <c r="P29" s="95">
        <v>0</v>
      </c>
      <c r="Q29" s="98">
        <f t="shared" ref="Q29" si="36">P29/SUM($D$28:$D$32)</f>
        <v>0</v>
      </c>
      <c r="R29" s="99">
        <f t="shared" ref="R29:R31" si="37">$B$41*P29</f>
        <v>0</v>
      </c>
      <c r="V29" s="128"/>
      <c r="X29" s="197" t="s">
        <v>129</v>
      </c>
      <c r="Y29" s="197"/>
      <c r="Z29" s="197"/>
      <c r="AA29" s="202">
        <f>212.73/(607+79.115)</f>
        <v>0.31005006449356154</v>
      </c>
      <c r="AB29" s="203"/>
      <c r="AC29" s="203"/>
      <c r="AD29" s="204"/>
    </row>
    <row r="30" spans="1:30" x14ac:dyDescent="0.25">
      <c r="A30" s="200"/>
      <c r="B30" s="120" t="s">
        <v>113</v>
      </c>
      <c r="C30" s="121" t="s">
        <v>114</v>
      </c>
      <c r="D30" s="97">
        <v>0</v>
      </c>
      <c r="E30" s="98">
        <v>0</v>
      </c>
      <c r="F30" s="99">
        <f t="shared" si="29"/>
        <v>0</v>
      </c>
      <c r="G30" s="131">
        <f>18*9.77</f>
        <v>175.85999999999999</v>
      </c>
      <c r="H30" s="98">
        <f t="shared" si="30"/>
        <v>0.11697485699082079</v>
      </c>
      <c r="I30" s="99">
        <f t="shared" si="31"/>
        <v>161.41826142890525</v>
      </c>
      <c r="J30" s="136">
        <v>0</v>
      </c>
      <c r="K30" s="98">
        <v>0</v>
      </c>
      <c r="L30" s="99">
        <f t="shared" si="33"/>
        <v>0</v>
      </c>
      <c r="M30" s="95">
        <v>0</v>
      </c>
      <c r="N30" s="98">
        <v>0</v>
      </c>
      <c r="O30" s="99">
        <f t="shared" si="35"/>
        <v>0</v>
      </c>
      <c r="P30" s="95">
        <v>0</v>
      </c>
      <c r="Q30" s="98">
        <v>0</v>
      </c>
      <c r="R30" s="99">
        <f t="shared" si="37"/>
        <v>0</v>
      </c>
      <c r="V30" s="128"/>
    </row>
    <row r="31" spans="1:30" x14ac:dyDescent="0.25">
      <c r="A31" s="200"/>
      <c r="B31" s="120" t="s">
        <v>98</v>
      </c>
      <c r="C31" s="121" t="s">
        <v>115</v>
      </c>
      <c r="D31" s="97">
        <v>0</v>
      </c>
      <c r="E31" s="98">
        <v>0</v>
      </c>
      <c r="F31" s="99">
        <f t="shared" si="29"/>
        <v>0</v>
      </c>
      <c r="G31" s="131">
        <f>3.5*9.77</f>
        <v>34.195</v>
      </c>
      <c r="H31" s="98">
        <f t="shared" si="30"/>
        <v>2.2745111081548489E-2</v>
      </c>
      <c r="I31" s="99">
        <f t="shared" si="31"/>
        <v>31.386884166731583</v>
      </c>
      <c r="J31" s="136">
        <v>0</v>
      </c>
      <c r="K31" s="98">
        <v>0</v>
      </c>
      <c r="L31" s="99">
        <f t="shared" si="33"/>
        <v>0</v>
      </c>
      <c r="M31" s="95">
        <v>0</v>
      </c>
      <c r="N31" s="98">
        <v>0</v>
      </c>
      <c r="O31" s="99">
        <f t="shared" si="35"/>
        <v>0</v>
      </c>
      <c r="P31" s="95">
        <v>0</v>
      </c>
      <c r="Q31" s="98">
        <v>0</v>
      </c>
      <c r="R31" s="99">
        <f t="shared" si="37"/>
        <v>0</v>
      </c>
      <c r="V31" s="128"/>
    </row>
    <row r="32" spans="1:30" ht="15.75" thickBot="1" x14ac:dyDescent="0.3">
      <c r="A32" s="201"/>
      <c r="B32" s="100" t="s">
        <v>13</v>
      </c>
      <c r="C32" s="101" t="s">
        <v>69</v>
      </c>
      <c r="D32" s="102">
        <v>0</v>
      </c>
      <c r="E32" s="103">
        <f t="shared" si="28"/>
        <v>0</v>
      </c>
      <c r="F32" s="104">
        <f t="shared" si="29"/>
        <v>0</v>
      </c>
      <c r="G32" s="132">
        <f>7*9.77-G29</f>
        <v>54.712000000000003</v>
      </c>
      <c r="H32" s="103">
        <f t="shared" ref="H32" si="38">G32/SUM($D$28:$D$32)</f>
        <v>3.6392177730477586E-2</v>
      </c>
      <c r="I32" s="104">
        <f t="shared" si="31"/>
        <v>50.219014666770533</v>
      </c>
      <c r="J32" s="137">
        <f>10*9.77</f>
        <v>97.699999999999989</v>
      </c>
      <c r="K32" s="103">
        <f t="shared" ref="K32" si="39">J32/SUM($D$28:$D$32)</f>
        <v>6.4986031661567106E-2</v>
      </c>
      <c r="L32" s="104">
        <f t="shared" si="33"/>
        <v>89.676811904947371</v>
      </c>
      <c r="M32" s="100">
        <v>0</v>
      </c>
      <c r="N32" s="103">
        <f t="shared" ref="N32" si="40">M32/SUM($D$28:$D$32)</f>
        <v>0</v>
      </c>
      <c r="O32" s="104">
        <f t="shared" si="35"/>
        <v>0</v>
      </c>
      <c r="P32" s="100">
        <f>10*9.77</f>
        <v>97.699999999999989</v>
      </c>
      <c r="Q32" s="103">
        <f>P32/SUM($D$28:$D$32)</f>
        <v>6.4986031661567106E-2</v>
      </c>
      <c r="R32" s="104">
        <f>$B$41*P32</f>
        <v>89.676811904947371</v>
      </c>
      <c r="V32" s="128"/>
    </row>
    <row r="33" spans="1:17" x14ac:dyDescent="0.25">
      <c r="A33" t="s">
        <v>118</v>
      </c>
      <c r="C33" s="189" t="s">
        <v>149</v>
      </c>
      <c r="D33" s="128">
        <f>(D3+D13+D18)/9.77+D23/9.77+D28/9.77</f>
        <v>384.19365404298878</v>
      </c>
      <c r="E33" s="128"/>
      <c r="F33" s="128"/>
      <c r="G33" s="128">
        <f>(G3+G13+G18)/9.77+G23/9.77+G28/9.77</f>
        <v>332.69365404298878</v>
      </c>
      <c r="H33" s="128"/>
      <c r="I33" s="128"/>
      <c r="J33" s="128">
        <f>(J3+J13+J18)/9.77+J23/9.77+J28/9.77</f>
        <v>334.19365404298878</v>
      </c>
      <c r="K33" s="128"/>
      <c r="L33" s="128"/>
      <c r="M33" s="128">
        <f>(M3+M13+M18)/9.77+M23/9.77+M28/9.77</f>
        <v>334.19365404298878</v>
      </c>
      <c r="N33" s="128"/>
      <c r="O33" s="128"/>
      <c r="P33" s="128">
        <f>(P3+P13+P18)/9.77+P23/9.77+P28/9.77</f>
        <v>334.19365404298878</v>
      </c>
      <c r="Q33" s="128"/>
    </row>
    <row r="34" spans="1:17" x14ac:dyDescent="0.25">
      <c r="A34" t="s">
        <v>151</v>
      </c>
      <c r="C34" t="s">
        <v>148</v>
      </c>
      <c r="D34" s="128">
        <f>(57.804-80.801)*B42</f>
        <v>0</v>
      </c>
      <c r="G34" s="128">
        <f>(90.491-57.804)*B42</f>
        <v>0</v>
      </c>
      <c r="J34" s="128">
        <f>D34</f>
        <v>0</v>
      </c>
      <c r="M34" s="128">
        <f>D34</f>
        <v>0</v>
      </c>
      <c r="P34" s="128">
        <f>D34</f>
        <v>0</v>
      </c>
    </row>
    <row r="35" spans="1:17" x14ac:dyDescent="0.25">
      <c r="A35" t="s">
        <v>147</v>
      </c>
      <c r="D35" s="128">
        <f>D33-D34</f>
        <v>384.19365404298878</v>
      </c>
      <c r="G35" s="128">
        <f>G33-G34</f>
        <v>332.69365404298878</v>
      </c>
      <c r="J35" s="128">
        <f>J33-J34</f>
        <v>334.19365404298878</v>
      </c>
      <c r="M35" s="128">
        <f>M33-M34</f>
        <v>334.19365404298878</v>
      </c>
      <c r="P35" s="128">
        <f>P33-P34</f>
        <v>334.19365404298878</v>
      </c>
    </row>
    <row r="36" spans="1:17" x14ac:dyDescent="0.25">
      <c r="D36" s="128"/>
    </row>
    <row r="37" spans="1:17" x14ac:dyDescent="0.25">
      <c r="A37" t="s">
        <v>123</v>
      </c>
      <c r="B37" s="65">
        <f>AA27</f>
        <v>0.51</v>
      </c>
      <c r="D37" s="128"/>
      <c r="G37" s="128"/>
      <c r="H37" s="128"/>
      <c r="I37" s="128"/>
      <c r="J37" s="128"/>
    </row>
    <row r="38" spans="1:17" x14ac:dyDescent="0.25">
      <c r="A38" t="s">
        <v>124</v>
      </c>
      <c r="B38" s="65">
        <f>AA27</f>
        <v>0.51</v>
      </c>
      <c r="D38" s="133"/>
    </row>
    <row r="39" spans="1:17" x14ac:dyDescent="0.25">
      <c r="A39" t="s">
        <v>126</v>
      </c>
      <c r="B39" s="65">
        <f>AA29</f>
        <v>0.31005006449356154</v>
      </c>
      <c r="D39" s="133"/>
      <c r="E39" s="191"/>
      <c r="I39" s="128"/>
      <c r="J39" s="128"/>
    </row>
    <row r="40" spans="1:17" x14ac:dyDescent="0.25">
      <c r="A40" t="s">
        <v>127</v>
      </c>
      <c r="B40" s="65">
        <f>AA28</f>
        <v>0.91861106007716331</v>
      </c>
      <c r="D40" s="133"/>
      <c r="E40" s="191"/>
      <c r="J40" s="128"/>
    </row>
    <row r="41" spans="1:17" x14ac:dyDescent="0.25">
      <c r="A41" t="s">
        <v>128</v>
      </c>
      <c r="B41" s="65">
        <f>Y24</f>
        <v>0.91787934396056681</v>
      </c>
      <c r="D41" s="133"/>
      <c r="E41" s="191"/>
      <c r="J41" s="128"/>
    </row>
    <row r="42" spans="1:17" x14ac:dyDescent="0.25">
      <c r="A42" t="s">
        <v>150</v>
      </c>
      <c r="B42">
        <v>0</v>
      </c>
      <c r="D42" s="128"/>
      <c r="E42" s="191"/>
      <c r="J42" s="128"/>
    </row>
    <row r="43" spans="1:17" x14ac:dyDescent="0.25">
      <c r="D43" s="128"/>
      <c r="E43" s="191"/>
      <c r="J43" s="128"/>
    </row>
    <row r="47" spans="1:17" x14ac:dyDescent="0.25">
      <c r="D47" s="128"/>
    </row>
    <row r="48" spans="1:17" x14ac:dyDescent="0.25">
      <c r="D48" s="128"/>
      <c r="G48" s="128"/>
    </row>
  </sheetData>
  <mergeCells count="20">
    <mergeCell ref="D1:F1"/>
    <mergeCell ref="X21:AD21"/>
    <mergeCell ref="X23:AD23"/>
    <mergeCell ref="Y24:AD24"/>
    <mergeCell ref="A3:A12"/>
    <mergeCell ref="A13:A17"/>
    <mergeCell ref="A18:A22"/>
    <mergeCell ref="A23:A27"/>
    <mergeCell ref="G1:I1"/>
    <mergeCell ref="J1:L1"/>
    <mergeCell ref="M1:O1"/>
    <mergeCell ref="P1:R1"/>
    <mergeCell ref="X11:X18"/>
    <mergeCell ref="X27:Z27"/>
    <mergeCell ref="AA27:AD27"/>
    <mergeCell ref="X28:Z28"/>
    <mergeCell ref="AA28:AD28"/>
    <mergeCell ref="A28:A32"/>
    <mergeCell ref="X29:Z29"/>
    <mergeCell ref="AA29:AD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B6F0-2BE4-4DEA-9066-54AFA981BF9D}">
  <dimension ref="A1:K21"/>
  <sheetViews>
    <sheetView zoomScale="115" zoomScaleNormal="115" workbookViewId="0">
      <selection activeCell="D14" sqref="D14:D20"/>
    </sheetView>
  </sheetViews>
  <sheetFormatPr defaultRowHeight="15" x14ac:dyDescent="0.25"/>
  <cols>
    <col min="1" max="1" width="18.42578125" bestFit="1" customWidth="1"/>
    <col min="2" max="2" width="12.28515625" bestFit="1" customWidth="1"/>
    <col min="3" max="3" width="12.28515625" customWidth="1"/>
    <col min="4" max="5" width="13.140625" bestFit="1" customWidth="1"/>
    <col min="6" max="6" width="18.85546875" bestFit="1" customWidth="1"/>
    <col min="7" max="7" width="16.7109375" bestFit="1" customWidth="1"/>
    <col min="8" max="8" width="18.85546875" bestFit="1" customWidth="1"/>
    <col min="9" max="9" width="16.7109375" bestFit="1" customWidth="1"/>
    <col min="10" max="10" width="18.85546875" bestFit="1" customWidth="1"/>
    <col min="11" max="11" width="15.85546875" bestFit="1" customWidth="1"/>
  </cols>
  <sheetData>
    <row r="1" spans="1:11" ht="15.75" thickBot="1" x14ac:dyDescent="0.3">
      <c r="A1" s="25"/>
      <c r="B1" s="25" t="s">
        <v>76</v>
      </c>
      <c r="C1" s="25" t="s">
        <v>51</v>
      </c>
      <c r="D1" s="5" t="s">
        <v>77</v>
      </c>
      <c r="E1" s="5" t="s">
        <v>78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79</v>
      </c>
      <c r="K1" s="5" t="s">
        <v>80</v>
      </c>
    </row>
    <row r="2" spans="1:11" x14ac:dyDescent="0.25">
      <c r="A2" s="220" t="s">
        <v>36</v>
      </c>
      <c r="B2" s="7" t="s">
        <v>16</v>
      </c>
      <c r="C2" s="7"/>
      <c r="D2" s="8">
        <v>1.3</v>
      </c>
      <c r="E2" s="8" t="s">
        <v>52</v>
      </c>
      <c r="F2" s="8">
        <v>1.3</v>
      </c>
      <c r="G2" s="8" t="s">
        <v>52</v>
      </c>
      <c r="H2" s="8">
        <v>1.3</v>
      </c>
      <c r="I2" s="8" t="s">
        <v>52</v>
      </c>
      <c r="J2" s="8">
        <f>D2</f>
        <v>1.3</v>
      </c>
      <c r="K2" s="9" t="str">
        <f>E2</f>
        <v>-</v>
      </c>
    </row>
    <row r="3" spans="1:11" x14ac:dyDescent="0.25">
      <c r="A3" s="221"/>
      <c r="B3" s="2" t="s">
        <v>17</v>
      </c>
      <c r="C3" s="2" t="s">
        <v>39</v>
      </c>
      <c r="D3" s="3">
        <v>4.5</v>
      </c>
      <c r="E3" s="6">
        <f>D3/SUM($D$3,$D$5,$D$7)*SUM($D$2:$D$7)/$D$21</f>
        <v>1.5216810659215353E-2</v>
      </c>
      <c r="F3" s="6">
        <v>4.5</v>
      </c>
      <c r="G3" s="6">
        <f>F3/SUM($F$3,$F$5,$F$7)*SUM($F$2:$F$7)/$F$21</f>
        <v>1.4987864799412555E-2</v>
      </c>
      <c r="H3" s="6">
        <v>4.5</v>
      </c>
      <c r="I3" s="6">
        <f>H3/SUM($H$3,$H$5,$H$7)*SUM($H$2:$H$7)/$H$21</f>
        <v>1.7553544482804936E-2</v>
      </c>
      <c r="J3" s="3">
        <f t="shared" ref="J3:J8" si="0">D3</f>
        <v>4.5</v>
      </c>
      <c r="K3" s="20">
        <f>J3/SUM($J$3,$J$5,$J$7)*SUM($J$2:$J$7)/$J$21</f>
        <v>1.7553544482804936E-2</v>
      </c>
    </row>
    <row r="4" spans="1:11" x14ac:dyDescent="0.25">
      <c r="A4" s="221"/>
      <c r="B4" s="1" t="s">
        <v>18</v>
      </c>
      <c r="C4" s="1"/>
      <c r="D4" s="3">
        <v>3.2</v>
      </c>
      <c r="E4" s="6" t="s">
        <v>52</v>
      </c>
      <c r="F4" s="6">
        <v>3.2</v>
      </c>
      <c r="G4" s="6" t="s">
        <v>52</v>
      </c>
      <c r="H4" s="6">
        <v>3.2</v>
      </c>
      <c r="I4" s="6" t="s">
        <v>52</v>
      </c>
      <c r="J4" s="3">
        <f t="shared" si="0"/>
        <v>3.2</v>
      </c>
      <c r="K4" s="20" t="s">
        <v>52</v>
      </c>
    </row>
    <row r="5" spans="1:11" x14ac:dyDescent="0.25">
      <c r="A5" s="221"/>
      <c r="B5" s="2" t="s">
        <v>19</v>
      </c>
      <c r="C5" s="2" t="s">
        <v>40</v>
      </c>
      <c r="D5" s="3">
        <v>18.100000000000001</v>
      </c>
      <c r="E5" s="6">
        <f>D5/SUM($D$3,$D$5,$D$7)*SUM($D$2:$D$7)/$D$21</f>
        <v>6.1205393984843988E-2</v>
      </c>
      <c r="F5" s="6">
        <v>18.100000000000001</v>
      </c>
      <c r="G5" s="6">
        <f>F5/SUM($F$3,$F$5,$F$7)*SUM($F$2:$F$7)/$F$21</f>
        <v>6.0284522859859399E-2</v>
      </c>
      <c r="H5" s="6">
        <v>18.100000000000001</v>
      </c>
      <c r="I5" s="6">
        <f>H5/SUM($H$3,$H$5,$H$7)*SUM($H$2:$H$7)/$H$21</f>
        <v>7.0604256697504308E-2</v>
      </c>
      <c r="J5" s="3">
        <f t="shared" si="0"/>
        <v>18.100000000000001</v>
      </c>
      <c r="K5" s="20">
        <f>J5/SUM($J$3,$J$5,$J$7)*SUM($J$2:$J$7)/$J$21</f>
        <v>7.0604256697504308E-2</v>
      </c>
    </row>
    <row r="6" spans="1:11" x14ac:dyDescent="0.25">
      <c r="A6" s="221"/>
      <c r="B6" s="1" t="s">
        <v>20</v>
      </c>
      <c r="C6" s="1"/>
      <c r="D6" s="3">
        <v>3.9</v>
      </c>
      <c r="E6" s="6" t="s">
        <v>52</v>
      </c>
      <c r="F6" s="6">
        <v>3.9</v>
      </c>
      <c r="G6" s="6" t="s">
        <v>52</v>
      </c>
      <c r="H6" s="6">
        <v>3.9</v>
      </c>
      <c r="I6" s="6" t="s">
        <v>52</v>
      </c>
      <c r="J6" s="3">
        <f t="shared" si="0"/>
        <v>3.9</v>
      </c>
      <c r="K6" s="20" t="s">
        <v>52</v>
      </c>
    </row>
    <row r="7" spans="1:11" ht="15.75" thickBot="1" x14ac:dyDescent="0.3">
      <c r="A7" s="222"/>
      <c r="B7" s="10" t="s">
        <v>21</v>
      </c>
      <c r="C7" s="10" t="s">
        <v>41</v>
      </c>
      <c r="D7" s="11">
        <v>8.5</v>
      </c>
      <c r="E7" s="12">
        <f>D7/SUM($D$3,$D$5,$D$7)*SUM($D$2:$D$7)/$D$21</f>
        <v>2.874286457851789E-2</v>
      </c>
      <c r="F7" s="12">
        <v>8.5</v>
      </c>
      <c r="G7" s="12">
        <f>F7/SUM($F$3,$F$5,$F$7)*SUM($F$2:$F$7)/$F$21</f>
        <v>2.831041128777927E-2</v>
      </c>
      <c r="H7" s="12">
        <v>8.5</v>
      </c>
      <c r="I7" s="6">
        <f>H7/SUM($H$3,$H$5,$H$7)*SUM($H$2:$H$7)/$H$21</f>
        <v>3.3156695134187099E-2</v>
      </c>
      <c r="J7" s="11">
        <f t="shared" si="0"/>
        <v>8.5</v>
      </c>
      <c r="K7" s="21">
        <f>J7/SUM($J$3,$J$5,$J$7)*SUM($J$2:$J$7)/$J$21</f>
        <v>3.3156695134187099E-2</v>
      </c>
    </row>
    <row r="8" spans="1:11" x14ac:dyDescent="0.25">
      <c r="A8" s="220" t="s">
        <v>37</v>
      </c>
      <c r="B8" s="13" t="s">
        <v>22</v>
      </c>
      <c r="C8" s="13" t="s">
        <v>42</v>
      </c>
      <c r="D8" s="14">
        <v>80.900000000000006</v>
      </c>
      <c r="E8" s="15">
        <f>D8/SUM($D$8:$D$11)*SUM($D$8:$D$13)/$D$21</f>
        <v>0.21707472870543465</v>
      </c>
      <c r="F8" s="15">
        <v>94.082400000000007</v>
      </c>
      <c r="G8" s="15">
        <f>F8/SUM($F$8:$F$11)*SUM($F$8:$F$13)/$F$21</f>
        <v>0.25071396337848878</v>
      </c>
      <c r="H8" s="15">
        <v>90.188000000000002</v>
      </c>
      <c r="I8" s="188">
        <f>H8/SUM($H$8:$H$11)*SUM($H$8:$H$13)/$H$21</f>
        <v>0.312035090927828</v>
      </c>
      <c r="J8" s="14">
        <f t="shared" si="0"/>
        <v>80.900000000000006</v>
      </c>
      <c r="K8" s="22">
        <f>J8/SUM($J$8:$J$11)*SUM($J$8:$J$13)/$J$21</f>
        <v>0.25166005672436548</v>
      </c>
    </row>
    <row r="9" spans="1:11" x14ac:dyDescent="0.25">
      <c r="A9" s="221"/>
      <c r="B9" s="2" t="s">
        <v>23</v>
      </c>
      <c r="C9" s="2" t="s">
        <v>43</v>
      </c>
      <c r="D9" s="4">
        <v>132.30000000000001</v>
      </c>
      <c r="E9" s="6">
        <f>D9/SUM($D$8:$D$11)*SUM($D$8:$D$13)/$D$21</f>
        <v>0.35499365398923377</v>
      </c>
      <c r="F9" s="6">
        <v>67.400000000000006</v>
      </c>
      <c r="G9" s="6">
        <f>F9/SUM($F$8:$F$11)*SUM($F$8:$F$13)/$F$21</f>
        <v>0.17960980089485545</v>
      </c>
      <c r="H9" s="6">
        <v>27.286300000000001</v>
      </c>
      <c r="I9" s="6">
        <f>H9/SUM($H$8:$H$11)*SUM($H$8:$H$13)/$H$21</f>
        <v>9.4405942049762617E-2</v>
      </c>
      <c r="J9" s="4">
        <f>D9-110</f>
        <v>22.300000000000011</v>
      </c>
      <c r="K9" s="20">
        <f>J9/SUM($J$8:$J$11)*SUM($J$8:$J$13)/$J$21</f>
        <v>6.9369830221920295E-2</v>
      </c>
    </row>
    <row r="10" spans="1:11" x14ac:dyDescent="0.25">
      <c r="A10" s="221"/>
      <c r="B10" s="2" t="s">
        <v>24</v>
      </c>
      <c r="C10" s="2" t="s">
        <v>44</v>
      </c>
      <c r="D10" s="4">
        <v>34.1</v>
      </c>
      <c r="E10" s="6">
        <f>D10/SUM($D$8:$D$11)*SUM($D$8:$D$13)/$D$21</f>
        <v>9.1498742260263569E-2</v>
      </c>
      <c r="F10" s="6">
        <v>34.084000000000003</v>
      </c>
      <c r="G10" s="6">
        <f>F10/SUM($F$8:$F$11)*SUM($F$8:$F$13)/$F$21</f>
        <v>9.0828196642436979E-2</v>
      </c>
      <c r="H10" s="6">
        <v>32.871499999999997</v>
      </c>
      <c r="I10" s="6">
        <f>H10/SUM($H$8:$H$11)*SUM($H$8:$H$13)/$H$21</f>
        <v>0.11372978102889626</v>
      </c>
      <c r="J10" s="4">
        <f>D10</f>
        <v>34.1</v>
      </c>
      <c r="K10" s="20">
        <f>J10/SUM($J$8:$J$11)*SUM($J$8:$J$13)/$J$21</f>
        <v>0.10607673589988703</v>
      </c>
    </row>
    <row r="11" spans="1:11" x14ac:dyDescent="0.25">
      <c r="A11" s="221"/>
      <c r="B11" s="2" t="s">
        <v>25</v>
      </c>
      <c r="C11" s="2" t="s">
        <v>45</v>
      </c>
      <c r="D11" s="4">
        <v>8.1999999999999993</v>
      </c>
      <c r="E11" s="6">
        <f>D11/SUM($D$8:$D$11)*SUM($D$8:$D$13)/$D$21</f>
        <v>2.2002630103641084E-2</v>
      </c>
      <c r="F11" s="6">
        <v>12.2303</v>
      </c>
      <c r="G11" s="6">
        <f>F11/SUM($F$8:$F$11)*SUM($F$8:$F$13)/$F$21</f>
        <v>3.2591717327660981E-2</v>
      </c>
      <c r="H11" s="6">
        <v>12.2303</v>
      </c>
      <c r="I11" s="6">
        <f>H11/SUM($H$8:$H$11)*SUM($H$8:$H$13)/$H$21</f>
        <v>4.2314751104078306E-2</v>
      </c>
      <c r="J11" s="4">
        <f>D11+10</f>
        <v>18.2</v>
      </c>
      <c r="K11" s="20">
        <f>J11/SUM($J$8:$J$11)*SUM($J$8:$J$13)/$J$21</f>
        <v>5.6615735876186041E-2</v>
      </c>
    </row>
    <row r="12" spans="1:11" x14ac:dyDescent="0.25">
      <c r="A12" s="221"/>
      <c r="B12" s="1" t="s">
        <v>26</v>
      </c>
      <c r="C12" s="1"/>
      <c r="D12" s="4">
        <f>11.2-12.3</f>
        <v>-1.1000000000000014</v>
      </c>
      <c r="E12" s="4" t="s">
        <v>52</v>
      </c>
      <c r="F12" s="4">
        <v>0</v>
      </c>
      <c r="G12" s="4" t="s">
        <v>52</v>
      </c>
      <c r="H12" s="4">
        <v>17.9864</v>
      </c>
      <c r="I12" s="4" t="s">
        <v>52</v>
      </c>
      <c r="J12" s="4">
        <f>D12</f>
        <v>-1.1000000000000014</v>
      </c>
      <c r="K12" s="16" t="s">
        <v>52</v>
      </c>
    </row>
    <row r="13" spans="1:11" ht="15.75" thickBot="1" x14ac:dyDescent="0.3">
      <c r="A13" s="222"/>
      <c r="B13" s="17" t="s">
        <v>27</v>
      </c>
      <c r="C13" s="17"/>
      <c r="D13" s="18">
        <v>3.1</v>
      </c>
      <c r="E13" s="18" t="s">
        <v>52</v>
      </c>
      <c r="F13" s="18">
        <v>3.3664999999999998</v>
      </c>
      <c r="G13" s="18" t="s">
        <v>52</v>
      </c>
      <c r="H13" s="18">
        <v>2.5828000000000002</v>
      </c>
      <c r="I13" s="18" t="s">
        <v>52</v>
      </c>
      <c r="J13" s="18">
        <f>D13</f>
        <v>3.1</v>
      </c>
      <c r="K13" s="19" t="s">
        <v>52</v>
      </c>
    </row>
    <row r="14" spans="1:11" x14ac:dyDescent="0.25">
      <c r="A14" s="220" t="s">
        <v>38</v>
      </c>
      <c r="B14" s="13" t="s">
        <v>28</v>
      </c>
      <c r="C14" s="13" t="s">
        <v>46</v>
      </c>
      <c r="D14" s="14">
        <f>30.8-4.5-4</f>
        <v>22.3</v>
      </c>
      <c r="E14" s="15">
        <f>D14/SUM($D$14:$D$18)*SUM($D$14:$D$20)/$D$21</f>
        <v>6.4013901488756533E-2</v>
      </c>
      <c r="F14" s="15">
        <v>59.87124</v>
      </c>
      <c r="G14" s="15">
        <f>F14/SUM($F$14:$F$18)*SUM($F$14:$F$20)/$F$21</f>
        <v>0.1570033067248266</v>
      </c>
      <c r="H14" s="15">
        <v>66.864999999999995</v>
      </c>
      <c r="I14" s="15">
        <f>H14/SUM($H$14:$H$18)*SUM($H$14:$H$20)/$H$21</f>
        <v>0.2148883156513976</v>
      </c>
      <c r="J14" s="14">
        <f>D14+50</f>
        <v>72.3</v>
      </c>
      <c r="K14" s="22">
        <f>J14/SUM($J$14:$J$18)*SUM($J$14:$J$20)/$J$21</f>
        <v>0.23235016583267198</v>
      </c>
    </row>
    <row r="15" spans="1:11" x14ac:dyDescent="0.25">
      <c r="A15" s="221"/>
      <c r="B15" s="2" t="s">
        <v>29</v>
      </c>
      <c r="C15" s="2" t="s">
        <v>47</v>
      </c>
      <c r="D15" s="4">
        <f>22.5-0.3-6</f>
        <v>16.2</v>
      </c>
      <c r="E15" s="6">
        <f>D15/SUM($D$14:$D$18)*SUM($D$14:$D$20)/$D$21</f>
        <v>4.6503372381966633E-2</v>
      </c>
      <c r="F15" s="6">
        <v>20.214393000000001</v>
      </c>
      <c r="G15" s="6">
        <f>F15/SUM($F$14:$F$18)*SUM($F$14:$F$20)/$F$21</f>
        <v>5.3009200150776696E-2</v>
      </c>
      <c r="H15" s="6">
        <v>18.174499999999998</v>
      </c>
      <c r="I15" s="6">
        <f>H15/SUM($H$14:$H$18)*SUM($H$14:$H$20)/$H$21</f>
        <v>5.8408549955975844E-2</v>
      </c>
      <c r="J15" s="4">
        <f t="shared" ref="J15:J20" si="1">D15</f>
        <v>16.2</v>
      </c>
      <c r="K15" s="20">
        <f>J15/SUM($J$14:$J$18)*SUM($J$14:$J$20)/$J$21</f>
        <v>5.2061862883669242E-2</v>
      </c>
    </row>
    <row r="16" spans="1:11" x14ac:dyDescent="0.25">
      <c r="A16" s="221"/>
      <c r="B16" s="2" t="s">
        <v>30</v>
      </c>
      <c r="C16" s="2" t="s">
        <v>48</v>
      </c>
      <c r="D16" s="4">
        <f>17.4-3</f>
        <v>14.399999999999999</v>
      </c>
      <c r="E16" s="6">
        <f>D16/SUM($D$14:$D$18)*SUM($D$14:$D$20)/$D$21</f>
        <v>4.1336331006192564E-2</v>
      </c>
      <c r="F16" s="6">
        <v>18.949741</v>
      </c>
      <c r="G16" s="6">
        <f>F16/SUM($F$14:$F$18)*SUM($F$14:$F$20)/$F$21</f>
        <v>4.9692840812701096E-2</v>
      </c>
      <c r="H16" s="6">
        <v>17.801385</v>
      </c>
      <c r="I16" s="6">
        <f>H16/SUM($H$14:$H$18)*SUM($H$14:$H$20)/$H$21</f>
        <v>5.7209446480401632E-2</v>
      </c>
      <c r="J16" s="4">
        <f t="shared" si="1"/>
        <v>14.399999999999999</v>
      </c>
      <c r="K16" s="20">
        <f>J16/SUM($J$14:$J$18)*SUM($J$14:$J$20)/$J$21</f>
        <v>4.6277211452150434E-2</v>
      </c>
    </row>
    <row r="17" spans="1:11" x14ac:dyDescent="0.25">
      <c r="A17" s="221"/>
      <c r="B17" s="2" t="s">
        <v>31</v>
      </c>
      <c r="C17" s="2" t="s">
        <v>49</v>
      </c>
      <c r="D17" s="4">
        <f>13-0.1-1.5</f>
        <v>11.4</v>
      </c>
      <c r="E17" s="6">
        <f>D17/SUM($D$14:$D$18)*SUM($D$14:$D$20)/$D$21</f>
        <v>3.2724595379902445E-2</v>
      </c>
      <c r="F17" s="6">
        <v>27.651717000000001</v>
      </c>
      <c r="G17" s="6">
        <f>F17/SUM($F$14:$F$18)*SUM($F$14:$F$20)/$F$21</f>
        <v>7.2512461836753375E-2</v>
      </c>
      <c r="H17" s="6">
        <v>11.4</v>
      </c>
      <c r="I17" s="6">
        <f>H17/SUM($H$14:$H$18)*SUM($H$14:$H$20)/$H$21</f>
        <v>3.6636907177535823E-2</v>
      </c>
      <c r="J17" s="4">
        <f>D17</f>
        <v>11.4</v>
      </c>
      <c r="K17" s="20">
        <f>J17/SUM($J$14:$J$18)*SUM($J$14:$J$20)/$J$21</f>
        <v>3.6636125732952433E-2</v>
      </c>
    </row>
    <row r="18" spans="1:11" x14ac:dyDescent="0.25">
      <c r="A18" s="221"/>
      <c r="B18" s="2" t="s">
        <v>32</v>
      </c>
      <c r="C18" s="2" t="s">
        <v>50</v>
      </c>
      <c r="D18" s="4">
        <f>15.4-0.7-6.1</f>
        <v>8.6000000000000014</v>
      </c>
      <c r="E18" s="6">
        <f>D18/SUM($D$14:$D$18)*SUM($D$14:$D$20)/$D$21</f>
        <v>2.4686975462031673E-2</v>
      </c>
      <c r="F18" s="6">
        <v>3.987155</v>
      </c>
      <c r="G18" s="6">
        <f>F18/SUM($F$14:$F$18)*SUM($F$14:$F$20)/$F$21</f>
        <v>1.045571328444886E-2</v>
      </c>
      <c r="H18" s="6">
        <v>8.6000000000000014</v>
      </c>
      <c r="I18" s="6">
        <f>H18/SUM($H$14:$H$18)*SUM($H$14:$H$20)/$H$21</f>
        <v>2.7638368572527026E-2</v>
      </c>
      <c r="J18" s="4">
        <f t="shared" si="1"/>
        <v>8.6000000000000014</v>
      </c>
      <c r="K18" s="20">
        <f>J18/SUM($J$14:$J$18)*SUM($J$14:$J$20)/$J$21</f>
        <v>2.7637779061700965E-2</v>
      </c>
    </row>
    <row r="19" spans="1:11" x14ac:dyDescent="0.25">
      <c r="A19" s="221"/>
      <c r="B19" s="1" t="s">
        <v>33</v>
      </c>
      <c r="C19" s="1"/>
      <c r="D19" s="4">
        <f>0.5+2.1+0.1</f>
        <v>2.7</v>
      </c>
      <c r="E19" s="4" t="s">
        <v>52</v>
      </c>
      <c r="F19" s="4">
        <v>0</v>
      </c>
      <c r="G19" s="4" t="s">
        <v>52</v>
      </c>
      <c r="H19" s="4">
        <v>2.7</v>
      </c>
      <c r="I19" s="4" t="s">
        <v>52</v>
      </c>
      <c r="J19" s="4">
        <f t="shared" si="1"/>
        <v>2.7</v>
      </c>
      <c r="K19" s="16" t="str">
        <f>E19</f>
        <v>-</v>
      </c>
    </row>
    <row r="20" spans="1:11" ht="15.75" thickBot="1" x14ac:dyDescent="0.3">
      <c r="A20" s="222"/>
      <c r="B20" s="17" t="s">
        <v>34</v>
      </c>
      <c r="C20" s="17"/>
      <c r="D20" s="18">
        <f>0.8+2.5-1.3+1</f>
        <v>3</v>
      </c>
      <c r="E20" s="18" t="s">
        <v>52</v>
      </c>
      <c r="F20" s="18">
        <v>0</v>
      </c>
      <c r="G20" s="18" t="s">
        <v>52</v>
      </c>
      <c r="H20" s="18">
        <v>3</v>
      </c>
      <c r="I20" s="18" t="s">
        <v>52</v>
      </c>
      <c r="J20" s="18">
        <f t="shared" si="1"/>
        <v>3</v>
      </c>
      <c r="K20" s="19" t="str">
        <f>E20</f>
        <v>-</v>
      </c>
    </row>
    <row r="21" spans="1:11" ht="15.75" thickBot="1" x14ac:dyDescent="0.3">
      <c r="A21" s="223" t="s">
        <v>35</v>
      </c>
      <c r="B21" s="224"/>
      <c r="C21" s="23"/>
      <c r="D21" s="24">
        <f>SUM(D2:D20)</f>
        <v>375.59999999999997</v>
      </c>
      <c r="E21" s="44">
        <f>SUM(E2:E20)</f>
        <v>1.0000000000000002</v>
      </c>
      <c r="F21" s="24">
        <f>SUM(F2:F20)</f>
        <v>381.337446</v>
      </c>
      <c r="G21" s="44">
        <f>SUM(G2:G20)</f>
        <v>1.0000000000000002</v>
      </c>
      <c r="H21" s="24">
        <v>325.59999999999997</v>
      </c>
      <c r="I21" s="24">
        <f>SUM(I2:I20)</f>
        <v>1.0785816492628995</v>
      </c>
      <c r="J21" s="24">
        <f>SUM(J2:J20)</f>
        <v>325.59999999999997</v>
      </c>
      <c r="K21" s="45">
        <f>SUM(K2:K20)</f>
        <v>1.0000000000000002</v>
      </c>
    </row>
  </sheetData>
  <mergeCells count="4">
    <mergeCell ref="A2:A7"/>
    <mergeCell ref="A8:A13"/>
    <mergeCell ref="A14:A20"/>
    <mergeCell ref="A21:B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D983-58F9-45DC-8EFF-4B0CC7E95E98}">
  <dimension ref="A1:AC44"/>
  <sheetViews>
    <sheetView showGridLines="0" zoomScaleNormal="100" workbookViewId="0">
      <selection activeCell="F23" sqref="F23:F32"/>
    </sheetView>
  </sheetViews>
  <sheetFormatPr defaultRowHeight="15" x14ac:dyDescent="0.25"/>
  <cols>
    <col min="1" max="1" width="11.85546875" customWidth="1"/>
    <col min="2" max="2" width="12.140625" bestFit="1" customWidth="1"/>
    <col min="3" max="3" width="23.7109375" bestFit="1" customWidth="1"/>
    <col min="4" max="4" width="12.5703125" bestFit="1" customWidth="1"/>
    <col min="5" max="5" width="10.42578125" bestFit="1" customWidth="1"/>
    <col min="6" max="6" width="14" bestFit="1" customWidth="1"/>
    <col min="7" max="7" width="12.28515625" bestFit="1" customWidth="1"/>
    <col min="8" max="8" width="14" bestFit="1" customWidth="1"/>
    <col min="9" max="9" width="12.28515625" bestFit="1" customWidth="1"/>
    <col min="10" max="10" width="18.140625" bestFit="1" customWidth="1"/>
    <col min="11" max="11" width="16.140625" bestFit="1" customWidth="1"/>
    <col min="12" max="13" width="11.85546875" bestFit="1" customWidth="1"/>
    <col min="14" max="14" width="13.140625" bestFit="1" customWidth="1"/>
    <col min="15" max="15" width="11.85546875" bestFit="1" customWidth="1"/>
    <col min="23" max="23" width="16.7109375" bestFit="1" customWidth="1"/>
  </cols>
  <sheetData>
    <row r="1" spans="1:29" x14ac:dyDescent="0.25">
      <c r="D1" s="197" t="s">
        <v>9</v>
      </c>
      <c r="E1" s="217"/>
      <c r="F1" s="225" t="s">
        <v>102</v>
      </c>
      <c r="G1" s="226"/>
      <c r="H1" s="219" t="s">
        <v>103</v>
      </c>
      <c r="I1" s="197"/>
      <c r="J1" s="197" t="s">
        <v>14</v>
      </c>
      <c r="K1" s="197"/>
      <c r="L1" s="197" t="s">
        <v>2</v>
      </c>
      <c r="M1" s="197"/>
      <c r="N1" s="197" t="s">
        <v>15</v>
      </c>
      <c r="O1" s="197"/>
    </row>
    <row r="2" spans="1:29" ht="15.75" thickBot="1" x14ac:dyDescent="0.3">
      <c r="B2" s="29" t="s">
        <v>0</v>
      </c>
      <c r="C2" s="29" t="s">
        <v>51</v>
      </c>
      <c r="D2" s="29" t="s">
        <v>77</v>
      </c>
      <c r="E2" s="50" t="s">
        <v>78</v>
      </c>
      <c r="F2" s="58" t="s">
        <v>104</v>
      </c>
      <c r="G2" s="59" t="s">
        <v>105</v>
      </c>
      <c r="H2" s="55" t="s">
        <v>106</v>
      </c>
      <c r="I2" s="29" t="s">
        <v>107</v>
      </c>
      <c r="J2" s="29" t="s">
        <v>85</v>
      </c>
      <c r="K2" s="29" t="s">
        <v>86</v>
      </c>
      <c r="L2" s="29" t="s">
        <v>81</v>
      </c>
      <c r="M2" s="29" t="s">
        <v>82</v>
      </c>
      <c r="N2" s="29" t="s">
        <v>83</v>
      </c>
      <c r="O2" s="29" t="s">
        <v>84</v>
      </c>
    </row>
    <row r="3" spans="1:29" x14ac:dyDescent="0.25">
      <c r="A3" s="228" t="s">
        <v>10</v>
      </c>
      <c r="B3" s="30" t="s">
        <v>1</v>
      </c>
      <c r="C3" s="30" t="s">
        <v>53</v>
      </c>
      <c r="D3" s="31">
        <f>0.46*569.4</f>
        <v>261.92399999999998</v>
      </c>
      <c r="E3" s="51">
        <f t="shared" ref="E3:E10" si="0">D3/SUM($D$3:$D$12)</f>
        <v>1</v>
      </c>
      <c r="F3" s="60">
        <f>D3-SUM(F4:F12)</f>
        <v>271.69399999999996</v>
      </c>
      <c r="G3" s="48">
        <f>MAX(F3/SUM($D$3:$D$12), 0)</f>
        <v>1.0373008964432431</v>
      </c>
      <c r="H3" s="56">
        <f>0.46*569.4-40*9.77*0.5</f>
        <v>66.524000000000001</v>
      </c>
      <c r="I3" s="33">
        <f t="shared" ref="I3:I10" si="1">H3/SUM($D$3:$D$12)</f>
        <v>0.25398207113513849</v>
      </c>
      <c r="J3" s="31">
        <f>0.46*569.4 - 31*9.77*0.5</f>
        <v>110.48899999999998</v>
      </c>
      <c r="K3" s="32">
        <f t="shared" ref="K3:K10" si="2">J3/SUM($D$3:$D$12)</f>
        <v>0.42183610512973224</v>
      </c>
      <c r="L3" s="31">
        <f>0.46*569.4-50*9.77*0.5</f>
        <v>17.673999999999978</v>
      </c>
      <c r="M3" s="32">
        <f t="shared" ref="M3:M10" si="3">L3/SUM($D$3:$D$12)</f>
        <v>6.7477588918922971E-2</v>
      </c>
      <c r="N3" s="31">
        <f>0.46*569.4-40*9.77*0.5</f>
        <v>66.524000000000001</v>
      </c>
      <c r="O3" s="33">
        <f t="shared" ref="O3:O10" si="4">N3/SUM($D$3:$D$12)</f>
        <v>0.25398207113513849</v>
      </c>
    </row>
    <row r="4" spans="1:29" x14ac:dyDescent="0.25">
      <c r="A4" s="229"/>
      <c r="B4" s="26" t="s">
        <v>2</v>
      </c>
      <c r="C4" s="26" t="s">
        <v>54</v>
      </c>
      <c r="D4" s="26">
        <v>0</v>
      </c>
      <c r="E4" s="52">
        <f t="shared" si="0"/>
        <v>0</v>
      </c>
      <c r="F4" s="61">
        <f>6*9.77*$Z$27</f>
        <v>29.31</v>
      </c>
      <c r="G4" s="34">
        <f t="shared" ref="G4:G12" si="5">MAX(F4/SUM($D$3:$D$12), 0)</f>
        <v>0.11190268932972924</v>
      </c>
      <c r="H4" s="46">
        <v>0</v>
      </c>
      <c r="I4" s="34">
        <f t="shared" si="1"/>
        <v>0</v>
      </c>
      <c r="J4" s="38">
        <f>24*9.77*0.5</f>
        <v>117.24</v>
      </c>
      <c r="K4" s="27">
        <f t="shared" si="2"/>
        <v>0.44761075731891697</v>
      </c>
      <c r="L4" s="38">
        <f>50*9.77*0.5</f>
        <v>244.25</v>
      </c>
      <c r="M4" s="27">
        <f t="shared" si="3"/>
        <v>0.93252241108107703</v>
      </c>
      <c r="N4" s="38">
        <v>0</v>
      </c>
      <c r="O4" s="34">
        <f t="shared" si="4"/>
        <v>0</v>
      </c>
    </row>
    <row r="5" spans="1:29" x14ac:dyDescent="0.25">
      <c r="A5" s="229"/>
      <c r="B5" s="26" t="s">
        <v>3</v>
      </c>
      <c r="C5" s="26" t="s">
        <v>55</v>
      </c>
      <c r="D5" s="26">
        <v>0</v>
      </c>
      <c r="E5" s="52">
        <f t="shared" si="0"/>
        <v>0</v>
      </c>
      <c r="F5" s="61">
        <f>-22*9.77*$Z$27</f>
        <v>-107.47</v>
      </c>
      <c r="G5" s="34">
        <f t="shared" si="5"/>
        <v>0</v>
      </c>
      <c r="H5" s="46">
        <v>0</v>
      </c>
      <c r="I5" s="34">
        <f t="shared" si="1"/>
        <v>0</v>
      </c>
      <c r="J5" s="38">
        <f>7*9.77*0.5</f>
        <v>34.195</v>
      </c>
      <c r="K5" s="27">
        <f t="shared" si="2"/>
        <v>0.13055313755135078</v>
      </c>
      <c r="L5" s="38">
        <v>0</v>
      </c>
      <c r="M5" s="27">
        <f t="shared" si="3"/>
        <v>0</v>
      </c>
      <c r="N5" s="38">
        <v>0</v>
      </c>
      <c r="O5" s="34">
        <f t="shared" si="4"/>
        <v>0</v>
      </c>
    </row>
    <row r="6" spans="1:29" x14ac:dyDescent="0.25">
      <c r="A6" s="229"/>
      <c r="B6" s="26" t="s">
        <v>4</v>
      </c>
      <c r="C6" s="26" t="s">
        <v>56</v>
      </c>
      <c r="D6" s="26">
        <v>0</v>
      </c>
      <c r="E6" s="52">
        <f t="shared" si="0"/>
        <v>0</v>
      </c>
      <c r="F6" s="61">
        <f>5.5*9.77*$Z$27</f>
        <v>26.8675</v>
      </c>
      <c r="G6" s="34">
        <f t="shared" si="5"/>
        <v>0.10257746521891847</v>
      </c>
      <c r="H6" s="46">
        <f>20*9.77*0.5</f>
        <v>97.699999999999989</v>
      </c>
      <c r="I6" s="34">
        <f t="shared" si="1"/>
        <v>0.37300896443243076</v>
      </c>
      <c r="J6" s="38">
        <v>0</v>
      </c>
      <c r="K6" s="27">
        <f t="shared" si="2"/>
        <v>0</v>
      </c>
      <c r="L6" s="38">
        <v>0</v>
      </c>
      <c r="M6" s="27">
        <f t="shared" si="3"/>
        <v>0</v>
      </c>
      <c r="N6" s="38">
        <f>20*9.77*0.5</f>
        <v>97.699999999999989</v>
      </c>
      <c r="O6" s="34">
        <f t="shared" si="4"/>
        <v>0.37300896443243076</v>
      </c>
    </row>
    <row r="7" spans="1:29" x14ac:dyDescent="0.25">
      <c r="A7" s="229"/>
      <c r="B7" s="26" t="s">
        <v>5</v>
      </c>
      <c r="C7" s="26" t="s">
        <v>57</v>
      </c>
      <c r="D7" s="26">
        <v>0</v>
      </c>
      <c r="E7" s="52">
        <f t="shared" si="0"/>
        <v>0</v>
      </c>
      <c r="F7" s="61">
        <f>5.5*9.77*$Z$27</f>
        <v>26.8675</v>
      </c>
      <c r="G7" s="34">
        <f t="shared" si="5"/>
        <v>0.10257746521891847</v>
      </c>
      <c r="H7" s="46">
        <f>20*9.77*0.5</f>
        <v>97.699999999999989</v>
      </c>
      <c r="I7" s="34">
        <f t="shared" si="1"/>
        <v>0.37300896443243076</v>
      </c>
      <c r="J7" s="38">
        <v>0</v>
      </c>
      <c r="K7" s="27">
        <f t="shared" si="2"/>
        <v>0</v>
      </c>
      <c r="L7" s="38">
        <v>0</v>
      </c>
      <c r="M7" s="27">
        <f t="shared" si="3"/>
        <v>0</v>
      </c>
      <c r="N7" s="38">
        <f>20*9.77*0.5</f>
        <v>97.699999999999989</v>
      </c>
      <c r="O7" s="34">
        <f t="shared" si="4"/>
        <v>0.37300896443243076</v>
      </c>
    </row>
    <row r="8" spans="1:29" x14ac:dyDescent="0.25">
      <c r="A8" s="229"/>
      <c r="B8" s="26" t="s">
        <v>6</v>
      </c>
      <c r="C8" s="26" t="s">
        <v>58</v>
      </c>
      <c r="D8" s="26">
        <v>0</v>
      </c>
      <c r="E8" s="52">
        <f t="shared" si="0"/>
        <v>0</v>
      </c>
      <c r="F8" s="61">
        <v>0</v>
      </c>
      <c r="G8" s="34">
        <f t="shared" si="5"/>
        <v>0</v>
      </c>
      <c r="H8" s="46">
        <v>0</v>
      </c>
      <c r="I8" s="34">
        <f t="shared" si="1"/>
        <v>0</v>
      </c>
      <c r="J8" s="38">
        <v>0</v>
      </c>
      <c r="K8" s="27">
        <f t="shared" si="2"/>
        <v>0</v>
      </c>
      <c r="L8" s="38">
        <v>0</v>
      </c>
      <c r="M8" s="27">
        <f t="shared" si="3"/>
        <v>0</v>
      </c>
      <c r="N8" s="38">
        <v>0</v>
      </c>
      <c r="O8" s="34">
        <f t="shared" si="4"/>
        <v>0</v>
      </c>
      <c r="W8" s="227" t="s">
        <v>101</v>
      </c>
      <c r="X8" s="227"/>
      <c r="Y8" s="227"/>
      <c r="Z8" s="227"/>
      <c r="AA8" s="227"/>
      <c r="AB8" s="227"/>
      <c r="AC8" s="227"/>
    </row>
    <row r="9" spans="1:29" x14ac:dyDescent="0.25">
      <c r="A9" s="229"/>
      <c r="B9" s="26" t="s">
        <v>7</v>
      </c>
      <c r="C9" s="26" t="s">
        <v>59</v>
      </c>
      <c r="D9" s="26">
        <v>0</v>
      </c>
      <c r="E9" s="52">
        <f t="shared" si="0"/>
        <v>0</v>
      </c>
      <c r="F9" s="61">
        <v>0</v>
      </c>
      <c r="G9" s="34">
        <f t="shared" si="5"/>
        <v>0</v>
      </c>
      <c r="H9" s="46">
        <v>0</v>
      </c>
      <c r="I9" s="34">
        <f t="shared" si="1"/>
        <v>0</v>
      </c>
      <c r="J9" s="38">
        <v>0</v>
      </c>
      <c r="K9" s="27">
        <f t="shared" si="2"/>
        <v>0</v>
      </c>
      <c r="L9" s="38">
        <v>0</v>
      </c>
      <c r="M9" s="27">
        <f t="shared" si="3"/>
        <v>0</v>
      </c>
      <c r="N9" s="38">
        <v>0</v>
      </c>
      <c r="O9" s="34">
        <f t="shared" si="4"/>
        <v>0</v>
      </c>
      <c r="W9" s="26"/>
      <c r="X9" s="26" t="s">
        <v>91</v>
      </c>
      <c r="Y9" s="26" t="s">
        <v>92</v>
      </c>
      <c r="Z9" s="26" t="s">
        <v>93</v>
      </c>
      <c r="AA9" s="26" t="s">
        <v>94</v>
      </c>
      <c r="AB9" s="26" t="s">
        <v>95</v>
      </c>
      <c r="AC9" s="26" t="s">
        <v>96</v>
      </c>
    </row>
    <row r="10" spans="1:29" x14ac:dyDescent="0.25">
      <c r="A10" s="230"/>
      <c r="B10" s="29" t="s">
        <v>8</v>
      </c>
      <c r="C10" s="29" t="s">
        <v>119</v>
      </c>
      <c r="D10" s="29">
        <v>0</v>
      </c>
      <c r="E10" s="52">
        <f t="shared" si="0"/>
        <v>0</v>
      </c>
      <c r="F10" s="62">
        <v>0</v>
      </c>
      <c r="G10" s="34">
        <f t="shared" si="5"/>
        <v>0</v>
      </c>
      <c r="H10" s="47">
        <v>0</v>
      </c>
      <c r="I10" s="34">
        <f t="shared" si="1"/>
        <v>0</v>
      </c>
      <c r="J10" s="42">
        <v>0</v>
      </c>
      <c r="K10" s="27">
        <f t="shared" si="2"/>
        <v>0</v>
      </c>
      <c r="L10" s="42">
        <v>0</v>
      </c>
      <c r="M10" s="27">
        <f t="shared" si="3"/>
        <v>0</v>
      </c>
      <c r="N10" s="42">
        <v>0</v>
      </c>
      <c r="O10" s="34">
        <f t="shared" si="4"/>
        <v>0</v>
      </c>
      <c r="W10" s="28" t="s">
        <v>90</v>
      </c>
      <c r="X10" s="26">
        <v>0.170276672595744</v>
      </c>
      <c r="Y10" s="26">
        <v>0.16062988018138</v>
      </c>
      <c r="Z10" s="26">
        <v>0.15728342434426801</v>
      </c>
      <c r="AA10" s="26">
        <v>0.15728342434426801</v>
      </c>
      <c r="AB10" s="26">
        <v>0.15393696850715599</v>
      </c>
      <c r="AC10" s="26">
        <v>0.150590512670044</v>
      </c>
    </row>
    <row r="11" spans="1:29" x14ac:dyDescent="0.25">
      <c r="A11" s="230"/>
      <c r="B11" s="29" t="s">
        <v>109</v>
      </c>
      <c r="C11" s="29" t="s">
        <v>110</v>
      </c>
      <c r="D11" s="29">
        <v>0</v>
      </c>
      <c r="E11" s="53">
        <v>0</v>
      </c>
      <c r="F11" s="62">
        <f>-12*9.77*$Z$27</f>
        <v>-58.62</v>
      </c>
      <c r="G11" s="34">
        <f t="shared" si="5"/>
        <v>0</v>
      </c>
      <c r="H11" s="47">
        <v>0</v>
      </c>
      <c r="I11" s="43">
        <v>0</v>
      </c>
      <c r="J11" s="42">
        <v>0</v>
      </c>
      <c r="K11" s="41">
        <v>0</v>
      </c>
      <c r="L11" s="42">
        <v>0</v>
      </c>
      <c r="M11" s="41">
        <v>0</v>
      </c>
      <c r="N11" s="42">
        <v>0</v>
      </c>
      <c r="O11" s="43">
        <v>0</v>
      </c>
      <c r="W11" s="216" t="s">
        <v>97</v>
      </c>
      <c r="X11" s="26">
        <v>5.0979896371612403E-3</v>
      </c>
      <c r="Y11" s="26">
        <v>5.5141520565213601E-3</v>
      </c>
      <c r="Z11" s="26">
        <v>5.4101114516813403E-3</v>
      </c>
      <c r="AA11" s="26">
        <v>5.5141520565213601E-3</v>
      </c>
      <c r="AB11" s="26">
        <v>5.6702129637814002E-3</v>
      </c>
      <c r="AC11" s="26">
        <v>5.7742535686214199E-3</v>
      </c>
    </row>
    <row r="12" spans="1:29" ht="15.75" thickBot="1" x14ac:dyDescent="0.3">
      <c r="A12" s="231"/>
      <c r="B12" s="35" t="s">
        <v>13</v>
      </c>
      <c r="C12" s="35" t="s">
        <v>108</v>
      </c>
      <c r="D12" s="35">
        <v>0</v>
      </c>
      <c r="E12" s="54">
        <f>D12/SUM($D$3:$D$12)</f>
        <v>0</v>
      </c>
      <c r="F12" s="63">
        <f>15*9.77*$Z$27</f>
        <v>73.274999999999991</v>
      </c>
      <c r="G12" s="49">
        <f t="shared" si="5"/>
        <v>0.27975672332432305</v>
      </c>
      <c r="H12" s="57">
        <v>0</v>
      </c>
      <c r="I12" s="37">
        <f>H12/SUM($D$3:$D$12)</f>
        <v>0</v>
      </c>
      <c r="J12" s="39">
        <v>0</v>
      </c>
      <c r="K12" s="36">
        <f>J12/SUM($D$3:$D$12)</f>
        <v>0</v>
      </c>
      <c r="L12" s="39">
        <v>0</v>
      </c>
      <c r="M12" s="36">
        <f>L12/SUM($D$3:$D$12)</f>
        <v>0</v>
      </c>
      <c r="N12" s="39">
        <v>0</v>
      </c>
      <c r="O12" s="37">
        <f>N12/SUM($D$3:$D$12)</f>
        <v>0</v>
      </c>
      <c r="W12" s="216"/>
      <c r="X12" s="26">
        <v>4.8259517696499698E-3</v>
      </c>
      <c r="Y12" s="26">
        <v>1.02397274048529E-3</v>
      </c>
      <c r="Z12" s="26">
        <v>1.0046525000987701E-3</v>
      </c>
      <c r="AA12" s="26">
        <v>1.02397274048529E-3</v>
      </c>
      <c r="AB12" s="26">
        <v>1.0529531010650601E-3</v>
      </c>
      <c r="AC12" s="26">
        <v>1.07227334145157E-3</v>
      </c>
    </row>
    <row r="13" spans="1:29" x14ac:dyDescent="0.25">
      <c r="A13" s="228" t="s">
        <v>11</v>
      </c>
      <c r="B13" s="30" t="s">
        <v>1</v>
      </c>
      <c r="C13" s="30" t="s">
        <v>60</v>
      </c>
      <c r="D13" s="31">
        <f>569.4*0.54</f>
        <v>307.476</v>
      </c>
      <c r="E13" s="51">
        <f>D13/SUM($D$13:$D$17)</f>
        <v>1</v>
      </c>
      <c r="F13" s="60">
        <f>569.4*0.54</f>
        <v>307.476</v>
      </c>
      <c r="G13" s="33">
        <f>F13/SUM($D$13:$D$17)</f>
        <v>1</v>
      </c>
      <c r="H13" s="56">
        <f>569.4*0.54</f>
        <v>307.476</v>
      </c>
      <c r="I13" s="33">
        <f>H13/SUM($D$13:$D$17)</f>
        <v>1</v>
      </c>
      <c r="J13" s="31">
        <f>569.4*0.54</f>
        <v>307.476</v>
      </c>
      <c r="K13" s="32">
        <f>J13/SUM($D$13:$D$17)</f>
        <v>1</v>
      </c>
      <c r="L13" s="31">
        <f>569.4*0.54</f>
        <v>307.476</v>
      </c>
      <c r="M13" s="32">
        <f>L13/SUM($D$13:$D$17)</f>
        <v>1</v>
      </c>
      <c r="N13" s="31">
        <f>569.4*0.54</f>
        <v>307.476</v>
      </c>
      <c r="O13" s="33">
        <f>N13/SUM($D$13:$D$17)</f>
        <v>1</v>
      </c>
      <c r="W13" s="216"/>
      <c r="X13" s="26">
        <v>4.2873167919776503E-3</v>
      </c>
      <c r="Y13" s="26">
        <v>4.1665097716297997E-3</v>
      </c>
      <c r="Z13" s="26">
        <v>4.0878963797122596E-3</v>
      </c>
      <c r="AA13" s="26">
        <v>4.1665097716297997E-3</v>
      </c>
      <c r="AB13" s="26">
        <v>4.2844298595061201E-3</v>
      </c>
      <c r="AC13" s="26">
        <v>4.3630432514236601E-3</v>
      </c>
    </row>
    <row r="14" spans="1:29" x14ac:dyDescent="0.25">
      <c r="A14" s="229"/>
      <c r="B14" s="26" t="s">
        <v>2</v>
      </c>
      <c r="C14" s="26" t="s">
        <v>61</v>
      </c>
      <c r="D14" s="26">
        <v>0</v>
      </c>
      <c r="E14" s="52">
        <f t="shared" ref="E14:E17" si="6">D14/SUM($D$13:$D$17)</f>
        <v>0</v>
      </c>
      <c r="F14" s="61">
        <v>0</v>
      </c>
      <c r="G14" s="34">
        <f>F14/SUM($D$13:$D$14)</f>
        <v>0</v>
      </c>
      <c r="H14" s="46">
        <v>0</v>
      </c>
      <c r="I14" s="34">
        <f>H14/SUM($D$13:$D$14)</f>
        <v>0</v>
      </c>
      <c r="J14" s="38">
        <v>0</v>
      </c>
      <c r="K14" s="27">
        <f>J14/SUM($D$13:$D$14)</f>
        <v>0</v>
      </c>
      <c r="L14" s="38">
        <v>0</v>
      </c>
      <c r="M14" s="27">
        <f>L14/SUM($D$13:$D$14)</f>
        <v>0</v>
      </c>
      <c r="N14" s="38">
        <v>0</v>
      </c>
      <c r="O14" s="34">
        <f>N14/SUM($D$13:$D$14)</f>
        <v>0</v>
      </c>
      <c r="W14" s="216"/>
      <c r="X14" s="26">
        <v>3.85205620395961E-3</v>
      </c>
      <c r="Y14" s="26">
        <v>2.12444919146661E-3</v>
      </c>
      <c r="Z14" s="26">
        <v>2.0843652444577998E-3</v>
      </c>
      <c r="AA14" s="26">
        <v>2.12444919146661E-3</v>
      </c>
      <c r="AB14" s="26">
        <v>2.1845751119798102E-3</v>
      </c>
      <c r="AC14" s="26">
        <v>2.2246590589886099E-3</v>
      </c>
    </row>
    <row r="15" spans="1:29" x14ac:dyDescent="0.25">
      <c r="A15" s="229"/>
      <c r="B15" s="26" t="s">
        <v>6</v>
      </c>
      <c r="C15" s="26" t="s">
        <v>70</v>
      </c>
      <c r="D15" s="26">
        <v>0</v>
      </c>
      <c r="E15" s="52">
        <f t="shared" si="6"/>
        <v>0</v>
      </c>
      <c r="F15" s="61">
        <v>0</v>
      </c>
      <c r="G15" s="34">
        <f t="shared" ref="G15:G17" si="7">F15/SUM($D$13:$D$14)</f>
        <v>0</v>
      </c>
      <c r="H15" s="46">
        <v>0</v>
      </c>
      <c r="I15" s="34">
        <f t="shared" ref="I15:I17" si="8">H15/SUM($D$13:$D$14)</f>
        <v>0</v>
      </c>
      <c r="J15" s="38">
        <v>0</v>
      </c>
      <c r="K15" s="27">
        <f t="shared" ref="K15:K17" si="9">J15/SUM($D$13:$D$14)</f>
        <v>0</v>
      </c>
      <c r="L15" s="38">
        <v>0</v>
      </c>
      <c r="M15" s="27">
        <f t="shared" ref="M15:M17" si="10">L15/SUM($D$13:$D$14)</f>
        <v>0</v>
      </c>
      <c r="N15" s="38">
        <v>0</v>
      </c>
      <c r="O15" s="34">
        <f t="shared" ref="O15:O17" si="11">N15/SUM($D$13:$D$14)</f>
        <v>0</v>
      </c>
      <c r="W15" s="216"/>
      <c r="X15" s="26">
        <v>2.3612886899978401E-3</v>
      </c>
      <c r="Y15" s="26">
        <v>5.2199070161520304E-3</v>
      </c>
      <c r="Z15" s="26">
        <v>5.1214182045265198E-3</v>
      </c>
      <c r="AA15" s="26">
        <v>5.2199070161520304E-3</v>
      </c>
      <c r="AB15" s="26">
        <v>5.3676402335902903E-3</v>
      </c>
      <c r="AC15" s="26">
        <v>5.4661290452158E-3</v>
      </c>
    </row>
    <row r="16" spans="1:29" x14ac:dyDescent="0.25">
      <c r="A16" s="229"/>
      <c r="B16" s="26" t="s">
        <v>7</v>
      </c>
      <c r="C16" s="26" t="s">
        <v>71</v>
      </c>
      <c r="D16" s="26">
        <v>0</v>
      </c>
      <c r="E16" s="52">
        <f t="shared" si="6"/>
        <v>0</v>
      </c>
      <c r="F16" s="61">
        <v>0</v>
      </c>
      <c r="G16" s="34">
        <f t="shared" si="7"/>
        <v>0</v>
      </c>
      <c r="H16" s="46">
        <v>0</v>
      </c>
      <c r="I16" s="34">
        <f t="shared" si="8"/>
        <v>0</v>
      </c>
      <c r="J16" s="38">
        <v>0</v>
      </c>
      <c r="K16" s="27">
        <f t="shared" si="9"/>
        <v>0</v>
      </c>
      <c r="L16" s="38">
        <v>0</v>
      </c>
      <c r="M16" s="27">
        <f t="shared" si="10"/>
        <v>0</v>
      </c>
      <c r="N16" s="38">
        <v>0</v>
      </c>
      <c r="O16" s="34">
        <f t="shared" si="11"/>
        <v>0</v>
      </c>
      <c r="W16" s="216"/>
      <c r="X16" s="26">
        <v>2.0021987048829599E-3</v>
      </c>
      <c r="Y16" s="26">
        <v>2.5540469504058399E-3</v>
      </c>
      <c r="Z16" s="26">
        <v>2.5058573853038398E-3</v>
      </c>
      <c r="AA16" s="26">
        <v>2.5540469504058399E-3</v>
      </c>
      <c r="AB16" s="26">
        <v>2.6263312980588302E-3</v>
      </c>
      <c r="AC16" s="26">
        <v>2.6745208631608298E-3</v>
      </c>
    </row>
    <row r="17" spans="1:29" ht="15.75" thickBot="1" x14ac:dyDescent="0.3">
      <c r="A17" s="231"/>
      <c r="B17" s="35" t="s">
        <v>8</v>
      </c>
      <c r="C17" s="35" t="s">
        <v>72</v>
      </c>
      <c r="D17" s="35">
        <v>0</v>
      </c>
      <c r="E17" s="54">
        <f t="shared" si="6"/>
        <v>0</v>
      </c>
      <c r="F17" s="63">
        <v>0</v>
      </c>
      <c r="G17" s="37">
        <f t="shared" si="7"/>
        <v>0</v>
      </c>
      <c r="H17" s="57">
        <v>0</v>
      </c>
      <c r="I17" s="37">
        <f t="shared" si="8"/>
        <v>0</v>
      </c>
      <c r="J17" s="39">
        <v>0</v>
      </c>
      <c r="K17" s="36">
        <f t="shared" si="9"/>
        <v>0</v>
      </c>
      <c r="L17" s="39">
        <v>0</v>
      </c>
      <c r="M17" s="36">
        <f t="shared" si="10"/>
        <v>0</v>
      </c>
      <c r="N17" s="39">
        <v>0</v>
      </c>
      <c r="O17" s="37">
        <f t="shared" si="11"/>
        <v>0</v>
      </c>
      <c r="W17" s="216"/>
      <c r="X17" s="26">
        <v>1.9641134034313799E-3</v>
      </c>
      <c r="Y17" s="26">
        <v>2.1656434971183101E-3</v>
      </c>
      <c r="Z17" s="26">
        <v>2.1247822990594798E-3</v>
      </c>
      <c r="AA17" s="26">
        <v>2.1656434971183101E-3</v>
      </c>
      <c r="AB17" s="26">
        <v>2.2269352942065699E-3</v>
      </c>
      <c r="AC17" s="26">
        <v>2.2677964922654002E-3</v>
      </c>
    </row>
    <row r="18" spans="1:29" x14ac:dyDescent="0.25">
      <c r="A18" s="228" t="s">
        <v>87</v>
      </c>
      <c r="B18" s="30" t="s">
        <v>1</v>
      </c>
      <c r="C18" s="30" t="s">
        <v>62</v>
      </c>
      <c r="D18" s="30">
        <v>224.3</v>
      </c>
      <c r="E18" s="51">
        <f>D18/SUM($D$18:$D$22)</f>
        <v>1</v>
      </c>
      <c r="F18" s="60">
        <v>224.3</v>
      </c>
      <c r="G18" s="33">
        <f>F18/SUM($D$18:$D$22)</f>
        <v>1</v>
      </c>
      <c r="H18" s="56">
        <v>224.3</v>
      </c>
      <c r="I18" s="33">
        <f>H18/SUM($D$18:$D$22)</f>
        <v>1</v>
      </c>
      <c r="J18" s="31">
        <v>224.3</v>
      </c>
      <c r="K18" s="32">
        <f>J18/SUM($D$18:$D$22)</f>
        <v>1</v>
      </c>
      <c r="L18" s="31">
        <v>224.3</v>
      </c>
      <c r="M18" s="32">
        <f>L18/SUM($D$18:$D$22)</f>
        <v>1</v>
      </c>
      <c r="N18" s="31">
        <v>224.3</v>
      </c>
      <c r="O18" s="33">
        <f>N18/SUM($D$18:$D$22)</f>
        <v>1</v>
      </c>
      <c r="W18" s="216"/>
      <c r="X18" s="26">
        <v>9.4669177893922697E-4</v>
      </c>
      <c r="Y18" s="26">
        <v>4.6373018362207401E-3</v>
      </c>
      <c r="Z18" s="26">
        <v>4.5498055751599696E-3</v>
      </c>
      <c r="AA18" s="26">
        <v>4.6373018362207401E-3</v>
      </c>
      <c r="AB18" s="26">
        <v>4.7685462278118903E-3</v>
      </c>
      <c r="AC18" s="26">
        <v>4.8560424888726599E-3</v>
      </c>
    </row>
    <row r="19" spans="1:29" ht="15" customHeight="1" x14ac:dyDescent="0.25">
      <c r="A19" s="229"/>
      <c r="B19" s="26" t="s">
        <v>2</v>
      </c>
      <c r="C19" s="26" t="s">
        <v>63</v>
      </c>
      <c r="D19" s="26">
        <v>0</v>
      </c>
      <c r="E19" s="52">
        <f t="shared" ref="E19:E22" si="12">D19/SUM($D$18:$D$22)</f>
        <v>0</v>
      </c>
      <c r="F19" s="61">
        <v>0</v>
      </c>
      <c r="G19" s="34">
        <f t="shared" ref="G19:G22" si="13">F19/SUM($D$18:$D$22)</f>
        <v>0</v>
      </c>
      <c r="H19" s="46">
        <v>0</v>
      </c>
      <c r="I19" s="34">
        <f t="shared" ref="I19:I22" si="14">H19/SUM($D$18:$D$22)</f>
        <v>0</v>
      </c>
      <c r="J19" s="38">
        <v>0</v>
      </c>
      <c r="K19" s="27">
        <f t="shared" ref="K19:K22" si="15">J19/SUM($D$18:$D$22)</f>
        <v>0</v>
      </c>
      <c r="L19" s="38">
        <v>0</v>
      </c>
      <c r="M19" s="27">
        <f t="shared" ref="M19:M22" si="16">L19/SUM($D$18:$D$22)</f>
        <v>0</v>
      </c>
      <c r="N19" s="38">
        <v>0</v>
      </c>
      <c r="O19" s="34">
        <f t="shared" ref="O19:O22" si="17">N19/SUM($D$18:$D$22)</f>
        <v>0</v>
      </c>
      <c r="W19" s="28" t="s">
        <v>99</v>
      </c>
      <c r="X19" s="26">
        <f t="shared" ref="X19:AC19" si="18">SUM(X11:X18)*40</f>
        <v>1.0135042791999951</v>
      </c>
      <c r="Y19" s="26">
        <f t="shared" si="18"/>
        <v>1.0962393223999991</v>
      </c>
      <c r="Z19" s="26">
        <f t="shared" si="18"/>
        <v>1.0755555615999992</v>
      </c>
      <c r="AA19" s="26">
        <f t="shared" si="18"/>
        <v>1.0962393223999991</v>
      </c>
      <c r="AB19" s="26">
        <f t="shared" si="18"/>
        <v>1.1272649635999989</v>
      </c>
      <c r="AC19" s="26">
        <f t="shared" si="18"/>
        <v>1.147948724399998</v>
      </c>
    </row>
    <row r="20" spans="1:29" x14ac:dyDescent="0.25">
      <c r="A20" s="229"/>
      <c r="B20" s="26" t="s">
        <v>6</v>
      </c>
      <c r="C20" s="26" t="s">
        <v>73</v>
      </c>
      <c r="D20" s="26">
        <v>0</v>
      </c>
      <c r="E20" s="52">
        <f t="shared" si="12"/>
        <v>0</v>
      </c>
      <c r="F20" s="61">
        <v>0</v>
      </c>
      <c r="G20" s="34">
        <f t="shared" si="13"/>
        <v>0</v>
      </c>
      <c r="H20" s="46">
        <v>0</v>
      </c>
      <c r="I20" s="34">
        <f t="shared" si="14"/>
        <v>0</v>
      </c>
      <c r="J20" s="38">
        <v>0</v>
      </c>
      <c r="K20" s="27">
        <f t="shared" si="15"/>
        <v>0</v>
      </c>
      <c r="L20" s="38">
        <v>0</v>
      </c>
      <c r="M20" s="27">
        <f t="shared" si="16"/>
        <v>0</v>
      </c>
      <c r="N20" s="38">
        <v>0</v>
      </c>
      <c r="O20" s="34">
        <f t="shared" si="17"/>
        <v>0</v>
      </c>
      <c r="W20" s="28" t="s">
        <v>98</v>
      </c>
      <c r="X20" s="26">
        <f>1/X19</f>
        <v>0.98667565645538802</v>
      </c>
      <c r="Y20" s="26">
        <f t="shared" ref="Y20:AB20" si="19">1/Y19</f>
        <v>0.91220956917573237</v>
      </c>
      <c r="Z20" s="26">
        <f t="shared" si="19"/>
        <v>0.92975206089065021</v>
      </c>
      <c r="AA20" s="26">
        <f t="shared" si="19"/>
        <v>0.91220956917573237</v>
      </c>
      <c r="AB20" s="26">
        <f t="shared" si="19"/>
        <v>0.88710288378557478</v>
      </c>
      <c r="AC20" s="26">
        <f>1/AC19</f>
        <v>0.87111904804169127</v>
      </c>
    </row>
    <row r="21" spans="1:29" x14ac:dyDescent="0.25">
      <c r="A21" s="229"/>
      <c r="B21" s="26" t="s">
        <v>7</v>
      </c>
      <c r="C21" s="26" t="s">
        <v>74</v>
      </c>
      <c r="D21" s="26">
        <v>0</v>
      </c>
      <c r="E21" s="52">
        <f t="shared" si="12"/>
        <v>0</v>
      </c>
      <c r="F21" s="61">
        <v>0</v>
      </c>
      <c r="G21" s="34">
        <f t="shared" si="13"/>
        <v>0</v>
      </c>
      <c r="H21" s="46">
        <v>0</v>
      </c>
      <c r="I21" s="34">
        <f t="shared" si="14"/>
        <v>0</v>
      </c>
      <c r="J21" s="38">
        <v>0</v>
      </c>
      <c r="K21" s="27">
        <f t="shared" si="15"/>
        <v>0</v>
      </c>
      <c r="L21" s="38">
        <v>0</v>
      </c>
      <c r="M21" s="27">
        <f t="shared" si="16"/>
        <v>0</v>
      </c>
      <c r="N21" s="38">
        <v>0</v>
      </c>
      <c r="O21" s="34">
        <f t="shared" si="17"/>
        <v>0</v>
      </c>
      <c r="W21" s="197"/>
      <c r="X21" s="197"/>
      <c r="Y21" s="197"/>
      <c r="Z21" s="197"/>
      <c r="AA21" s="197"/>
      <c r="AB21" s="197"/>
      <c r="AC21" s="197"/>
    </row>
    <row r="22" spans="1:29" ht="15.75" thickBot="1" x14ac:dyDescent="0.3">
      <c r="A22" s="231"/>
      <c r="B22" s="35" t="s">
        <v>8</v>
      </c>
      <c r="C22" s="35" t="s">
        <v>75</v>
      </c>
      <c r="D22" s="35">
        <v>0</v>
      </c>
      <c r="E22" s="54">
        <f t="shared" si="12"/>
        <v>0</v>
      </c>
      <c r="F22" s="63">
        <v>0</v>
      </c>
      <c r="G22" s="37">
        <f t="shared" si="13"/>
        <v>0</v>
      </c>
      <c r="H22" s="57">
        <v>0</v>
      </c>
      <c r="I22" s="37">
        <f t="shared" si="14"/>
        <v>0</v>
      </c>
      <c r="J22" s="39">
        <v>0</v>
      </c>
      <c r="K22" s="36">
        <f t="shared" si="15"/>
        <v>0</v>
      </c>
      <c r="L22" s="39">
        <v>0</v>
      </c>
      <c r="M22" s="36">
        <f t="shared" si="16"/>
        <v>0</v>
      </c>
      <c r="N22" s="39">
        <v>0</v>
      </c>
      <c r="O22" s="37">
        <f t="shared" si="17"/>
        <v>0</v>
      </c>
      <c r="W22" s="26"/>
      <c r="X22" s="26">
        <f t="shared" ref="X22:AC22" si="20">X20*X10</f>
        <v>0.1680078477124449</v>
      </c>
      <c r="Y22" s="26">
        <f t="shared" si="20"/>
        <v>0.14652811379700617</v>
      </c>
      <c r="Z22" s="26">
        <f t="shared" si="20"/>
        <v>0.14623458792802185</v>
      </c>
      <c r="AA22" s="26">
        <f t="shared" si="20"/>
        <v>0.14347544475956861</v>
      </c>
      <c r="AB22" s="26">
        <f t="shared" si="20"/>
        <v>0.13655792868390729</v>
      </c>
      <c r="AC22" s="26">
        <f t="shared" si="20"/>
        <v>0.13118226404123898</v>
      </c>
    </row>
    <row r="23" spans="1:29" x14ac:dyDescent="0.25">
      <c r="A23" s="232" t="s">
        <v>88</v>
      </c>
      <c r="B23" s="30" t="s">
        <v>1</v>
      </c>
      <c r="C23" s="30" t="s">
        <v>64</v>
      </c>
      <c r="D23" s="31">
        <f>97.3 * 9.77 / (0.027215*40)</f>
        <v>873.25096454161303</v>
      </c>
      <c r="E23" s="51">
        <f>D23/SUM($D$23:$D$27)</f>
        <v>1</v>
      </c>
      <c r="F23" s="60">
        <f>97.3 * 9.77 / (0.027215*40)-SUM(F24:F27)</f>
        <v>649.05893477924462</v>
      </c>
      <c r="G23" s="33">
        <f>F23/SUM($D$23:$D$27)</f>
        <v>0.74326735512963182</v>
      </c>
      <c r="H23" s="56">
        <f>97.3 * 9.77 / (0.027215*40)</f>
        <v>873.25096454161303</v>
      </c>
      <c r="I23" s="33">
        <f>H23/SUM($D$23:$D$27)</f>
        <v>1</v>
      </c>
      <c r="J23" s="31">
        <f>97.3 * 9.77 / (0.027215*40)</f>
        <v>873.25096454161303</v>
      </c>
      <c r="K23" s="32">
        <f>J23/SUM($D$23:$D$27)</f>
        <v>1</v>
      </c>
      <c r="L23" s="31">
        <f>97.3 * 9.77 / (0.027215*40)</f>
        <v>873.25096454161303</v>
      </c>
      <c r="M23" s="32">
        <f>L23/SUM($D$23:$D$27)</f>
        <v>1</v>
      </c>
      <c r="N23" s="31">
        <f>97.3 * 9.77 / (0.027215*40)</f>
        <v>873.25096454161303</v>
      </c>
      <c r="O23" s="33">
        <f>N23/SUM($D$23:$D$27)</f>
        <v>1</v>
      </c>
      <c r="W23" s="197"/>
      <c r="X23" s="197"/>
      <c r="Y23" s="197"/>
      <c r="Z23" s="197"/>
      <c r="AA23" s="197"/>
      <c r="AB23" s="197"/>
      <c r="AC23" s="197"/>
    </row>
    <row r="24" spans="1:29" x14ac:dyDescent="0.25">
      <c r="A24" s="233"/>
      <c r="B24" s="26" t="s">
        <v>2</v>
      </c>
      <c r="C24" s="26" t="s">
        <v>65</v>
      </c>
      <c r="D24" s="26">
        <v>0</v>
      </c>
      <c r="E24" s="52">
        <f>D24/SUM($D$23:$D$27)</f>
        <v>0</v>
      </c>
      <c r="F24" s="61">
        <v>0</v>
      </c>
      <c r="G24" s="34">
        <f>F24/SUM($D$23:$D$27)</f>
        <v>0</v>
      </c>
      <c r="H24" s="46">
        <v>0</v>
      </c>
      <c r="I24" s="34">
        <f>H24/SUM($D$23:$D$27)</f>
        <v>0</v>
      </c>
      <c r="J24" s="38">
        <v>0</v>
      </c>
      <c r="K24" s="27">
        <f>J24/SUM($D$23:$D$27)</f>
        <v>0</v>
      </c>
      <c r="L24" s="38">
        <v>0</v>
      </c>
      <c r="M24" s="27">
        <f>L24/SUM($D$23:$D$27)</f>
        <v>0</v>
      </c>
      <c r="N24" s="38">
        <v>0</v>
      </c>
      <c r="O24" s="34">
        <f>N24/SUM($D$23:$D$27)</f>
        <v>0</v>
      </c>
      <c r="W24" s="28" t="s">
        <v>100</v>
      </c>
      <c r="X24" s="197">
        <f>SUM(X22:AC22)/SUM(X10:AC10)</f>
        <v>0.91787934396056681</v>
      </c>
      <c r="Y24" s="197"/>
      <c r="Z24" s="197"/>
      <c r="AA24" s="197"/>
      <c r="AB24" s="197"/>
      <c r="AC24" s="197"/>
    </row>
    <row r="25" spans="1:29" x14ac:dyDescent="0.25">
      <c r="A25" s="234"/>
      <c r="B25" s="29" t="s">
        <v>7</v>
      </c>
      <c r="C25" s="29" t="s">
        <v>66</v>
      </c>
      <c r="D25" s="29">
        <v>0</v>
      </c>
      <c r="E25" s="53">
        <f>D25/SUM($D$23:$D$27)</f>
        <v>0</v>
      </c>
      <c r="F25" s="62">
        <f>7*9.77*$X$24</f>
        <v>62.773768333463167</v>
      </c>
      <c r="G25" s="43">
        <f>F25/SUM($D$23:$D$27)</f>
        <v>7.1885140563703098E-2</v>
      </c>
      <c r="H25" s="47">
        <v>0</v>
      </c>
      <c r="I25" s="43">
        <f>H25/SUM($D$23:$D$27)</f>
        <v>0</v>
      </c>
      <c r="J25" s="42">
        <v>0</v>
      </c>
      <c r="K25" s="41">
        <f>J25/SUM($D$23:$D$27)</f>
        <v>0</v>
      </c>
      <c r="L25" s="42">
        <v>0</v>
      </c>
      <c r="M25" s="41">
        <f>L25/SUM($D$23:$D$27)</f>
        <v>0</v>
      </c>
      <c r="N25" s="42">
        <v>0</v>
      </c>
      <c r="O25" s="43">
        <f>N25/SUM($D$23:$D$27)</f>
        <v>0</v>
      </c>
    </row>
    <row r="26" spans="1:29" x14ac:dyDescent="0.25">
      <c r="A26" s="234"/>
      <c r="B26" s="29" t="s">
        <v>98</v>
      </c>
      <c r="C26" s="29" t="s">
        <v>112</v>
      </c>
      <c r="D26" s="29">
        <v>0</v>
      </c>
      <c r="E26" s="53">
        <f>D26/SUM($D$23:$D$27)</f>
        <v>0</v>
      </c>
      <c r="F26" s="62">
        <f>3*9.77*$X$24</f>
        <v>26.903043571484211</v>
      </c>
      <c r="G26" s="43">
        <f>F26/SUM($D$23:$D$27)</f>
        <v>3.0807917384444182E-2</v>
      </c>
      <c r="H26" s="47">
        <v>0</v>
      </c>
      <c r="I26" s="43">
        <f>H26/SUM($D$23:$D$27)</f>
        <v>0</v>
      </c>
      <c r="J26" s="42">
        <v>0</v>
      </c>
      <c r="K26" s="41">
        <f>J26/SUM($D$23:$D$27)</f>
        <v>0</v>
      </c>
      <c r="L26" s="42">
        <v>0</v>
      </c>
      <c r="M26" s="41">
        <f>L26/SUM($D$23:$D$27)</f>
        <v>0</v>
      </c>
      <c r="N26" s="42">
        <v>0</v>
      </c>
      <c r="O26" s="43">
        <f>N26/SUM($D$23:$D$27)</f>
        <v>0</v>
      </c>
    </row>
    <row r="27" spans="1:29" ht="15.75" thickBot="1" x14ac:dyDescent="0.3">
      <c r="A27" s="235"/>
      <c r="B27" s="35" t="s">
        <v>13</v>
      </c>
      <c r="C27" s="35" t="s">
        <v>111</v>
      </c>
      <c r="D27" s="35">
        <v>0</v>
      </c>
      <c r="E27" s="54">
        <f>D27/SUM($D$23:$D$27)</f>
        <v>0</v>
      </c>
      <c r="F27" s="63">
        <f>15*9.77*$X$24</f>
        <v>134.51521785742105</v>
      </c>
      <c r="G27" s="37">
        <f>F27/SUM($D$23:$D$27)</f>
        <v>0.15403958692222092</v>
      </c>
      <c r="H27" s="57">
        <v>0</v>
      </c>
      <c r="I27" s="37">
        <f>H27/SUM($D$23:$D$27)</f>
        <v>0</v>
      </c>
      <c r="J27" s="39">
        <v>0</v>
      </c>
      <c r="K27" s="36">
        <f>J27/SUM($D$23:$D$27)</f>
        <v>0</v>
      </c>
      <c r="L27" s="39">
        <v>0</v>
      </c>
      <c r="M27" s="36">
        <f>L27/SUM($D$23:$D$27)</f>
        <v>0</v>
      </c>
      <c r="N27" s="39">
        <v>0</v>
      </c>
      <c r="O27" s="37">
        <f>N27/SUM($D$23:$D$27)</f>
        <v>0</v>
      </c>
      <c r="W27" s="197" t="s">
        <v>116</v>
      </c>
      <c r="X27" s="197"/>
      <c r="Y27" s="197"/>
      <c r="Z27" s="197">
        <v>0.5</v>
      </c>
      <c r="AA27" s="197"/>
      <c r="AB27" s="197"/>
      <c r="AC27" s="197"/>
    </row>
    <row r="28" spans="1:29" x14ac:dyDescent="0.25">
      <c r="A28" s="232" t="s">
        <v>89</v>
      </c>
      <c r="B28" s="30" t="s">
        <v>1</v>
      </c>
      <c r="C28" s="30" t="s">
        <v>67</v>
      </c>
      <c r="D28" s="31">
        <f>137.8 * 9.77 * X24</f>
        <v>1235.7464680501748</v>
      </c>
      <c r="E28" s="51">
        <f>D28/SUM($D$28:$D$32)</f>
        <v>1</v>
      </c>
      <c r="F28" s="60">
        <f>D28-SUM(F29:F32)</f>
        <v>967.39904934725359</v>
      </c>
      <c r="G28" s="33">
        <f>F28/SUM($D$28:$D$32)</f>
        <v>0.78284589465480425</v>
      </c>
      <c r="H28" s="56">
        <f>137.8 * 9.77 * AB24 - 10*9.77*AB24</f>
        <v>0</v>
      </c>
      <c r="I28" s="33">
        <f>H28/SUM($D$28:$D$32)</f>
        <v>0</v>
      </c>
      <c r="J28" s="31">
        <f>137.8 * 9.77 *X24 - 19*9.77*X24</f>
        <v>1065.3605254307747</v>
      </c>
      <c r="K28" s="32">
        <f>J28/SUM($D$28:$D$32)</f>
        <v>0.86211901306240923</v>
      </c>
      <c r="L28" s="31">
        <f>137.8 * 9.77 * X24</f>
        <v>1235.7464680501748</v>
      </c>
      <c r="M28" s="32">
        <f>L28/SUM($D$28:$D$32)</f>
        <v>1</v>
      </c>
      <c r="N28" s="31">
        <f>137.8 * 9.77 * X24 - 10*9.77*X24</f>
        <v>1146.0696561452276</v>
      </c>
      <c r="O28" s="33">
        <f>N28/SUM($D$28:$D$32)</f>
        <v>0.92743105950653126</v>
      </c>
      <c r="W28" s="197" t="s">
        <v>117</v>
      </c>
      <c r="X28" s="197"/>
      <c r="Y28" s="197"/>
      <c r="Z28" s="217">
        <f xml:space="preserve"> 1 /  0.027215 / 40</f>
        <v>0.91861106007716331</v>
      </c>
      <c r="AA28" s="218"/>
      <c r="AB28" s="218"/>
      <c r="AC28" s="219"/>
    </row>
    <row r="29" spans="1:29" x14ac:dyDescent="0.25">
      <c r="A29" s="233"/>
      <c r="B29" s="26" t="s">
        <v>12</v>
      </c>
      <c r="C29" s="26" t="s">
        <v>68</v>
      </c>
      <c r="D29" s="26">
        <v>0</v>
      </c>
      <c r="E29" s="52">
        <f t="shared" ref="E29:K32" si="21">D29/SUM($D$28:$D$32)</f>
        <v>0</v>
      </c>
      <c r="F29" s="61">
        <f>1.4*9.77*$Z$28</f>
        <v>12.56476207973544</v>
      </c>
      <c r="G29" s="34">
        <f t="shared" ref="G29:G31" si="22">F29/SUM($D$28:$D$32)</f>
        <v>1.0167750751948963E-2</v>
      </c>
      <c r="H29" s="46">
        <v>0</v>
      </c>
      <c r="I29" s="34">
        <f t="shared" ref="I29" si="23">H29/SUM($D$28:$D$32)</f>
        <v>0</v>
      </c>
      <c r="J29" s="38">
        <f>9*9.77*X24</f>
        <v>80.709130714452627</v>
      </c>
      <c r="K29" s="27">
        <f t="shared" si="21"/>
        <v>6.5312046444121905E-2</v>
      </c>
      <c r="L29" s="38">
        <v>0</v>
      </c>
      <c r="M29" s="27">
        <f t="shared" ref="M29:O29" si="24">L29/SUM($D$28:$D$32)</f>
        <v>0</v>
      </c>
      <c r="N29" s="38">
        <v>0</v>
      </c>
      <c r="O29" s="34">
        <f t="shared" si="24"/>
        <v>0</v>
      </c>
    </row>
    <row r="30" spans="1:29" x14ac:dyDescent="0.25">
      <c r="A30" s="234"/>
      <c r="B30" s="29" t="s">
        <v>113</v>
      </c>
      <c r="C30" s="29" t="s">
        <v>114</v>
      </c>
      <c r="D30" s="29">
        <v>0</v>
      </c>
      <c r="E30" s="53">
        <v>0</v>
      </c>
      <c r="F30" s="62">
        <f>18*9.77*$Z$28</f>
        <v>161.54694102516993</v>
      </c>
      <c r="G30" s="34">
        <f t="shared" si="22"/>
        <v>0.13072822395362951</v>
      </c>
      <c r="H30" s="47">
        <v>0</v>
      </c>
      <c r="I30" s="43">
        <v>0</v>
      </c>
      <c r="J30" s="42">
        <v>0</v>
      </c>
      <c r="K30" s="41">
        <v>0</v>
      </c>
      <c r="L30" s="42">
        <v>0</v>
      </c>
      <c r="M30" s="41">
        <v>0</v>
      </c>
      <c r="N30" s="42">
        <v>0</v>
      </c>
      <c r="O30" s="43">
        <v>0</v>
      </c>
    </row>
    <row r="31" spans="1:29" x14ac:dyDescent="0.25">
      <c r="A31" s="234"/>
      <c r="B31" s="29" t="s">
        <v>98</v>
      </c>
      <c r="C31" s="29" t="s">
        <v>115</v>
      </c>
      <c r="D31" s="29">
        <v>0</v>
      </c>
      <c r="E31" s="53">
        <v>0</v>
      </c>
      <c r="F31" s="62">
        <f>3.5*9.77*$Z$28</f>
        <v>31.411905199338598</v>
      </c>
      <c r="G31" s="34">
        <f t="shared" si="22"/>
        <v>2.5419376879872405E-2</v>
      </c>
      <c r="H31" s="47">
        <v>0</v>
      </c>
      <c r="I31" s="43">
        <v>0</v>
      </c>
      <c r="J31" s="42">
        <v>0</v>
      </c>
      <c r="K31" s="41">
        <v>0</v>
      </c>
      <c r="L31" s="42">
        <v>0</v>
      </c>
      <c r="M31" s="41">
        <v>0</v>
      </c>
      <c r="N31" s="42">
        <v>0</v>
      </c>
      <c r="O31" s="43">
        <v>0</v>
      </c>
    </row>
    <row r="32" spans="1:29" ht="15.75" thickBot="1" x14ac:dyDescent="0.3">
      <c r="A32" s="235"/>
      <c r="B32" s="35" t="s">
        <v>13</v>
      </c>
      <c r="C32" s="35" t="s">
        <v>69</v>
      </c>
      <c r="D32" s="35">
        <v>0</v>
      </c>
      <c r="E32" s="54">
        <f t="shared" si="21"/>
        <v>0</v>
      </c>
      <c r="F32" s="63">
        <f>7*9.77*$Z$28</f>
        <v>62.823810398677196</v>
      </c>
      <c r="G32" s="37">
        <f t="shared" ref="G32" si="25">F32/SUM($D$28:$D$32)</f>
        <v>5.0838753759744809E-2</v>
      </c>
      <c r="H32" s="57">
        <f>10*9.77*AB24</f>
        <v>0</v>
      </c>
      <c r="I32" s="37">
        <f t="shared" ref="I32" si="26">H32/SUM($D$28:$D$32)</f>
        <v>0</v>
      </c>
      <c r="J32" s="39">
        <f>10*9.77*X24</f>
        <v>89.676811904947371</v>
      </c>
      <c r="K32" s="36">
        <f t="shared" si="21"/>
        <v>7.2568940493468792E-2</v>
      </c>
      <c r="L32" s="39">
        <v>0</v>
      </c>
      <c r="M32" s="36">
        <f t="shared" ref="M32:O32" si="27">L32/SUM($D$28:$D$32)</f>
        <v>0</v>
      </c>
      <c r="N32" s="39">
        <f>10*9.77*X24</f>
        <v>89.676811904947371</v>
      </c>
      <c r="O32" s="37">
        <f t="shared" si="27"/>
        <v>7.2568940493468792E-2</v>
      </c>
    </row>
    <row r="33" spans="1:14" x14ac:dyDescent="0.25">
      <c r="A33" t="s">
        <v>118</v>
      </c>
      <c r="D33">
        <f>(D3+D13)/9.77/$Z$27+D23/9.77/$Z$28+D28/9.77/$X$24</f>
        <v>351.66090071647898</v>
      </c>
      <c r="F33">
        <f>(F3+F13)/9.77/$Z$27+F23/9.77/$Z$28+F28/9.77/$X$24</f>
        <v>298.75697865402424</v>
      </c>
      <c r="H33">
        <f>(H3+H13)/9.77/$Z$27+H23/9.77/$Z$28+H28/9.77/$X$24</f>
        <v>173.86090071647902</v>
      </c>
      <c r="J33">
        <f>(J3+J13)/9.77/$Z$27+J23/9.77/$Z$28+J28/9.77/$X$24</f>
        <v>301.66090071647898</v>
      </c>
      <c r="L33">
        <f>(L3+L13)/9.77/$Z$27+L23/9.77/$Z$28+L28/9.77/$X$24</f>
        <v>301.66090071647898</v>
      </c>
      <c r="N33">
        <f>(N3+N13)/9.77/$Z$27+N23/9.77/$Z$28+N28/9.77/$X$24</f>
        <v>301.66090071647903</v>
      </c>
    </row>
    <row r="35" spans="1:14" x14ac:dyDescent="0.25">
      <c r="K35" s="40"/>
    </row>
    <row r="39" spans="1:14" x14ac:dyDescent="0.25">
      <c r="B39">
        <f>3943.8/9.77</f>
        <v>403.66427840327538</v>
      </c>
    </row>
    <row r="40" spans="1:14" x14ac:dyDescent="0.25">
      <c r="B40">
        <f>3421.44/9.77</f>
        <v>350.19856704196525</v>
      </c>
      <c r="D40">
        <f>(D13+D18)/0.918611</f>
        <v>578.89139145949707</v>
      </c>
      <c r="F40">
        <v>0.19685</v>
      </c>
      <c r="G40">
        <v>0.18450184501844999</v>
      </c>
      <c r="H40">
        <v>0.16863</v>
      </c>
      <c r="I40">
        <v>0.20099128262093099</v>
      </c>
    </row>
    <row r="41" spans="1:14" x14ac:dyDescent="0.25">
      <c r="D41">
        <f>D13/0.459+D18/0.33</f>
        <v>1349.5793226381461</v>
      </c>
      <c r="F41">
        <f>F40*40/3.6</f>
        <v>2.1872222222222222</v>
      </c>
      <c r="G41">
        <f>G40*40/3.6</f>
        <v>2.050020500205</v>
      </c>
      <c r="H41">
        <f t="shared" ref="H41:I41" si="28">H40*40/3.6</f>
        <v>1.8736666666666668</v>
      </c>
      <c r="I41">
        <f t="shared" si="28"/>
        <v>2.2332364735658996</v>
      </c>
    </row>
    <row r="42" spans="1:14" x14ac:dyDescent="0.25">
      <c r="F42">
        <f>1/F41</f>
        <v>0.45720091440182881</v>
      </c>
      <c r="G42">
        <f>1/G41</f>
        <v>0.48780000000000046</v>
      </c>
      <c r="H42">
        <f t="shared" ref="H42:I42" si="29">1/H41</f>
        <v>0.53371286247998573</v>
      </c>
      <c r="I42">
        <f t="shared" si="29"/>
        <v>0.44778061429529642</v>
      </c>
    </row>
    <row r="44" spans="1:14" x14ac:dyDescent="0.25">
      <c r="D44">
        <f>127*0.54*9.77</f>
        <v>670.02659999999992</v>
      </c>
    </row>
  </sheetData>
  <mergeCells count="20">
    <mergeCell ref="D1:E1"/>
    <mergeCell ref="A3:A12"/>
    <mergeCell ref="A23:A27"/>
    <mergeCell ref="A28:A32"/>
    <mergeCell ref="A13:A17"/>
    <mergeCell ref="A18:A22"/>
    <mergeCell ref="W28:Y28"/>
    <mergeCell ref="Z28:AC28"/>
    <mergeCell ref="F1:G1"/>
    <mergeCell ref="H1:I1"/>
    <mergeCell ref="W27:Y27"/>
    <mergeCell ref="Z27:AC27"/>
    <mergeCell ref="N1:O1"/>
    <mergeCell ref="J1:K1"/>
    <mergeCell ref="L1:M1"/>
    <mergeCell ref="W8:AC8"/>
    <mergeCell ref="W11:W18"/>
    <mergeCell ref="X24:AC24"/>
    <mergeCell ref="W21:AC21"/>
    <mergeCell ref="W23:AC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79A7-F374-4021-9CD0-455FD28772DF}">
  <dimension ref="A1:AC44"/>
  <sheetViews>
    <sheetView showGridLines="0" zoomScaleNormal="100" workbookViewId="0">
      <selection activeCell="D35" sqref="D35"/>
    </sheetView>
  </sheetViews>
  <sheetFormatPr defaultRowHeight="15" x14ac:dyDescent="0.25"/>
  <cols>
    <col min="1" max="1" width="11.85546875" customWidth="1"/>
    <col min="2" max="2" width="12.140625" bestFit="1" customWidth="1"/>
    <col min="3" max="3" width="23.7109375" bestFit="1" customWidth="1"/>
    <col min="4" max="4" width="12.5703125" bestFit="1" customWidth="1"/>
    <col min="5" max="5" width="11" bestFit="1" customWidth="1"/>
    <col min="6" max="6" width="14" bestFit="1" customWidth="1"/>
    <col min="7" max="7" width="12.28515625" bestFit="1" customWidth="1"/>
    <col min="8" max="8" width="14" bestFit="1" customWidth="1"/>
    <col min="9" max="9" width="12.28515625" bestFit="1" customWidth="1"/>
    <col min="10" max="10" width="18.140625" bestFit="1" customWidth="1"/>
    <col min="11" max="11" width="16.140625" bestFit="1" customWidth="1"/>
    <col min="12" max="13" width="11.85546875" bestFit="1" customWidth="1"/>
    <col min="14" max="14" width="13.140625" bestFit="1" customWidth="1"/>
    <col min="15" max="15" width="11.85546875" bestFit="1" customWidth="1"/>
    <col min="23" max="23" width="16.7109375" bestFit="1" customWidth="1"/>
  </cols>
  <sheetData>
    <row r="1" spans="1:29" x14ac:dyDescent="0.25">
      <c r="D1" s="197" t="s">
        <v>9</v>
      </c>
      <c r="E1" s="217"/>
      <c r="F1" s="225" t="s">
        <v>102</v>
      </c>
      <c r="G1" s="226"/>
      <c r="H1" s="219" t="s">
        <v>103</v>
      </c>
      <c r="I1" s="197"/>
      <c r="J1" s="197" t="s">
        <v>14</v>
      </c>
      <c r="K1" s="197"/>
      <c r="L1" s="197" t="s">
        <v>2</v>
      </c>
      <c r="M1" s="197"/>
      <c r="N1" s="197" t="s">
        <v>15</v>
      </c>
      <c r="O1" s="197"/>
    </row>
    <row r="2" spans="1:29" ht="15.75" thickBot="1" x14ac:dyDescent="0.3">
      <c r="B2" s="29" t="s">
        <v>0</v>
      </c>
      <c r="C2" s="29" t="s">
        <v>51</v>
      </c>
      <c r="D2" s="29" t="s">
        <v>77</v>
      </c>
      <c r="E2" s="50" t="s">
        <v>78</v>
      </c>
      <c r="F2" s="58" t="s">
        <v>104</v>
      </c>
      <c r="G2" s="59" t="s">
        <v>105</v>
      </c>
      <c r="H2" s="55" t="s">
        <v>106</v>
      </c>
      <c r="I2" s="29" t="s">
        <v>107</v>
      </c>
      <c r="J2" s="29" t="s">
        <v>85</v>
      </c>
      <c r="K2" s="29" t="s">
        <v>86</v>
      </c>
      <c r="L2" s="29" t="s">
        <v>81</v>
      </c>
      <c r="M2" s="29" t="s">
        <v>82</v>
      </c>
      <c r="N2" s="29" t="s">
        <v>83</v>
      </c>
      <c r="O2" s="29" t="s">
        <v>84</v>
      </c>
    </row>
    <row r="3" spans="1:29" x14ac:dyDescent="0.25">
      <c r="A3" s="228" t="s">
        <v>10</v>
      </c>
      <c r="B3" s="30" t="s">
        <v>1</v>
      </c>
      <c r="C3" s="30" t="s">
        <v>53</v>
      </c>
      <c r="D3" s="31">
        <f>451.865+33.261</f>
        <v>485.12600000000003</v>
      </c>
      <c r="E3" s="51">
        <f t="shared" ref="E3:E10" si="0">D3/SUM($D$3:$D$12)</f>
        <v>1</v>
      </c>
      <c r="F3" s="60">
        <f>D3-SUM(F4:F12)</f>
        <v>494.89600000000002</v>
      </c>
      <c r="G3" s="48">
        <f>MAX(F3/SUM($D$3:$D$12), 0)</f>
        <v>1.0201390978838487</v>
      </c>
      <c r="H3" s="56">
        <f>0.46*569.4-40*9.77*0.5</f>
        <v>66.524000000000001</v>
      </c>
      <c r="I3" s="33">
        <f t="shared" ref="I3:I10" si="1">H3/SUM($D$3:$D$12)</f>
        <v>0.13712726178353665</v>
      </c>
      <c r="J3" s="31">
        <f>0.46*569.4 - 31*9.77*0.5</f>
        <v>110.48899999999998</v>
      </c>
      <c r="K3" s="32">
        <f t="shared" ref="K3:K10" si="2">J3/SUM($D$3:$D$12)</f>
        <v>0.22775320226085588</v>
      </c>
      <c r="L3" s="31">
        <f>0.46*569.4-50*9.77*0.5</f>
        <v>17.673999999999978</v>
      </c>
      <c r="M3" s="32">
        <f t="shared" ref="M3:M10" si="3">L3/SUM($D$3:$D$12)</f>
        <v>3.6431772364292937E-2</v>
      </c>
      <c r="N3" s="31">
        <f>0.46*569.4-40*9.77*0.5</f>
        <v>66.524000000000001</v>
      </c>
      <c r="O3" s="33">
        <f t="shared" ref="O3:O10" si="4">N3/SUM($D$3:$D$12)</f>
        <v>0.13712726178353665</v>
      </c>
    </row>
    <row r="4" spans="1:29" x14ac:dyDescent="0.25">
      <c r="A4" s="229"/>
      <c r="B4" s="26" t="s">
        <v>2</v>
      </c>
      <c r="C4" s="26" t="s">
        <v>54</v>
      </c>
      <c r="D4" s="26">
        <v>0</v>
      </c>
      <c r="E4" s="52">
        <f t="shared" si="0"/>
        <v>0</v>
      </c>
      <c r="F4" s="61">
        <f>6*9.77*$Z$27</f>
        <v>29.31</v>
      </c>
      <c r="G4" s="34">
        <f t="shared" ref="G4:G12" si="5">MAX(F4/SUM($D$3:$D$12), 0)</f>
        <v>6.0417293651546189E-2</v>
      </c>
      <c r="H4" s="46">
        <v>0</v>
      </c>
      <c r="I4" s="34">
        <f t="shared" si="1"/>
        <v>0</v>
      </c>
      <c r="J4" s="38">
        <f>24*9.77*0.5</f>
        <v>117.24</v>
      </c>
      <c r="K4" s="27">
        <f t="shared" si="2"/>
        <v>0.24166917460618476</v>
      </c>
      <c r="L4" s="38">
        <f>50*9.77*0.5</f>
        <v>244.25</v>
      </c>
      <c r="M4" s="27">
        <f t="shared" si="3"/>
        <v>0.50347744709621822</v>
      </c>
      <c r="N4" s="38">
        <v>0</v>
      </c>
      <c r="O4" s="34">
        <f t="shared" si="4"/>
        <v>0</v>
      </c>
    </row>
    <row r="5" spans="1:29" x14ac:dyDescent="0.25">
      <c r="A5" s="229"/>
      <c r="B5" s="26" t="s">
        <v>3</v>
      </c>
      <c r="C5" s="26" t="s">
        <v>55</v>
      </c>
      <c r="D5" s="26">
        <v>0</v>
      </c>
      <c r="E5" s="52">
        <f t="shared" si="0"/>
        <v>0</v>
      </c>
      <c r="F5" s="61">
        <f>-22*9.77*$Z$27</f>
        <v>-107.47</v>
      </c>
      <c r="G5" s="34">
        <f t="shared" si="5"/>
        <v>0</v>
      </c>
      <c r="H5" s="46">
        <v>0</v>
      </c>
      <c r="I5" s="34">
        <f t="shared" si="1"/>
        <v>0</v>
      </c>
      <c r="J5" s="38">
        <f>7*9.77*0.5</f>
        <v>34.195</v>
      </c>
      <c r="K5" s="27">
        <f t="shared" si="2"/>
        <v>7.0486842593470558E-2</v>
      </c>
      <c r="L5" s="38">
        <v>0</v>
      </c>
      <c r="M5" s="27">
        <f t="shared" si="3"/>
        <v>0</v>
      </c>
      <c r="N5" s="38">
        <v>0</v>
      </c>
      <c r="O5" s="34">
        <f t="shared" si="4"/>
        <v>0</v>
      </c>
    </row>
    <row r="6" spans="1:29" x14ac:dyDescent="0.25">
      <c r="A6" s="229"/>
      <c r="B6" s="26" t="s">
        <v>4</v>
      </c>
      <c r="C6" s="26" t="s">
        <v>56</v>
      </c>
      <c r="D6" s="26">
        <v>0</v>
      </c>
      <c r="E6" s="52">
        <f t="shared" si="0"/>
        <v>0</v>
      </c>
      <c r="F6" s="61">
        <f>5.5*9.77*$Z$27</f>
        <v>26.8675</v>
      </c>
      <c r="G6" s="34">
        <f t="shared" si="5"/>
        <v>5.5382519180584011E-2</v>
      </c>
      <c r="H6" s="46">
        <f>20*9.77*0.5</f>
        <v>97.699999999999989</v>
      </c>
      <c r="I6" s="34">
        <f t="shared" si="1"/>
        <v>0.20139097883848728</v>
      </c>
      <c r="J6" s="38">
        <v>0</v>
      </c>
      <c r="K6" s="27">
        <f t="shared" si="2"/>
        <v>0</v>
      </c>
      <c r="L6" s="38">
        <v>0</v>
      </c>
      <c r="M6" s="27">
        <f t="shared" si="3"/>
        <v>0</v>
      </c>
      <c r="N6" s="38">
        <f>20*9.77*0.5</f>
        <v>97.699999999999989</v>
      </c>
      <c r="O6" s="34">
        <f t="shared" si="4"/>
        <v>0.20139097883848728</v>
      </c>
    </row>
    <row r="7" spans="1:29" x14ac:dyDescent="0.25">
      <c r="A7" s="229"/>
      <c r="B7" s="26" t="s">
        <v>5</v>
      </c>
      <c r="C7" s="26" t="s">
        <v>57</v>
      </c>
      <c r="D7" s="26">
        <v>0</v>
      </c>
      <c r="E7" s="52">
        <f t="shared" si="0"/>
        <v>0</v>
      </c>
      <c r="F7" s="61">
        <f>5.5*9.77*$Z$27</f>
        <v>26.8675</v>
      </c>
      <c r="G7" s="34">
        <f t="shared" si="5"/>
        <v>5.5382519180584011E-2</v>
      </c>
      <c r="H7" s="46">
        <f>20*9.77*0.5</f>
        <v>97.699999999999989</v>
      </c>
      <c r="I7" s="34">
        <f t="shared" si="1"/>
        <v>0.20139097883848728</v>
      </c>
      <c r="J7" s="38">
        <v>0</v>
      </c>
      <c r="K7" s="27">
        <f t="shared" si="2"/>
        <v>0</v>
      </c>
      <c r="L7" s="38">
        <v>0</v>
      </c>
      <c r="M7" s="27">
        <f t="shared" si="3"/>
        <v>0</v>
      </c>
      <c r="N7" s="38">
        <f>20*9.77*0.5</f>
        <v>97.699999999999989</v>
      </c>
      <c r="O7" s="34">
        <f t="shared" si="4"/>
        <v>0.20139097883848728</v>
      </c>
    </row>
    <row r="8" spans="1:29" x14ac:dyDescent="0.25">
      <c r="A8" s="229"/>
      <c r="B8" s="26" t="s">
        <v>6</v>
      </c>
      <c r="C8" s="26" t="s">
        <v>58</v>
      </c>
      <c r="D8" s="26">
        <v>0</v>
      </c>
      <c r="E8" s="52">
        <f t="shared" si="0"/>
        <v>0</v>
      </c>
      <c r="F8" s="61">
        <v>0</v>
      </c>
      <c r="G8" s="34">
        <f t="shared" si="5"/>
        <v>0</v>
      </c>
      <c r="H8" s="46">
        <v>0</v>
      </c>
      <c r="I8" s="34">
        <f t="shared" si="1"/>
        <v>0</v>
      </c>
      <c r="J8" s="38">
        <v>0</v>
      </c>
      <c r="K8" s="27">
        <f t="shared" si="2"/>
        <v>0</v>
      </c>
      <c r="L8" s="38">
        <v>0</v>
      </c>
      <c r="M8" s="27">
        <f t="shared" si="3"/>
        <v>0</v>
      </c>
      <c r="N8" s="38">
        <v>0</v>
      </c>
      <c r="O8" s="34">
        <f t="shared" si="4"/>
        <v>0</v>
      </c>
      <c r="W8" s="227" t="s">
        <v>101</v>
      </c>
      <c r="X8" s="227"/>
      <c r="Y8" s="227"/>
      <c r="Z8" s="227"/>
      <c r="AA8" s="227"/>
      <c r="AB8" s="227"/>
      <c r="AC8" s="227"/>
    </row>
    <row r="9" spans="1:29" x14ac:dyDescent="0.25">
      <c r="A9" s="229"/>
      <c r="B9" s="26" t="s">
        <v>7</v>
      </c>
      <c r="C9" s="26" t="s">
        <v>59</v>
      </c>
      <c r="D9" s="26">
        <v>0</v>
      </c>
      <c r="E9" s="52">
        <f t="shared" si="0"/>
        <v>0</v>
      </c>
      <c r="F9" s="61">
        <v>0</v>
      </c>
      <c r="G9" s="34">
        <f t="shared" si="5"/>
        <v>0</v>
      </c>
      <c r="H9" s="46">
        <v>0</v>
      </c>
      <c r="I9" s="34">
        <f t="shared" si="1"/>
        <v>0</v>
      </c>
      <c r="J9" s="38">
        <v>0</v>
      </c>
      <c r="K9" s="27">
        <f t="shared" si="2"/>
        <v>0</v>
      </c>
      <c r="L9" s="38">
        <v>0</v>
      </c>
      <c r="M9" s="27">
        <f t="shared" si="3"/>
        <v>0</v>
      </c>
      <c r="N9" s="38">
        <v>0</v>
      </c>
      <c r="O9" s="34">
        <f t="shared" si="4"/>
        <v>0</v>
      </c>
      <c r="W9" s="26"/>
      <c r="X9" s="26" t="s">
        <v>91</v>
      </c>
      <c r="Y9" s="26" t="s">
        <v>92</v>
      </c>
      <c r="Z9" s="26" t="s">
        <v>93</v>
      </c>
      <c r="AA9" s="26" t="s">
        <v>94</v>
      </c>
      <c r="AB9" s="26" t="s">
        <v>95</v>
      </c>
      <c r="AC9" s="26" t="s">
        <v>96</v>
      </c>
    </row>
    <row r="10" spans="1:29" x14ac:dyDescent="0.25">
      <c r="A10" s="230"/>
      <c r="B10" s="29" t="s">
        <v>8</v>
      </c>
      <c r="C10" s="29" t="s">
        <v>119</v>
      </c>
      <c r="D10" s="29">
        <v>0</v>
      </c>
      <c r="E10" s="52">
        <f t="shared" si="0"/>
        <v>0</v>
      </c>
      <c r="F10" s="62">
        <v>0</v>
      </c>
      <c r="G10" s="34">
        <f t="shared" si="5"/>
        <v>0</v>
      </c>
      <c r="H10" s="47">
        <v>0</v>
      </c>
      <c r="I10" s="34">
        <f t="shared" si="1"/>
        <v>0</v>
      </c>
      <c r="J10" s="42">
        <v>0</v>
      </c>
      <c r="K10" s="27">
        <f t="shared" si="2"/>
        <v>0</v>
      </c>
      <c r="L10" s="42">
        <v>0</v>
      </c>
      <c r="M10" s="27">
        <f t="shared" si="3"/>
        <v>0</v>
      </c>
      <c r="N10" s="42">
        <v>0</v>
      </c>
      <c r="O10" s="34">
        <f t="shared" si="4"/>
        <v>0</v>
      </c>
      <c r="W10" s="64" t="s">
        <v>90</v>
      </c>
      <c r="X10" s="26">
        <v>0.170276672595744</v>
      </c>
      <c r="Y10" s="26">
        <v>0.16062988018138</v>
      </c>
      <c r="Z10" s="26">
        <v>0.15728342434426801</v>
      </c>
      <c r="AA10" s="26">
        <v>0.15728342434426801</v>
      </c>
      <c r="AB10" s="26">
        <v>0.15393696850715599</v>
      </c>
      <c r="AC10" s="26">
        <v>0.150590512670044</v>
      </c>
    </row>
    <row r="11" spans="1:29" x14ac:dyDescent="0.25">
      <c r="A11" s="230"/>
      <c r="B11" s="29" t="s">
        <v>109</v>
      </c>
      <c r="C11" s="29" t="s">
        <v>110</v>
      </c>
      <c r="D11" s="29">
        <v>0</v>
      </c>
      <c r="E11" s="53">
        <v>0</v>
      </c>
      <c r="F11" s="62">
        <f>-12*9.77*$Z$27</f>
        <v>-58.62</v>
      </c>
      <c r="G11" s="34">
        <f t="shared" si="5"/>
        <v>0</v>
      </c>
      <c r="H11" s="47">
        <v>0</v>
      </c>
      <c r="I11" s="43">
        <v>0</v>
      </c>
      <c r="J11" s="42">
        <v>0</v>
      </c>
      <c r="K11" s="41">
        <v>0</v>
      </c>
      <c r="L11" s="42">
        <v>0</v>
      </c>
      <c r="M11" s="41">
        <v>0</v>
      </c>
      <c r="N11" s="42">
        <v>0</v>
      </c>
      <c r="O11" s="43">
        <v>0</v>
      </c>
      <c r="W11" s="216" t="s">
        <v>97</v>
      </c>
      <c r="X11" s="26">
        <v>5.0979896371612403E-3</v>
      </c>
      <c r="Y11" s="26">
        <v>5.5141520565213601E-3</v>
      </c>
      <c r="Z11" s="26">
        <v>5.4101114516813403E-3</v>
      </c>
      <c r="AA11" s="26">
        <v>5.5141520565213601E-3</v>
      </c>
      <c r="AB11" s="26">
        <v>5.6702129637814002E-3</v>
      </c>
      <c r="AC11" s="26">
        <v>5.7742535686214199E-3</v>
      </c>
    </row>
    <row r="12" spans="1:29" ht="15.75" thickBot="1" x14ac:dyDescent="0.3">
      <c r="A12" s="231"/>
      <c r="B12" s="35" t="s">
        <v>13</v>
      </c>
      <c r="C12" s="35" t="s">
        <v>108</v>
      </c>
      <c r="D12" s="35">
        <v>0</v>
      </c>
      <c r="E12" s="54">
        <f>D12/SUM($D$3:$D$12)</f>
        <v>0</v>
      </c>
      <c r="F12" s="63">
        <f>15*9.77*$Z$27</f>
        <v>73.274999999999991</v>
      </c>
      <c r="G12" s="49">
        <f t="shared" si="5"/>
        <v>0.15104323412886547</v>
      </c>
      <c r="H12" s="57">
        <v>0</v>
      </c>
      <c r="I12" s="37">
        <f>H12/SUM($D$3:$D$12)</f>
        <v>0</v>
      </c>
      <c r="J12" s="39">
        <v>0</v>
      </c>
      <c r="K12" s="36">
        <f>J12/SUM($D$3:$D$12)</f>
        <v>0</v>
      </c>
      <c r="L12" s="39">
        <v>0</v>
      </c>
      <c r="M12" s="36">
        <f>L12/SUM($D$3:$D$12)</f>
        <v>0</v>
      </c>
      <c r="N12" s="39">
        <v>0</v>
      </c>
      <c r="O12" s="37">
        <f>N12/SUM($D$3:$D$12)</f>
        <v>0</v>
      </c>
      <c r="W12" s="216"/>
      <c r="X12" s="26">
        <v>4.8259517696499698E-3</v>
      </c>
      <c r="Y12" s="26">
        <v>1.02397274048529E-3</v>
      </c>
      <c r="Z12" s="26">
        <v>1.0046525000987701E-3</v>
      </c>
      <c r="AA12" s="26">
        <v>1.02397274048529E-3</v>
      </c>
      <c r="AB12" s="26">
        <v>1.0529531010650601E-3</v>
      </c>
      <c r="AC12" s="26">
        <v>1.07227334145157E-3</v>
      </c>
    </row>
    <row r="13" spans="1:29" x14ac:dyDescent="0.25">
      <c r="A13" s="228" t="s">
        <v>11</v>
      </c>
      <c r="B13" s="30" t="s">
        <v>1</v>
      </c>
      <c r="C13" s="30" t="s">
        <v>60</v>
      </c>
      <c r="D13" s="31">
        <f>394.7+212.298</f>
        <v>606.99800000000005</v>
      </c>
      <c r="E13" s="51">
        <f>D13/SUM($D$13:$D$17)</f>
        <v>1</v>
      </c>
      <c r="F13" s="60">
        <f>569.4*0.54</f>
        <v>307.476</v>
      </c>
      <c r="G13" s="33">
        <f>F13/SUM($D$13:$D$17)</f>
        <v>0.50655191615128881</v>
      </c>
      <c r="H13" s="56">
        <f>569.4*0.54</f>
        <v>307.476</v>
      </c>
      <c r="I13" s="33">
        <f>H13/SUM($D$13:$D$17)</f>
        <v>0.50655191615128881</v>
      </c>
      <c r="J13" s="31">
        <f>569.4*0.54</f>
        <v>307.476</v>
      </c>
      <c r="K13" s="32">
        <f>J13/SUM($D$13:$D$17)</f>
        <v>0.50655191615128881</v>
      </c>
      <c r="L13" s="31">
        <f>569.4*0.54</f>
        <v>307.476</v>
      </c>
      <c r="M13" s="32">
        <f>L13/SUM($D$13:$D$17)</f>
        <v>0.50655191615128881</v>
      </c>
      <c r="N13" s="31">
        <f>569.4*0.54</f>
        <v>307.476</v>
      </c>
      <c r="O13" s="33">
        <f>N13/SUM($D$13:$D$17)</f>
        <v>0.50655191615128881</v>
      </c>
      <c r="W13" s="216"/>
      <c r="X13" s="26">
        <v>4.2873167919776503E-3</v>
      </c>
      <c r="Y13" s="26">
        <v>4.1665097716297997E-3</v>
      </c>
      <c r="Z13" s="26">
        <v>4.0878963797122596E-3</v>
      </c>
      <c r="AA13" s="26">
        <v>4.1665097716297997E-3</v>
      </c>
      <c r="AB13" s="26">
        <v>4.2844298595061201E-3</v>
      </c>
      <c r="AC13" s="26">
        <v>4.3630432514236601E-3</v>
      </c>
    </row>
    <row r="14" spans="1:29" x14ac:dyDescent="0.25">
      <c r="A14" s="229"/>
      <c r="B14" s="26" t="s">
        <v>2</v>
      </c>
      <c r="C14" s="26" t="s">
        <v>61</v>
      </c>
      <c r="D14" s="26">
        <v>0</v>
      </c>
      <c r="E14" s="52">
        <f t="shared" ref="E14:E17" si="6">D14/SUM($D$13:$D$17)</f>
        <v>0</v>
      </c>
      <c r="F14" s="61">
        <v>0</v>
      </c>
      <c r="G14" s="34">
        <f>F14/SUM($D$13:$D$14)</f>
        <v>0</v>
      </c>
      <c r="H14" s="46">
        <v>0</v>
      </c>
      <c r="I14" s="34">
        <f>H14/SUM($D$13:$D$14)</f>
        <v>0</v>
      </c>
      <c r="J14" s="38">
        <v>0</v>
      </c>
      <c r="K14" s="27">
        <f>J14/SUM($D$13:$D$14)</f>
        <v>0</v>
      </c>
      <c r="L14" s="38">
        <v>0</v>
      </c>
      <c r="M14" s="27">
        <f>L14/SUM($D$13:$D$14)</f>
        <v>0</v>
      </c>
      <c r="N14" s="38">
        <v>0</v>
      </c>
      <c r="O14" s="34">
        <f>N14/SUM($D$13:$D$14)</f>
        <v>0</v>
      </c>
      <c r="W14" s="216"/>
      <c r="X14" s="26">
        <v>3.85205620395961E-3</v>
      </c>
      <c r="Y14" s="26">
        <v>2.12444919146661E-3</v>
      </c>
      <c r="Z14" s="26">
        <v>2.0843652444577998E-3</v>
      </c>
      <c r="AA14" s="26">
        <v>2.12444919146661E-3</v>
      </c>
      <c r="AB14" s="26">
        <v>2.1845751119798102E-3</v>
      </c>
      <c r="AC14" s="26">
        <v>2.2246590589886099E-3</v>
      </c>
    </row>
    <row r="15" spans="1:29" x14ac:dyDescent="0.25">
      <c r="A15" s="229"/>
      <c r="B15" s="26" t="s">
        <v>6</v>
      </c>
      <c r="C15" s="26" t="s">
        <v>70</v>
      </c>
      <c r="D15" s="26">
        <v>0</v>
      </c>
      <c r="E15" s="52">
        <f t="shared" si="6"/>
        <v>0</v>
      </c>
      <c r="F15" s="61">
        <v>0</v>
      </c>
      <c r="G15" s="34">
        <f t="shared" ref="G15:G17" si="7">F15/SUM($D$13:$D$14)</f>
        <v>0</v>
      </c>
      <c r="H15" s="46">
        <v>0</v>
      </c>
      <c r="I15" s="34">
        <f t="shared" ref="I15:I17" si="8">H15/SUM($D$13:$D$14)</f>
        <v>0</v>
      </c>
      <c r="J15" s="38">
        <v>0</v>
      </c>
      <c r="K15" s="27">
        <f t="shared" ref="K15:K17" si="9">J15/SUM($D$13:$D$14)</f>
        <v>0</v>
      </c>
      <c r="L15" s="38">
        <v>0</v>
      </c>
      <c r="M15" s="27">
        <f t="shared" ref="M15:M17" si="10">L15/SUM($D$13:$D$14)</f>
        <v>0</v>
      </c>
      <c r="N15" s="38">
        <v>0</v>
      </c>
      <c r="O15" s="34">
        <f t="shared" ref="O15:O17" si="11">N15/SUM($D$13:$D$14)</f>
        <v>0</v>
      </c>
      <c r="W15" s="216"/>
      <c r="X15" s="26">
        <v>2.3612886899978401E-3</v>
      </c>
      <c r="Y15" s="26">
        <v>5.2199070161520304E-3</v>
      </c>
      <c r="Z15" s="26">
        <v>5.1214182045265198E-3</v>
      </c>
      <c r="AA15" s="26">
        <v>5.2199070161520304E-3</v>
      </c>
      <c r="AB15" s="26">
        <v>5.3676402335902903E-3</v>
      </c>
      <c r="AC15" s="26">
        <v>5.4661290452158E-3</v>
      </c>
    </row>
    <row r="16" spans="1:29" x14ac:dyDescent="0.25">
      <c r="A16" s="229"/>
      <c r="B16" s="26" t="s">
        <v>7</v>
      </c>
      <c r="C16" s="26" t="s">
        <v>71</v>
      </c>
      <c r="D16" s="26">
        <v>0</v>
      </c>
      <c r="E16" s="52">
        <f t="shared" si="6"/>
        <v>0</v>
      </c>
      <c r="F16" s="61">
        <v>0</v>
      </c>
      <c r="G16" s="34">
        <f t="shared" si="7"/>
        <v>0</v>
      </c>
      <c r="H16" s="46">
        <v>0</v>
      </c>
      <c r="I16" s="34">
        <f t="shared" si="8"/>
        <v>0</v>
      </c>
      <c r="J16" s="38">
        <v>0</v>
      </c>
      <c r="K16" s="27">
        <f t="shared" si="9"/>
        <v>0</v>
      </c>
      <c r="L16" s="38">
        <v>0</v>
      </c>
      <c r="M16" s="27">
        <f t="shared" si="10"/>
        <v>0</v>
      </c>
      <c r="N16" s="38">
        <v>0</v>
      </c>
      <c r="O16" s="34">
        <f t="shared" si="11"/>
        <v>0</v>
      </c>
      <c r="W16" s="216"/>
      <c r="X16" s="26">
        <v>2.0021987048829599E-3</v>
      </c>
      <c r="Y16" s="26">
        <v>2.5540469504058399E-3</v>
      </c>
      <c r="Z16" s="26">
        <v>2.5058573853038398E-3</v>
      </c>
      <c r="AA16" s="26">
        <v>2.5540469504058399E-3</v>
      </c>
      <c r="AB16" s="26">
        <v>2.6263312980588302E-3</v>
      </c>
      <c r="AC16" s="26">
        <v>2.6745208631608298E-3</v>
      </c>
    </row>
    <row r="17" spans="1:29" ht="15.75" thickBot="1" x14ac:dyDescent="0.3">
      <c r="A17" s="231"/>
      <c r="B17" s="35" t="s">
        <v>8</v>
      </c>
      <c r="C17" s="35" t="s">
        <v>72</v>
      </c>
      <c r="D17" s="35">
        <v>0</v>
      </c>
      <c r="E17" s="54">
        <f t="shared" si="6"/>
        <v>0</v>
      </c>
      <c r="F17" s="63">
        <v>0</v>
      </c>
      <c r="G17" s="37">
        <f t="shared" si="7"/>
        <v>0</v>
      </c>
      <c r="H17" s="57">
        <v>0</v>
      </c>
      <c r="I17" s="37">
        <f t="shared" si="8"/>
        <v>0</v>
      </c>
      <c r="J17" s="39">
        <v>0</v>
      </c>
      <c r="K17" s="36">
        <f t="shared" si="9"/>
        <v>0</v>
      </c>
      <c r="L17" s="39">
        <v>0</v>
      </c>
      <c r="M17" s="36">
        <f t="shared" si="10"/>
        <v>0</v>
      </c>
      <c r="N17" s="39">
        <v>0</v>
      </c>
      <c r="O17" s="37">
        <f t="shared" si="11"/>
        <v>0</v>
      </c>
      <c r="W17" s="216"/>
      <c r="X17" s="26">
        <v>1.9641134034313799E-3</v>
      </c>
      <c r="Y17" s="26">
        <v>2.1656434971183101E-3</v>
      </c>
      <c r="Z17" s="26">
        <v>2.1247822990594798E-3</v>
      </c>
      <c r="AA17" s="26">
        <v>2.1656434971183101E-3</v>
      </c>
      <c r="AB17" s="26">
        <v>2.2269352942065699E-3</v>
      </c>
      <c r="AC17" s="26">
        <v>2.2677964922654002E-3</v>
      </c>
    </row>
    <row r="18" spans="1:29" x14ac:dyDescent="0.25">
      <c r="A18" s="228" t="s">
        <v>87</v>
      </c>
      <c r="B18" s="30" t="s">
        <v>1</v>
      </c>
      <c r="C18" s="30" t="s">
        <v>62</v>
      </c>
      <c r="D18" s="30">
        <f>73.472+5.643</f>
        <v>79.114999999999995</v>
      </c>
      <c r="E18" s="51">
        <f>D18/SUM($D$18:$D$22)</f>
        <v>1</v>
      </c>
      <c r="F18" s="60">
        <v>224.3</v>
      </c>
      <c r="G18" s="33">
        <f>F18/SUM($D$18:$D$22)</f>
        <v>2.8351134424571831</v>
      </c>
      <c r="H18" s="56">
        <v>224.3</v>
      </c>
      <c r="I18" s="33">
        <f>H18/SUM($D$18:$D$22)</f>
        <v>2.8351134424571831</v>
      </c>
      <c r="J18" s="31">
        <v>224.3</v>
      </c>
      <c r="K18" s="32">
        <f>J18/SUM($D$18:$D$22)</f>
        <v>2.8351134424571831</v>
      </c>
      <c r="L18" s="31">
        <v>224.3</v>
      </c>
      <c r="M18" s="32">
        <f>L18/SUM($D$18:$D$22)</f>
        <v>2.8351134424571831</v>
      </c>
      <c r="N18" s="31">
        <v>224.3</v>
      </c>
      <c r="O18" s="33">
        <f>N18/SUM($D$18:$D$22)</f>
        <v>2.8351134424571831</v>
      </c>
      <c r="W18" s="216"/>
      <c r="X18" s="26">
        <v>9.4669177893922697E-4</v>
      </c>
      <c r="Y18" s="26">
        <v>4.6373018362207401E-3</v>
      </c>
      <c r="Z18" s="26">
        <v>4.5498055751599696E-3</v>
      </c>
      <c r="AA18" s="26">
        <v>4.6373018362207401E-3</v>
      </c>
      <c r="AB18" s="26">
        <v>4.7685462278118903E-3</v>
      </c>
      <c r="AC18" s="26">
        <v>4.8560424888726599E-3</v>
      </c>
    </row>
    <row r="19" spans="1:29" ht="15" customHeight="1" x14ac:dyDescent="0.25">
      <c r="A19" s="229"/>
      <c r="B19" s="26" t="s">
        <v>2</v>
      </c>
      <c r="C19" s="26" t="s">
        <v>63</v>
      </c>
      <c r="D19" s="26">
        <v>0</v>
      </c>
      <c r="E19" s="52">
        <f t="shared" ref="E19:E22" si="12">D19/SUM($D$18:$D$22)</f>
        <v>0</v>
      </c>
      <c r="F19" s="61">
        <v>0</v>
      </c>
      <c r="G19" s="34">
        <f t="shared" ref="G19:G22" si="13">F19/SUM($D$18:$D$22)</f>
        <v>0</v>
      </c>
      <c r="H19" s="46">
        <v>0</v>
      </c>
      <c r="I19" s="34">
        <f t="shared" ref="I19:I22" si="14">H19/SUM($D$18:$D$22)</f>
        <v>0</v>
      </c>
      <c r="J19" s="38">
        <v>0</v>
      </c>
      <c r="K19" s="27">
        <f t="shared" ref="K19:K22" si="15">J19/SUM($D$18:$D$22)</f>
        <v>0</v>
      </c>
      <c r="L19" s="38">
        <v>0</v>
      </c>
      <c r="M19" s="27">
        <f t="shared" ref="M19:M22" si="16">L19/SUM($D$18:$D$22)</f>
        <v>0</v>
      </c>
      <c r="N19" s="38">
        <v>0</v>
      </c>
      <c r="O19" s="34">
        <f t="shared" ref="O19:O22" si="17">N19/SUM($D$18:$D$22)</f>
        <v>0</v>
      </c>
      <c r="W19" s="64" t="s">
        <v>99</v>
      </c>
      <c r="X19" s="26">
        <f t="shared" ref="X19:AC19" si="18">SUM(X11:X18)*40</f>
        <v>1.0135042791999951</v>
      </c>
      <c r="Y19" s="26">
        <f t="shared" si="18"/>
        <v>1.0962393223999991</v>
      </c>
      <c r="Z19" s="26">
        <f t="shared" si="18"/>
        <v>1.0755555615999992</v>
      </c>
      <c r="AA19" s="26">
        <f t="shared" si="18"/>
        <v>1.0962393223999991</v>
      </c>
      <c r="AB19" s="26">
        <f t="shared" si="18"/>
        <v>1.1272649635999989</v>
      </c>
      <c r="AC19" s="26">
        <f t="shared" si="18"/>
        <v>1.147948724399998</v>
      </c>
    </row>
    <row r="20" spans="1:29" x14ac:dyDescent="0.25">
      <c r="A20" s="229"/>
      <c r="B20" s="26" t="s">
        <v>6</v>
      </c>
      <c r="C20" s="26" t="s">
        <v>73</v>
      </c>
      <c r="D20" s="26">
        <v>0</v>
      </c>
      <c r="E20" s="52">
        <f t="shared" si="12"/>
        <v>0</v>
      </c>
      <c r="F20" s="61">
        <v>0</v>
      </c>
      <c r="G20" s="34">
        <f t="shared" si="13"/>
        <v>0</v>
      </c>
      <c r="H20" s="46">
        <v>0</v>
      </c>
      <c r="I20" s="34">
        <f t="shared" si="14"/>
        <v>0</v>
      </c>
      <c r="J20" s="38">
        <v>0</v>
      </c>
      <c r="K20" s="27">
        <f t="shared" si="15"/>
        <v>0</v>
      </c>
      <c r="L20" s="38">
        <v>0</v>
      </c>
      <c r="M20" s="27">
        <f t="shared" si="16"/>
        <v>0</v>
      </c>
      <c r="N20" s="38">
        <v>0</v>
      </c>
      <c r="O20" s="34">
        <f t="shared" si="17"/>
        <v>0</v>
      </c>
      <c r="W20" s="64" t="s">
        <v>98</v>
      </c>
      <c r="X20" s="26">
        <f>1/X19</f>
        <v>0.98667565645538802</v>
      </c>
      <c r="Y20" s="26">
        <f t="shared" ref="Y20:AB20" si="19">1/Y19</f>
        <v>0.91220956917573237</v>
      </c>
      <c r="Z20" s="26">
        <f t="shared" si="19"/>
        <v>0.92975206089065021</v>
      </c>
      <c r="AA20" s="26">
        <f t="shared" si="19"/>
        <v>0.91220956917573237</v>
      </c>
      <c r="AB20" s="26">
        <f t="shared" si="19"/>
        <v>0.88710288378557478</v>
      </c>
      <c r="AC20" s="26">
        <f>1/AC19</f>
        <v>0.87111904804169127</v>
      </c>
    </row>
    <row r="21" spans="1:29" x14ac:dyDescent="0.25">
      <c r="A21" s="229"/>
      <c r="B21" s="26" t="s">
        <v>7</v>
      </c>
      <c r="C21" s="26" t="s">
        <v>74</v>
      </c>
      <c r="D21" s="26">
        <v>0</v>
      </c>
      <c r="E21" s="52">
        <f t="shared" si="12"/>
        <v>0</v>
      </c>
      <c r="F21" s="61">
        <v>0</v>
      </c>
      <c r="G21" s="34">
        <f t="shared" si="13"/>
        <v>0</v>
      </c>
      <c r="H21" s="46">
        <v>0</v>
      </c>
      <c r="I21" s="34">
        <f t="shared" si="14"/>
        <v>0</v>
      </c>
      <c r="J21" s="38">
        <v>0</v>
      </c>
      <c r="K21" s="27">
        <f t="shared" si="15"/>
        <v>0</v>
      </c>
      <c r="L21" s="38">
        <v>0</v>
      </c>
      <c r="M21" s="27">
        <f t="shared" si="16"/>
        <v>0</v>
      </c>
      <c r="N21" s="38">
        <v>0</v>
      </c>
      <c r="O21" s="34">
        <f t="shared" si="17"/>
        <v>0</v>
      </c>
      <c r="W21" s="197"/>
      <c r="X21" s="197"/>
      <c r="Y21" s="197"/>
      <c r="Z21" s="197"/>
      <c r="AA21" s="197"/>
      <c r="AB21" s="197"/>
      <c r="AC21" s="197"/>
    </row>
    <row r="22" spans="1:29" ht="15.75" thickBot="1" x14ac:dyDescent="0.3">
      <c r="A22" s="231"/>
      <c r="B22" s="35" t="s">
        <v>8</v>
      </c>
      <c r="C22" s="35" t="s">
        <v>75</v>
      </c>
      <c r="D22" s="35">
        <v>0</v>
      </c>
      <c r="E22" s="54">
        <f t="shared" si="12"/>
        <v>0</v>
      </c>
      <c r="F22" s="63">
        <v>0</v>
      </c>
      <c r="G22" s="37">
        <f t="shared" si="13"/>
        <v>0</v>
      </c>
      <c r="H22" s="57">
        <v>0</v>
      </c>
      <c r="I22" s="37">
        <f t="shared" si="14"/>
        <v>0</v>
      </c>
      <c r="J22" s="39">
        <v>0</v>
      </c>
      <c r="K22" s="36">
        <f t="shared" si="15"/>
        <v>0</v>
      </c>
      <c r="L22" s="39">
        <v>0</v>
      </c>
      <c r="M22" s="36">
        <f t="shared" si="16"/>
        <v>0</v>
      </c>
      <c r="N22" s="39">
        <v>0</v>
      </c>
      <c r="O22" s="37">
        <f t="shared" si="17"/>
        <v>0</v>
      </c>
      <c r="W22" s="26"/>
      <c r="X22" s="26">
        <f t="shared" ref="X22:AC22" si="20">X20*X10</f>
        <v>0.1680078477124449</v>
      </c>
      <c r="Y22" s="26">
        <f t="shared" si="20"/>
        <v>0.14652811379700617</v>
      </c>
      <c r="Z22" s="26">
        <f t="shared" si="20"/>
        <v>0.14623458792802185</v>
      </c>
      <c r="AA22" s="26">
        <f t="shared" si="20"/>
        <v>0.14347544475956861</v>
      </c>
      <c r="AB22" s="26">
        <f t="shared" si="20"/>
        <v>0.13655792868390729</v>
      </c>
      <c r="AC22" s="26">
        <f t="shared" si="20"/>
        <v>0.13118226404123898</v>
      </c>
    </row>
    <row r="23" spans="1:29" x14ac:dyDescent="0.25">
      <c r="A23" s="232" t="s">
        <v>88</v>
      </c>
      <c r="B23" s="30" t="s">
        <v>1</v>
      </c>
      <c r="C23" s="30" t="s">
        <v>64</v>
      </c>
      <c r="D23" s="31">
        <f>946.3+132.633</f>
        <v>1078.933</v>
      </c>
      <c r="E23" s="51">
        <f>D23/SUM($D$23:$D$27)</f>
        <v>1</v>
      </c>
      <c r="F23" s="60">
        <f>97.3 * 9.77 / (0.027215*40)-SUM(F24:F27)</f>
        <v>649.05893477924462</v>
      </c>
      <c r="G23" s="33">
        <f>F23/SUM($D$23:$D$27)</f>
        <v>0.60157482881628854</v>
      </c>
      <c r="H23" s="56">
        <f>97.3 * 9.77 / (0.027215*40)</f>
        <v>873.25096454161303</v>
      </c>
      <c r="I23" s="33">
        <f>H23/SUM($D$23:$D$27)</f>
        <v>0.80936533087931595</v>
      </c>
      <c r="J23" s="31">
        <f>97.3 * 9.77 / (0.027215*40)</f>
        <v>873.25096454161303</v>
      </c>
      <c r="K23" s="32">
        <f>J23/SUM($D$23:$D$27)</f>
        <v>0.80936533087931595</v>
      </c>
      <c r="L23" s="31">
        <f>97.3 * 9.77 / (0.027215*40)</f>
        <v>873.25096454161303</v>
      </c>
      <c r="M23" s="32">
        <f>L23/SUM($D$23:$D$27)</f>
        <v>0.80936533087931595</v>
      </c>
      <c r="N23" s="31">
        <f>97.3 * 9.77 / (0.027215*40)</f>
        <v>873.25096454161303</v>
      </c>
      <c r="O23" s="33">
        <f>N23/SUM($D$23:$D$27)</f>
        <v>0.80936533087931595</v>
      </c>
      <c r="W23" s="197"/>
      <c r="X23" s="197"/>
      <c r="Y23" s="197"/>
      <c r="Z23" s="197"/>
      <c r="AA23" s="197"/>
      <c r="AB23" s="197"/>
      <c r="AC23" s="197"/>
    </row>
    <row r="24" spans="1:29" x14ac:dyDescent="0.25">
      <c r="A24" s="233"/>
      <c r="B24" s="26" t="s">
        <v>2</v>
      </c>
      <c r="C24" s="26" t="s">
        <v>65</v>
      </c>
      <c r="D24" s="26">
        <v>0</v>
      </c>
      <c r="E24" s="52">
        <f>D24/SUM($D$23:$D$27)</f>
        <v>0</v>
      </c>
      <c r="F24" s="61">
        <v>0</v>
      </c>
      <c r="G24" s="34">
        <f>F24/SUM($D$23:$D$27)</f>
        <v>0</v>
      </c>
      <c r="H24" s="46">
        <v>0</v>
      </c>
      <c r="I24" s="34">
        <f>H24/SUM($D$23:$D$27)</f>
        <v>0</v>
      </c>
      <c r="J24" s="38">
        <v>0</v>
      </c>
      <c r="K24" s="27">
        <f>J24/SUM($D$23:$D$27)</f>
        <v>0</v>
      </c>
      <c r="L24" s="38">
        <v>0</v>
      </c>
      <c r="M24" s="27">
        <f>L24/SUM($D$23:$D$27)</f>
        <v>0</v>
      </c>
      <c r="N24" s="38">
        <v>0</v>
      </c>
      <c r="O24" s="34">
        <f>N24/SUM($D$23:$D$27)</f>
        <v>0</v>
      </c>
      <c r="W24" s="64" t="s">
        <v>100</v>
      </c>
      <c r="X24" s="197">
        <f>SUM(X22:AC22)/SUM(X10:AC10)</f>
        <v>0.91787934396056681</v>
      </c>
      <c r="Y24" s="197"/>
      <c r="Z24" s="197"/>
      <c r="AA24" s="197"/>
      <c r="AB24" s="197"/>
      <c r="AC24" s="197"/>
    </row>
    <row r="25" spans="1:29" x14ac:dyDescent="0.25">
      <c r="A25" s="234"/>
      <c r="B25" s="29" t="s">
        <v>7</v>
      </c>
      <c r="C25" s="29" t="s">
        <v>66</v>
      </c>
      <c r="D25" s="29">
        <v>0</v>
      </c>
      <c r="E25" s="53">
        <f>D25/SUM($D$23:$D$27)</f>
        <v>0</v>
      </c>
      <c r="F25" s="62">
        <f>7*9.77*$X$24</f>
        <v>62.773768333463167</v>
      </c>
      <c r="G25" s="43">
        <f>F25/SUM($D$23:$D$27)</f>
        <v>5.8181340577647699E-2</v>
      </c>
      <c r="H25" s="47">
        <v>0</v>
      </c>
      <c r="I25" s="43">
        <f>H25/SUM($D$23:$D$27)</f>
        <v>0</v>
      </c>
      <c r="J25" s="42">
        <v>0</v>
      </c>
      <c r="K25" s="41">
        <f>J25/SUM($D$23:$D$27)</f>
        <v>0</v>
      </c>
      <c r="L25" s="42">
        <v>0</v>
      </c>
      <c r="M25" s="41">
        <f>L25/SUM($D$23:$D$27)</f>
        <v>0</v>
      </c>
      <c r="N25" s="42">
        <v>0</v>
      </c>
      <c r="O25" s="43">
        <f>N25/SUM($D$23:$D$27)</f>
        <v>0</v>
      </c>
    </row>
    <row r="26" spans="1:29" x14ac:dyDescent="0.25">
      <c r="A26" s="234"/>
      <c r="B26" s="29" t="s">
        <v>98</v>
      </c>
      <c r="C26" s="29" t="s">
        <v>112</v>
      </c>
      <c r="D26" s="29">
        <v>0</v>
      </c>
      <c r="E26" s="53">
        <f>D26/SUM($D$23:$D$27)</f>
        <v>0</v>
      </c>
      <c r="F26" s="62">
        <f>3*9.77*$X$24</f>
        <v>26.903043571484211</v>
      </c>
      <c r="G26" s="43">
        <f>F26/SUM($D$23:$D$27)</f>
        <v>2.4934860247563299E-2</v>
      </c>
      <c r="H26" s="47">
        <v>0</v>
      </c>
      <c r="I26" s="43">
        <f>H26/SUM($D$23:$D$27)</f>
        <v>0</v>
      </c>
      <c r="J26" s="42">
        <v>0</v>
      </c>
      <c r="K26" s="41">
        <f>J26/SUM($D$23:$D$27)</f>
        <v>0</v>
      </c>
      <c r="L26" s="42">
        <v>0</v>
      </c>
      <c r="M26" s="41">
        <f>L26/SUM($D$23:$D$27)</f>
        <v>0</v>
      </c>
      <c r="N26" s="42">
        <v>0</v>
      </c>
      <c r="O26" s="43">
        <f>N26/SUM($D$23:$D$27)</f>
        <v>0</v>
      </c>
    </row>
    <row r="27" spans="1:29" ht="15.75" thickBot="1" x14ac:dyDescent="0.3">
      <c r="A27" s="235"/>
      <c r="B27" s="35" t="s">
        <v>13</v>
      </c>
      <c r="C27" s="35" t="s">
        <v>111</v>
      </c>
      <c r="D27" s="35">
        <v>0</v>
      </c>
      <c r="E27" s="54">
        <f>D27/SUM($D$23:$D$27)</f>
        <v>0</v>
      </c>
      <c r="F27" s="63">
        <f>15*9.77*$X$24</f>
        <v>134.51521785742105</v>
      </c>
      <c r="G27" s="37">
        <f>F27/SUM($D$23:$D$27)</f>
        <v>0.12467430123781648</v>
      </c>
      <c r="H27" s="57">
        <v>0</v>
      </c>
      <c r="I27" s="37">
        <f>H27/SUM($D$23:$D$27)</f>
        <v>0</v>
      </c>
      <c r="J27" s="39">
        <v>0</v>
      </c>
      <c r="K27" s="36">
        <f>J27/SUM($D$23:$D$27)</f>
        <v>0</v>
      </c>
      <c r="L27" s="39">
        <v>0</v>
      </c>
      <c r="M27" s="36">
        <f>L27/SUM($D$23:$D$27)</f>
        <v>0</v>
      </c>
      <c r="N27" s="39">
        <v>0</v>
      </c>
      <c r="O27" s="37">
        <f>N27/SUM($D$23:$D$27)</f>
        <v>0</v>
      </c>
      <c r="W27" s="197" t="s">
        <v>116</v>
      </c>
      <c r="X27" s="197"/>
      <c r="Y27" s="197"/>
      <c r="Z27" s="197">
        <v>0.5</v>
      </c>
      <c r="AA27" s="197"/>
      <c r="AB27" s="197"/>
      <c r="AC27" s="197"/>
    </row>
    <row r="28" spans="1:29" x14ac:dyDescent="0.25">
      <c r="A28" s="232" t="s">
        <v>89</v>
      </c>
      <c r="B28" s="30" t="s">
        <v>1</v>
      </c>
      <c r="C28" s="30" t="s">
        <v>67</v>
      </c>
      <c r="D28" s="31">
        <f>1503.4</f>
        <v>1503.4</v>
      </c>
      <c r="E28" s="51">
        <f>D28/SUM($D$28:$D$32)</f>
        <v>1</v>
      </c>
      <c r="F28" s="60">
        <f>D28-SUM(F29:F32)</f>
        <v>1235.0525812970789</v>
      </c>
      <c r="G28" s="33">
        <f>F28/SUM($D$28:$D$32)</f>
        <v>0.82150630656982759</v>
      </c>
      <c r="H28" s="56">
        <f>137.8 * 9.77 * AB24 - 10*9.77*AB24</f>
        <v>0</v>
      </c>
      <c r="I28" s="33">
        <f>H28/SUM($D$28:$D$32)</f>
        <v>0</v>
      </c>
      <c r="J28" s="31">
        <f>137.8 * 9.77 *X24 - 19*9.77*X24</f>
        <v>1065.3605254307747</v>
      </c>
      <c r="K28" s="32">
        <f>J28/SUM($D$28:$D$32)</f>
        <v>0.70863411296446366</v>
      </c>
      <c r="L28" s="31">
        <f>137.8 * 9.77 * X24</f>
        <v>1235.7464680501748</v>
      </c>
      <c r="M28" s="32">
        <f>L28/SUM($D$28:$D$32)</f>
        <v>0.82196785156989138</v>
      </c>
      <c r="N28" s="31">
        <f>137.8 * 9.77 * X24 - 10*9.77*X24</f>
        <v>1146.0696561452276</v>
      </c>
      <c r="O28" s="33">
        <f>N28/SUM($D$28:$D$32)</f>
        <v>0.76231851546177165</v>
      </c>
      <c r="W28" s="197" t="s">
        <v>117</v>
      </c>
      <c r="X28" s="197"/>
      <c r="Y28" s="197"/>
      <c r="Z28" s="217">
        <f xml:space="preserve"> 1 /  0.027215 / 40</f>
        <v>0.91861106007716331</v>
      </c>
      <c r="AA28" s="218"/>
      <c r="AB28" s="218"/>
      <c r="AC28" s="219"/>
    </row>
    <row r="29" spans="1:29" x14ac:dyDescent="0.25">
      <c r="A29" s="233"/>
      <c r="B29" s="26" t="s">
        <v>12</v>
      </c>
      <c r="C29" s="26" t="s">
        <v>68</v>
      </c>
      <c r="D29" s="26">
        <v>0</v>
      </c>
      <c r="E29" s="52">
        <f t="shared" ref="E29:K32" si="21">D29/SUM($D$28:$D$32)</f>
        <v>0</v>
      </c>
      <c r="F29" s="61">
        <f>1.4*9.77*$Z$28</f>
        <v>12.56476207973544</v>
      </c>
      <c r="G29" s="34">
        <f t="shared" ref="G29:G32" si="22">F29/SUM($D$28:$D$32)</f>
        <v>8.3575642408776369E-3</v>
      </c>
      <c r="H29" s="46">
        <v>0</v>
      </c>
      <c r="I29" s="34">
        <f t="shared" ref="I29" si="23">H29/SUM($D$28:$D$32)</f>
        <v>0</v>
      </c>
      <c r="J29" s="38">
        <f>9*9.77*X24</f>
        <v>80.709130714452627</v>
      </c>
      <c r="K29" s="27">
        <f t="shared" si="21"/>
        <v>5.3684402497307847E-2</v>
      </c>
      <c r="L29" s="38">
        <v>0</v>
      </c>
      <c r="M29" s="27">
        <f t="shared" ref="M29:O29" si="24">L29/SUM($D$28:$D$32)</f>
        <v>0</v>
      </c>
      <c r="N29" s="38">
        <v>0</v>
      </c>
      <c r="O29" s="34">
        <f t="shared" si="24"/>
        <v>0</v>
      </c>
    </row>
    <row r="30" spans="1:29" x14ac:dyDescent="0.25">
      <c r="A30" s="234"/>
      <c r="B30" s="29" t="s">
        <v>113</v>
      </c>
      <c r="C30" s="29" t="s">
        <v>114</v>
      </c>
      <c r="D30" s="29">
        <v>0</v>
      </c>
      <c r="E30" s="53">
        <v>0</v>
      </c>
      <c r="F30" s="62">
        <f>18*9.77*$Z$28</f>
        <v>161.54694102516993</v>
      </c>
      <c r="G30" s="34">
        <f t="shared" si="22"/>
        <v>0.10745439738271247</v>
      </c>
      <c r="H30" s="47">
        <v>0</v>
      </c>
      <c r="I30" s="43">
        <v>0</v>
      </c>
      <c r="J30" s="42">
        <v>0</v>
      </c>
      <c r="K30" s="41">
        <v>0</v>
      </c>
      <c r="L30" s="42">
        <v>0</v>
      </c>
      <c r="M30" s="41">
        <v>0</v>
      </c>
      <c r="N30" s="42">
        <v>0</v>
      </c>
      <c r="O30" s="43">
        <v>0</v>
      </c>
    </row>
    <row r="31" spans="1:29" x14ac:dyDescent="0.25">
      <c r="A31" s="234"/>
      <c r="B31" s="29" t="s">
        <v>98</v>
      </c>
      <c r="C31" s="29" t="s">
        <v>115</v>
      </c>
      <c r="D31" s="29">
        <v>0</v>
      </c>
      <c r="E31" s="53">
        <v>0</v>
      </c>
      <c r="F31" s="62">
        <f>3.5*9.77*$Z$28</f>
        <v>31.411905199338598</v>
      </c>
      <c r="G31" s="34">
        <f t="shared" si="22"/>
        <v>2.0893910602194091E-2</v>
      </c>
      <c r="H31" s="47">
        <v>0</v>
      </c>
      <c r="I31" s="43">
        <v>0</v>
      </c>
      <c r="J31" s="42">
        <v>0</v>
      </c>
      <c r="K31" s="41">
        <v>0</v>
      </c>
      <c r="L31" s="42">
        <v>0</v>
      </c>
      <c r="M31" s="41">
        <v>0</v>
      </c>
      <c r="N31" s="42">
        <v>0</v>
      </c>
      <c r="O31" s="43">
        <v>0</v>
      </c>
    </row>
    <row r="32" spans="1:29" ht="15.75" thickBot="1" x14ac:dyDescent="0.3">
      <c r="A32" s="235"/>
      <c r="B32" s="35" t="s">
        <v>13</v>
      </c>
      <c r="C32" s="35" t="s">
        <v>69</v>
      </c>
      <c r="D32" s="35">
        <v>0</v>
      </c>
      <c r="E32" s="54">
        <f t="shared" si="21"/>
        <v>0</v>
      </c>
      <c r="F32" s="63">
        <f>7*9.77*$Z$28</f>
        <v>62.823810398677196</v>
      </c>
      <c r="G32" s="37">
        <f t="shared" si="22"/>
        <v>4.1787821204388183E-2</v>
      </c>
      <c r="H32" s="57">
        <f>10*9.77*AB24</f>
        <v>0</v>
      </c>
      <c r="I32" s="37">
        <f t="shared" ref="I32" si="25">H32/SUM($D$28:$D$32)</f>
        <v>0</v>
      </c>
      <c r="J32" s="39">
        <f>10*9.77*X24</f>
        <v>89.676811904947371</v>
      </c>
      <c r="K32" s="36">
        <f t="shared" si="21"/>
        <v>5.9649336108119837E-2</v>
      </c>
      <c r="L32" s="39">
        <v>0</v>
      </c>
      <c r="M32" s="36">
        <f t="shared" ref="M32:O32" si="26">L32/SUM($D$28:$D$32)</f>
        <v>0</v>
      </c>
      <c r="N32" s="39">
        <f>10*9.77*X24</f>
        <v>89.676811904947371</v>
      </c>
      <c r="O32" s="37">
        <f t="shared" si="26"/>
        <v>5.9649336108119837E-2</v>
      </c>
    </row>
    <row r="33" spans="1:14" x14ac:dyDescent="0.25">
      <c r="A33" t="s">
        <v>118</v>
      </c>
      <c r="D33">
        <f>(D3+D13)/9.77+D23/9.77+D28/9.77</f>
        <v>376.09590583418628</v>
      </c>
      <c r="F33">
        <f>(F3+F13)/9.77/$Z$27+F23/9.77/$Z$28+F28/9.77/$X$24</f>
        <v>374.29473788315522</v>
      </c>
      <c r="H33">
        <f>(H3+H13)/9.77/$Z$27+H23/9.77/$Z$28+H28/9.77/$X$24</f>
        <v>173.86090071647902</v>
      </c>
      <c r="J33">
        <f>(J3+J13)/9.77/$Z$27+J23/9.77/$Z$28+J28/9.77/$X$24</f>
        <v>301.66090071647898</v>
      </c>
      <c r="L33">
        <f>(L3+L13)/9.77/$Z$27+L23/9.77/$Z$28+L28/9.77/$X$24</f>
        <v>301.66090071647898</v>
      </c>
      <c r="N33">
        <f>(N3+N13)/9.77/$Z$27+N23/9.77/$Z$28+N28/9.77/$X$24</f>
        <v>301.66090071647903</v>
      </c>
    </row>
    <row r="34" spans="1:14" x14ac:dyDescent="0.25">
      <c r="D34">
        <f>D3*0.51</f>
        <v>247.41426000000001</v>
      </c>
    </row>
    <row r="35" spans="1:14" x14ac:dyDescent="0.25">
      <c r="D35">
        <f>D13*0.51</f>
        <v>309.56898000000001</v>
      </c>
      <c r="K35" s="40"/>
    </row>
    <row r="40" spans="1:14" x14ac:dyDescent="0.25">
      <c r="D40">
        <f>(D13+D18)/0.918611</f>
        <v>746.90266064743412</v>
      </c>
      <c r="F40">
        <v>0.19685</v>
      </c>
      <c r="G40">
        <v>0.18450184501844999</v>
      </c>
      <c r="H40">
        <v>0.16863</v>
      </c>
      <c r="I40">
        <v>0.20099128262093099</v>
      </c>
    </row>
    <row r="41" spans="1:14" x14ac:dyDescent="0.25">
      <c r="D41">
        <f>D13/0.459+D18/0.33</f>
        <v>1562.178154089919</v>
      </c>
      <c r="F41">
        <f>F40*40/3.6</f>
        <v>2.1872222222222222</v>
      </c>
      <c r="G41">
        <f>G40*40/3.6</f>
        <v>2.050020500205</v>
      </c>
      <c r="H41">
        <f t="shared" ref="H41:I41" si="27">H40*40/3.6</f>
        <v>1.8736666666666668</v>
      </c>
      <c r="I41">
        <f t="shared" si="27"/>
        <v>2.2332364735658996</v>
      </c>
    </row>
    <row r="42" spans="1:14" x14ac:dyDescent="0.25">
      <c r="F42">
        <f>1/F41</f>
        <v>0.45720091440182881</v>
      </c>
      <c r="G42">
        <f>1/G41</f>
        <v>0.48780000000000046</v>
      </c>
      <c r="H42">
        <f t="shared" ref="H42:I42" si="28">1/H41</f>
        <v>0.53371286247998573</v>
      </c>
      <c r="I42">
        <f t="shared" si="28"/>
        <v>0.44778061429529642</v>
      </c>
    </row>
    <row r="44" spans="1:14" x14ac:dyDescent="0.25">
      <c r="D44">
        <f>127*0.54*9.77</f>
        <v>670.02659999999992</v>
      </c>
    </row>
  </sheetData>
  <mergeCells count="20">
    <mergeCell ref="N1:O1"/>
    <mergeCell ref="D1:E1"/>
    <mergeCell ref="F1:G1"/>
    <mergeCell ref="H1:I1"/>
    <mergeCell ref="J1:K1"/>
    <mergeCell ref="L1:M1"/>
    <mergeCell ref="A28:A32"/>
    <mergeCell ref="W28:Y28"/>
    <mergeCell ref="Z28:AC28"/>
    <mergeCell ref="A3:A12"/>
    <mergeCell ref="W8:AC8"/>
    <mergeCell ref="W11:W18"/>
    <mergeCell ref="A13:A17"/>
    <mergeCell ref="A18:A22"/>
    <mergeCell ref="W21:AC21"/>
    <mergeCell ref="A23:A27"/>
    <mergeCell ref="W23:AC23"/>
    <mergeCell ref="X24:AC24"/>
    <mergeCell ref="W27:Y27"/>
    <mergeCell ref="Z27:AC2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9D39-E602-43BB-A9C0-7264A3D760C1}">
  <dimension ref="A1:AC44"/>
  <sheetViews>
    <sheetView showGridLines="0" zoomScaleNormal="100" workbookViewId="0">
      <selection activeCell="D3" sqref="D3:D32"/>
    </sheetView>
  </sheetViews>
  <sheetFormatPr defaultRowHeight="15" x14ac:dyDescent="0.25"/>
  <cols>
    <col min="1" max="1" width="11.85546875" customWidth="1"/>
    <col min="2" max="2" width="12.140625" bestFit="1" customWidth="1"/>
    <col min="3" max="3" width="23.7109375" bestFit="1" customWidth="1"/>
    <col min="4" max="4" width="12.5703125" bestFit="1" customWidth="1"/>
    <col min="5" max="5" width="11" bestFit="1" customWidth="1"/>
    <col min="6" max="6" width="14" bestFit="1" customWidth="1"/>
    <col min="7" max="7" width="12.28515625" bestFit="1" customWidth="1"/>
    <col min="8" max="8" width="14" bestFit="1" customWidth="1"/>
    <col min="9" max="9" width="12.28515625" bestFit="1" customWidth="1"/>
    <col min="10" max="10" width="18.140625" bestFit="1" customWidth="1"/>
    <col min="11" max="11" width="16.140625" bestFit="1" customWidth="1"/>
    <col min="12" max="13" width="11.85546875" bestFit="1" customWidth="1"/>
    <col min="14" max="14" width="13.140625" bestFit="1" customWidth="1"/>
    <col min="15" max="15" width="11.85546875" bestFit="1" customWidth="1"/>
    <col min="23" max="23" width="16.7109375" bestFit="1" customWidth="1"/>
  </cols>
  <sheetData>
    <row r="1" spans="1:29" x14ac:dyDescent="0.25">
      <c r="A1" t="s">
        <v>120</v>
      </c>
      <c r="D1" s="197" t="s">
        <v>9</v>
      </c>
      <c r="E1" s="217"/>
      <c r="F1" s="225" t="s">
        <v>102</v>
      </c>
      <c r="G1" s="226"/>
      <c r="H1" s="219" t="s">
        <v>103</v>
      </c>
      <c r="I1" s="197"/>
      <c r="J1" s="197" t="s">
        <v>14</v>
      </c>
      <c r="K1" s="197"/>
      <c r="L1" s="197" t="s">
        <v>2</v>
      </c>
      <c r="M1" s="197"/>
      <c r="N1" s="197" t="s">
        <v>15</v>
      </c>
      <c r="O1" s="197"/>
    </row>
    <row r="2" spans="1:29" ht="15.75" thickBot="1" x14ac:dyDescent="0.3">
      <c r="B2" s="29" t="s">
        <v>0</v>
      </c>
      <c r="C2" s="29" t="s">
        <v>51</v>
      </c>
      <c r="D2" s="29" t="s">
        <v>77</v>
      </c>
      <c r="E2" s="50" t="s">
        <v>78</v>
      </c>
      <c r="F2" s="58" t="s">
        <v>104</v>
      </c>
      <c r="G2" s="59" t="s">
        <v>105</v>
      </c>
      <c r="H2" s="55" t="s">
        <v>106</v>
      </c>
      <c r="I2" s="29" t="s">
        <v>107</v>
      </c>
      <c r="J2" s="29" t="s">
        <v>85</v>
      </c>
      <c r="K2" s="29" t="s">
        <v>86</v>
      </c>
      <c r="L2" s="29" t="s">
        <v>81</v>
      </c>
      <c r="M2" s="29" t="s">
        <v>82</v>
      </c>
      <c r="N2" s="29" t="s">
        <v>83</v>
      </c>
      <c r="O2" s="29" t="s">
        <v>84</v>
      </c>
    </row>
    <row r="3" spans="1:29" x14ac:dyDescent="0.25">
      <c r="A3" s="228" t="s">
        <v>10</v>
      </c>
      <c r="B3" s="30" t="s">
        <v>1</v>
      </c>
      <c r="C3" s="30" t="s">
        <v>53</v>
      </c>
      <c r="D3" s="31">
        <f>492.123+33.161</f>
        <v>525.28399999999999</v>
      </c>
      <c r="E3" s="51">
        <f t="shared" ref="E3:E10" si="0">D3/SUM($D$3:$D$12)</f>
        <v>1</v>
      </c>
      <c r="F3" s="60">
        <f>D3-SUM(F4:F12)</f>
        <v>535.05399999999997</v>
      </c>
      <c r="G3" s="48">
        <f>MAX(F3/SUM($D$3:$D$12), 0)</f>
        <v>1.0185994623860617</v>
      </c>
      <c r="H3" s="56">
        <f>0.46*569.4-40*9.77*0.5</f>
        <v>66.524000000000001</v>
      </c>
      <c r="I3" s="33">
        <f t="shared" ref="I3:I10" si="1">H3/SUM($D$3:$D$12)</f>
        <v>0.12664387264793903</v>
      </c>
      <c r="J3" s="31">
        <f>0.46*569.4 - 31*9.77*0.5</f>
        <v>110.48899999999998</v>
      </c>
      <c r="K3" s="32">
        <f t="shared" ref="K3:K10" si="2">J3/SUM($D$3:$D$12)</f>
        <v>0.21034145338521634</v>
      </c>
      <c r="L3" s="31">
        <f>0.46*569.4-50*9.77*0.5</f>
        <v>17.673999999999978</v>
      </c>
      <c r="M3" s="32">
        <f t="shared" ref="M3:M10" si="3">L3/SUM($D$3:$D$12)</f>
        <v>3.3646560717630801E-2</v>
      </c>
      <c r="N3" s="31">
        <f>0.46*569.4-40*9.77*0.5</f>
        <v>66.524000000000001</v>
      </c>
      <c r="O3" s="33">
        <f t="shared" ref="O3:O10" si="4">N3/SUM($D$3:$D$12)</f>
        <v>0.12664387264793903</v>
      </c>
    </row>
    <row r="4" spans="1:29" x14ac:dyDescent="0.25">
      <c r="A4" s="229"/>
      <c r="B4" s="26" t="s">
        <v>2</v>
      </c>
      <c r="C4" s="26" t="s">
        <v>54</v>
      </c>
      <c r="D4" s="26">
        <v>0</v>
      </c>
      <c r="E4" s="52">
        <f t="shared" si="0"/>
        <v>0</v>
      </c>
      <c r="F4" s="61">
        <f>6*9.77*$Z$27</f>
        <v>29.31</v>
      </c>
      <c r="G4" s="34">
        <f t="shared" ref="G4:G12" si="5">MAX(F4/SUM($D$3:$D$12), 0)</f>
        <v>5.5798387158184908E-2</v>
      </c>
      <c r="H4" s="46">
        <v>0</v>
      </c>
      <c r="I4" s="34">
        <f t="shared" si="1"/>
        <v>0</v>
      </c>
      <c r="J4" s="38">
        <f>24*9.77*0.5</f>
        <v>117.24</v>
      </c>
      <c r="K4" s="27">
        <f t="shared" si="2"/>
        <v>0.22319354863273963</v>
      </c>
      <c r="L4" s="38">
        <f>50*9.77*0.5</f>
        <v>244.25</v>
      </c>
      <c r="M4" s="27">
        <f t="shared" si="3"/>
        <v>0.4649865596515409</v>
      </c>
      <c r="N4" s="38">
        <v>0</v>
      </c>
      <c r="O4" s="34">
        <f t="shared" si="4"/>
        <v>0</v>
      </c>
    </row>
    <row r="5" spans="1:29" x14ac:dyDescent="0.25">
      <c r="A5" s="229"/>
      <c r="B5" s="26" t="s">
        <v>3</v>
      </c>
      <c r="C5" s="26" t="s">
        <v>55</v>
      </c>
      <c r="D5" s="26">
        <v>0</v>
      </c>
      <c r="E5" s="52">
        <f t="shared" si="0"/>
        <v>0</v>
      </c>
      <c r="F5" s="61">
        <f>-22*9.77*$Z$27</f>
        <v>-107.47</v>
      </c>
      <c r="G5" s="34">
        <f t="shared" si="5"/>
        <v>0</v>
      </c>
      <c r="H5" s="46">
        <v>0</v>
      </c>
      <c r="I5" s="34">
        <f t="shared" si="1"/>
        <v>0</v>
      </c>
      <c r="J5" s="38">
        <f>7*9.77*0.5</f>
        <v>34.195</v>
      </c>
      <c r="K5" s="27">
        <f t="shared" si="2"/>
        <v>6.509811835121572E-2</v>
      </c>
      <c r="L5" s="38">
        <v>0</v>
      </c>
      <c r="M5" s="27">
        <f t="shared" si="3"/>
        <v>0</v>
      </c>
      <c r="N5" s="38">
        <v>0</v>
      </c>
      <c r="O5" s="34">
        <f t="shared" si="4"/>
        <v>0</v>
      </c>
    </row>
    <row r="6" spans="1:29" x14ac:dyDescent="0.25">
      <c r="A6" s="229"/>
      <c r="B6" s="26" t="s">
        <v>4</v>
      </c>
      <c r="C6" s="26" t="s">
        <v>56</v>
      </c>
      <c r="D6" s="26">
        <v>0</v>
      </c>
      <c r="E6" s="52">
        <f t="shared" si="0"/>
        <v>0</v>
      </c>
      <c r="F6" s="61">
        <f>5.5*9.77*$Z$27</f>
        <v>26.8675</v>
      </c>
      <c r="G6" s="34">
        <f t="shared" si="5"/>
        <v>5.1148521561669498E-2</v>
      </c>
      <c r="H6" s="46">
        <f>20*9.77*0.5</f>
        <v>97.699999999999989</v>
      </c>
      <c r="I6" s="34">
        <f t="shared" si="1"/>
        <v>0.18599462386061633</v>
      </c>
      <c r="J6" s="38">
        <v>0</v>
      </c>
      <c r="K6" s="27">
        <f t="shared" si="2"/>
        <v>0</v>
      </c>
      <c r="L6" s="38">
        <v>0</v>
      </c>
      <c r="M6" s="27">
        <f t="shared" si="3"/>
        <v>0</v>
      </c>
      <c r="N6" s="38">
        <f>20*9.77*0.5</f>
        <v>97.699999999999989</v>
      </c>
      <c r="O6" s="34">
        <f t="shared" si="4"/>
        <v>0.18599462386061633</v>
      </c>
    </row>
    <row r="7" spans="1:29" x14ac:dyDescent="0.25">
      <c r="A7" s="229"/>
      <c r="B7" s="26" t="s">
        <v>5</v>
      </c>
      <c r="C7" s="26" t="s">
        <v>57</v>
      </c>
      <c r="D7" s="26">
        <v>0</v>
      </c>
      <c r="E7" s="52">
        <f t="shared" si="0"/>
        <v>0</v>
      </c>
      <c r="F7" s="61">
        <f>5.5*9.77*$Z$27</f>
        <v>26.8675</v>
      </c>
      <c r="G7" s="34">
        <f t="shared" si="5"/>
        <v>5.1148521561669498E-2</v>
      </c>
      <c r="H7" s="46">
        <f>20*9.77*0.5</f>
        <v>97.699999999999989</v>
      </c>
      <c r="I7" s="34">
        <f t="shared" si="1"/>
        <v>0.18599462386061633</v>
      </c>
      <c r="J7" s="38">
        <v>0</v>
      </c>
      <c r="K7" s="27">
        <f t="shared" si="2"/>
        <v>0</v>
      </c>
      <c r="L7" s="38">
        <v>0</v>
      </c>
      <c r="M7" s="27">
        <f t="shared" si="3"/>
        <v>0</v>
      </c>
      <c r="N7" s="38">
        <f>20*9.77*0.5</f>
        <v>97.699999999999989</v>
      </c>
      <c r="O7" s="34">
        <f t="shared" si="4"/>
        <v>0.18599462386061633</v>
      </c>
    </row>
    <row r="8" spans="1:29" x14ac:dyDescent="0.25">
      <c r="A8" s="229"/>
      <c r="B8" s="26" t="s">
        <v>6</v>
      </c>
      <c r="C8" s="26" t="s">
        <v>58</v>
      </c>
      <c r="D8" s="26">
        <v>0</v>
      </c>
      <c r="E8" s="52">
        <f t="shared" si="0"/>
        <v>0</v>
      </c>
      <c r="F8" s="61">
        <v>0</v>
      </c>
      <c r="G8" s="34">
        <f t="shared" si="5"/>
        <v>0</v>
      </c>
      <c r="H8" s="46">
        <v>0</v>
      </c>
      <c r="I8" s="34">
        <f t="shared" si="1"/>
        <v>0</v>
      </c>
      <c r="J8" s="38">
        <v>0</v>
      </c>
      <c r="K8" s="27">
        <f t="shared" si="2"/>
        <v>0</v>
      </c>
      <c r="L8" s="38">
        <v>0</v>
      </c>
      <c r="M8" s="27">
        <f t="shared" si="3"/>
        <v>0</v>
      </c>
      <c r="N8" s="38">
        <v>0</v>
      </c>
      <c r="O8" s="34">
        <f t="shared" si="4"/>
        <v>0</v>
      </c>
      <c r="W8" s="227" t="s">
        <v>101</v>
      </c>
      <c r="X8" s="227"/>
      <c r="Y8" s="227"/>
      <c r="Z8" s="227"/>
      <c r="AA8" s="227"/>
      <c r="AB8" s="227"/>
      <c r="AC8" s="227"/>
    </row>
    <row r="9" spans="1:29" x14ac:dyDescent="0.25">
      <c r="A9" s="229"/>
      <c r="B9" s="26" t="s">
        <v>7</v>
      </c>
      <c r="C9" s="26" t="s">
        <v>59</v>
      </c>
      <c r="D9" s="26">
        <v>0</v>
      </c>
      <c r="E9" s="52">
        <f t="shared" si="0"/>
        <v>0</v>
      </c>
      <c r="F9" s="61">
        <v>0</v>
      </c>
      <c r="G9" s="34">
        <f t="shared" si="5"/>
        <v>0</v>
      </c>
      <c r="H9" s="46">
        <v>0</v>
      </c>
      <c r="I9" s="34">
        <f t="shared" si="1"/>
        <v>0</v>
      </c>
      <c r="J9" s="38">
        <v>0</v>
      </c>
      <c r="K9" s="27">
        <f t="shared" si="2"/>
        <v>0</v>
      </c>
      <c r="L9" s="38">
        <v>0</v>
      </c>
      <c r="M9" s="27">
        <f t="shared" si="3"/>
        <v>0</v>
      </c>
      <c r="N9" s="38">
        <v>0</v>
      </c>
      <c r="O9" s="34">
        <f t="shared" si="4"/>
        <v>0</v>
      </c>
      <c r="W9" s="26"/>
      <c r="X9" s="26" t="s">
        <v>91</v>
      </c>
      <c r="Y9" s="26" t="s">
        <v>92</v>
      </c>
      <c r="Z9" s="26" t="s">
        <v>93</v>
      </c>
      <c r="AA9" s="26" t="s">
        <v>94</v>
      </c>
      <c r="AB9" s="26" t="s">
        <v>95</v>
      </c>
      <c r="AC9" s="26" t="s">
        <v>96</v>
      </c>
    </row>
    <row r="10" spans="1:29" x14ac:dyDescent="0.25">
      <c r="A10" s="230"/>
      <c r="B10" s="29" t="s">
        <v>8</v>
      </c>
      <c r="C10" s="29" t="s">
        <v>119</v>
      </c>
      <c r="D10" s="29">
        <v>0</v>
      </c>
      <c r="E10" s="52">
        <f t="shared" si="0"/>
        <v>0</v>
      </c>
      <c r="F10" s="62">
        <v>0</v>
      </c>
      <c r="G10" s="34">
        <f t="shared" si="5"/>
        <v>0</v>
      </c>
      <c r="H10" s="47">
        <v>0</v>
      </c>
      <c r="I10" s="34">
        <f t="shared" si="1"/>
        <v>0</v>
      </c>
      <c r="J10" s="42">
        <v>0</v>
      </c>
      <c r="K10" s="27">
        <f t="shared" si="2"/>
        <v>0</v>
      </c>
      <c r="L10" s="42">
        <v>0</v>
      </c>
      <c r="M10" s="27">
        <f t="shared" si="3"/>
        <v>0</v>
      </c>
      <c r="N10" s="42">
        <v>0</v>
      </c>
      <c r="O10" s="34">
        <f t="shared" si="4"/>
        <v>0</v>
      </c>
      <c r="W10" s="64" t="s">
        <v>90</v>
      </c>
      <c r="X10" s="26">
        <v>0.170276672595744</v>
      </c>
      <c r="Y10" s="26">
        <v>0.16062988018138</v>
      </c>
      <c r="Z10" s="26">
        <v>0.15728342434426801</v>
      </c>
      <c r="AA10" s="26">
        <v>0.15728342434426801</v>
      </c>
      <c r="AB10" s="26">
        <v>0.15393696850715599</v>
      </c>
      <c r="AC10" s="26">
        <v>0.150590512670044</v>
      </c>
    </row>
    <row r="11" spans="1:29" x14ac:dyDescent="0.25">
      <c r="A11" s="230"/>
      <c r="B11" s="29" t="s">
        <v>109</v>
      </c>
      <c r="C11" s="29" t="s">
        <v>110</v>
      </c>
      <c r="D11" s="29">
        <v>0</v>
      </c>
      <c r="E11" s="53">
        <v>0</v>
      </c>
      <c r="F11" s="62">
        <f>-12*9.77*$Z$27</f>
        <v>-58.62</v>
      </c>
      <c r="G11" s="34">
        <f t="shared" si="5"/>
        <v>0</v>
      </c>
      <c r="H11" s="47">
        <v>0</v>
      </c>
      <c r="I11" s="43">
        <v>0</v>
      </c>
      <c r="J11" s="42">
        <v>0</v>
      </c>
      <c r="K11" s="41">
        <v>0</v>
      </c>
      <c r="L11" s="42">
        <v>0</v>
      </c>
      <c r="M11" s="41">
        <v>0</v>
      </c>
      <c r="N11" s="42">
        <v>0</v>
      </c>
      <c r="O11" s="43">
        <v>0</v>
      </c>
      <c r="W11" s="216" t="s">
        <v>97</v>
      </c>
      <c r="X11" s="26">
        <v>5.0979896371612403E-3</v>
      </c>
      <c r="Y11" s="26">
        <v>5.5141520565213601E-3</v>
      </c>
      <c r="Z11" s="26">
        <v>5.4101114516813403E-3</v>
      </c>
      <c r="AA11" s="26">
        <v>5.5141520565213601E-3</v>
      </c>
      <c r="AB11" s="26">
        <v>5.6702129637814002E-3</v>
      </c>
      <c r="AC11" s="26">
        <v>5.7742535686214199E-3</v>
      </c>
    </row>
    <row r="12" spans="1:29" ht="15.75" thickBot="1" x14ac:dyDescent="0.3">
      <c r="A12" s="231"/>
      <c r="B12" s="35" t="s">
        <v>13</v>
      </c>
      <c r="C12" s="35" t="s">
        <v>108</v>
      </c>
      <c r="D12" s="35">
        <v>0</v>
      </c>
      <c r="E12" s="54">
        <f>D12/SUM($D$3:$D$12)</f>
        <v>0</v>
      </c>
      <c r="F12" s="63">
        <f>15*9.77*$Z$27</f>
        <v>73.274999999999991</v>
      </c>
      <c r="G12" s="49">
        <f t="shared" si="5"/>
        <v>0.13949596789546226</v>
      </c>
      <c r="H12" s="57">
        <v>0</v>
      </c>
      <c r="I12" s="37">
        <f>H12/SUM($D$3:$D$12)</f>
        <v>0</v>
      </c>
      <c r="J12" s="39">
        <v>0</v>
      </c>
      <c r="K12" s="36">
        <f>J12/SUM($D$3:$D$12)</f>
        <v>0</v>
      </c>
      <c r="L12" s="39">
        <v>0</v>
      </c>
      <c r="M12" s="36">
        <f>L12/SUM($D$3:$D$12)</f>
        <v>0</v>
      </c>
      <c r="N12" s="39">
        <v>0</v>
      </c>
      <c r="O12" s="37">
        <f>N12/SUM($D$3:$D$12)</f>
        <v>0</v>
      </c>
      <c r="W12" s="216"/>
      <c r="X12" s="26">
        <v>4.8259517696499698E-3</v>
      </c>
      <c r="Y12" s="26">
        <v>1.02397274048529E-3</v>
      </c>
      <c r="Z12" s="26">
        <v>1.0046525000987701E-3</v>
      </c>
      <c r="AA12" s="26">
        <v>1.02397274048529E-3</v>
      </c>
      <c r="AB12" s="26">
        <v>1.0529531010650601E-3</v>
      </c>
      <c r="AC12" s="26">
        <v>1.07227334145157E-3</v>
      </c>
    </row>
    <row r="13" spans="1:29" x14ac:dyDescent="0.25">
      <c r="A13" s="228" t="s">
        <v>11</v>
      </c>
      <c r="B13" s="30" t="s">
        <v>1</v>
      </c>
      <c r="C13" s="30" t="s">
        <v>60</v>
      </c>
      <c r="D13" s="31">
        <f>350.601+176.712</f>
        <v>527.31299999999999</v>
      </c>
      <c r="E13" s="51">
        <f>D13/SUM($D$13:$D$17)</f>
        <v>1</v>
      </c>
      <c r="F13" s="60">
        <f>569.4*0.54</f>
        <v>307.476</v>
      </c>
      <c r="G13" s="33">
        <f>F13/SUM($D$13:$D$17)</f>
        <v>0.58309960118563364</v>
      </c>
      <c r="H13" s="56">
        <f>569.4*0.54</f>
        <v>307.476</v>
      </c>
      <c r="I13" s="33">
        <f>H13/SUM($D$13:$D$17)</f>
        <v>0.58309960118563364</v>
      </c>
      <c r="J13" s="31">
        <f>569.4*0.54</f>
        <v>307.476</v>
      </c>
      <c r="K13" s="32">
        <f>J13/SUM($D$13:$D$17)</f>
        <v>0.58309960118563364</v>
      </c>
      <c r="L13" s="31">
        <f>569.4*0.54</f>
        <v>307.476</v>
      </c>
      <c r="M13" s="32">
        <f>L13/SUM($D$13:$D$17)</f>
        <v>0.58309960118563364</v>
      </c>
      <c r="N13" s="31">
        <f>569.4*0.54</f>
        <v>307.476</v>
      </c>
      <c r="O13" s="33">
        <f>N13/SUM($D$13:$D$17)</f>
        <v>0.58309960118563364</v>
      </c>
      <c r="W13" s="216"/>
      <c r="X13" s="26">
        <v>4.2873167919776503E-3</v>
      </c>
      <c r="Y13" s="26">
        <v>4.1665097716297997E-3</v>
      </c>
      <c r="Z13" s="26">
        <v>4.0878963797122596E-3</v>
      </c>
      <c r="AA13" s="26">
        <v>4.1665097716297997E-3</v>
      </c>
      <c r="AB13" s="26">
        <v>4.2844298595061201E-3</v>
      </c>
      <c r="AC13" s="26">
        <v>4.3630432514236601E-3</v>
      </c>
    </row>
    <row r="14" spans="1:29" x14ac:dyDescent="0.25">
      <c r="A14" s="229"/>
      <c r="B14" s="26" t="s">
        <v>2</v>
      </c>
      <c r="C14" s="26" t="s">
        <v>61</v>
      </c>
      <c r="D14" s="26">
        <v>0</v>
      </c>
      <c r="E14" s="52">
        <f t="shared" ref="E14:E17" si="6">D14/SUM($D$13:$D$17)</f>
        <v>0</v>
      </c>
      <c r="F14" s="61">
        <v>0</v>
      </c>
      <c r="G14" s="34">
        <f>F14/SUM($D$13:$D$14)</f>
        <v>0</v>
      </c>
      <c r="H14" s="46">
        <v>0</v>
      </c>
      <c r="I14" s="34">
        <f>H14/SUM($D$13:$D$14)</f>
        <v>0</v>
      </c>
      <c r="J14" s="38">
        <v>0</v>
      </c>
      <c r="K14" s="27">
        <f>J14/SUM($D$13:$D$14)</f>
        <v>0</v>
      </c>
      <c r="L14" s="38">
        <v>0</v>
      </c>
      <c r="M14" s="27">
        <f>L14/SUM($D$13:$D$14)</f>
        <v>0</v>
      </c>
      <c r="N14" s="38">
        <v>0</v>
      </c>
      <c r="O14" s="34">
        <f>N14/SUM($D$13:$D$14)</f>
        <v>0</v>
      </c>
      <c r="W14" s="216"/>
      <c r="X14" s="26">
        <v>3.85205620395961E-3</v>
      </c>
      <c r="Y14" s="26">
        <v>2.12444919146661E-3</v>
      </c>
      <c r="Z14" s="26">
        <v>2.0843652444577998E-3</v>
      </c>
      <c r="AA14" s="26">
        <v>2.12444919146661E-3</v>
      </c>
      <c r="AB14" s="26">
        <v>2.1845751119798102E-3</v>
      </c>
      <c r="AC14" s="26">
        <v>2.2246590589886099E-3</v>
      </c>
    </row>
    <row r="15" spans="1:29" x14ac:dyDescent="0.25">
      <c r="A15" s="229"/>
      <c r="B15" s="26" t="s">
        <v>6</v>
      </c>
      <c r="C15" s="26" t="s">
        <v>70</v>
      </c>
      <c r="D15" s="26">
        <v>0</v>
      </c>
      <c r="E15" s="52">
        <f t="shared" si="6"/>
        <v>0</v>
      </c>
      <c r="F15" s="61">
        <v>0</v>
      </c>
      <c r="G15" s="34">
        <f t="shared" ref="G15:G17" si="7">F15/SUM($D$13:$D$14)</f>
        <v>0</v>
      </c>
      <c r="H15" s="46">
        <v>0</v>
      </c>
      <c r="I15" s="34">
        <f t="shared" ref="I15:I17" si="8">H15/SUM($D$13:$D$14)</f>
        <v>0</v>
      </c>
      <c r="J15" s="38">
        <v>0</v>
      </c>
      <c r="K15" s="27">
        <f t="shared" ref="K15:K17" si="9">J15/SUM($D$13:$D$14)</f>
        <v>0</v>
      </c>
      <c r="L15" s="38">
        <v>0</v>
      </c>
      <c r="M15" s="27">
        <f t="shared" ref="M15:M17" si="10">L15/SUM($D$13:$D$14)</f>
        <v>0</v>
      </c>
      <c r="N15" s="38">
        <v>0</v>
      </c>
      <c r="O15" s="34">
        <f t="shared" ref="O15:O17" si="11">N15/SUM($D$13:$D$14)</f>
        <v>0</v>
      </c>
      <c r="W15" s="216"/>
      <c r="X15" s="26">
        <v>2.3612886899978401E-3</v>
      </c>
      <c r="Y15" s="26">
        <v>5.2199070161520304E-3</v>
      </c>
      <c r="Z15" s="26">
        <v>5.1214182045265198E-3</v>
      </c>
      <c r="AA15" s="26">
        <v>5.2199070161520304E-3</v>
      </c>
      <c r="AB15" s="26">
        <v>5.3676402335902903E-3</v>
      </c>
      <c r="AC15" s="26">
        <v>5.4661290452158E-3</v>
      </c>
    </row>
    <row r="16" spans="1:29" x14ac:dyDescent="0.25">
      <c r="A16" s="229"/>
      <c r="B16" s="26" t="s">
        <v>7</v>
      </c>
      <c r="C16" s="26" t="s">
        <v>71</v>
      </c>
      <c r="D16" s="26">
        <v>0</v>
      </c>
      <c r="E16" s="52">
        <f t="shared" si="6"/>
        <v>0</v>
      </c>
      <c r="F16" s="61">
        <v>0</v>
      </c>
      <c r="G16" s="34">
        <f t="shared" si="7"/>
        <v>0</v>
      </c>
      <c r="H16" s="46">
        <v>0</v>
      </c>
      <c r="I16" s="34">
        <f t="shared" si="8"/>
        <v>0</v>
      </c>
      <c r="J16" s="38">
        <v>0</v>
      </c>
      <c r="K16" s="27">
        <f t="shared" si="9"/>
        <v>0</v>
      </c>
      <c r="L16" s="38">
        <v>0</v>
      </c>
      <c r="M16" s="27">
        <f t="shared" si="10"/>
        <v>0</v>
      </c>
      <c r="N16" s="38">
        <v>0</v>
      </c>
      <c r="O16" s="34">
        <f t="shared" si="11"/>
        <v>0</v>
      </c>
      <c r="W16" s="216"/>
      <c r="X16" s="26">
        <v>2.0021987048829599E-3</v>
      </c>
      <c r="Y16" s="26">
        <v>2.5540469504058399E-3</v>
      </c>
      <c r="Z16" s="26">
        <v>2.5058573853038398E-3</v>
      </c>
      <c r="AA16" s="26">
        <v>2.5540469504058399E-3</v>
      </c>
      <c r="AB16" s="26">
        <v>2.6263312980588302E-3</v>
      </c>
      <c r="AC16" s="26">
        <v>2.6745208631608298E-3</v>
      </c>
    </row>
    <row r="17" spans="1:29" ht="15.75" thickBot="1" x14ac:dyDescent="0.3">
      <c r="A17" s="231"/>
      <c r="B17" s="35" t="s">
        <v>8</v>
      </c>
      <c r="C17" s="35" t="s">
        <v>72</v>
      </c>
      <c r="D17" s="35">
        <v>0</v>
      </c>
      <c r="E17" s="54">
        <f t="shared" si="6"/>
        <v>0</v>
      </c>
      <c r="F17" s="63">
        <v>0</v>
      </c>
      <c r="G17" s="37">
        <f t="shared" si="7"/>
        <v>0</v>
      </c>
      <c r="H17" s="57">
        <v>0</v>
      </c>
      <c r="I17" s="37">
        <f t="shared" si="8"/>
        <v>0</v>
      </c>
      <c r="J17" s="39">
        <v>0</v>
      </c>
      <c r="K17" s="36">
        <f t="shared" si="9"/>
        <v>0</v>
      </c>
      <c r="L17" s="39">
        <v>0</v>
      </c>
      <c r="M17" s="36">
        <f t="shared" si="10"/>
        <v>0</v>
      </c>
      <c r="N17" s="39">
        <v>0</v>
      </c>
      <c r="O17" s="37">
        <f t="shared" si="11"/>
        <v>0</v>
      </c>
      <c r="W17" s="216"/>
      <c r="X17" s="26">
        <v>1.9641134034313799E-3</v>
      </c>
      <c r="Y17" s="26">
        <v>2.1656434971183101E-3</v>
      </c>
      <c r="Z17" s="26">
        <v>2.1247822990594798E-3</v>
      </c>
      <c r="AA17" s="26">
        <v>2.1656434971183101E-3</v>
      </c>
      <c r="AB17" s="26">
        <v>2.2269352942065699E-3</v>
      </c>
      <c r="AC17" s="26">
        <v>2.2677964922654002E-3</v>
      </c>
    </row>
    <row r="18" spans="1:29" x14ac:dyDescent="0.25">
      <c r="A18" s="228" t="s">
        <v>87</v>
      </c>
      <c r="B18" s="30" t="s">
        <v>1</v>
      </c>
      <c r="C18" s="30" t="s">
        <v>62</v>
      </c>
      <c r="D18" s="30">
        <f>60.528+4.676</f>
        <v>65.203999999999994</v>
      </c>
      <c r="E18" s="51">
        <f>D18/SUM($D$18:$D$22)</f>
        <v>1</v>
      </c>
      <c r="F18" s="60">
        <v>224.3</v>
      </c>
      <c r="G18" s="33">
        <f>F18/SUM($D$18:$D$22)</f>
        <v>3.4399730077909334</v>
      </c>
      <c r="H18" s="56">
        <v>224.3</v>
      </c>
      <c r="I18" s="33">
        <f>H18/SUM($D$18:$D$22)</f>
        <v>3.4399730077909334</v>
      </c>
      <c r="J18" s="31">
        <v>224.3</v>
      </c>
      <c r="K18" s="32">
        <f>J18/SUM($D$18:$D$22)</f>
        <v>3.4399730077909334</v>
      </c>
      <c r="L18" s="31">
        <v>224.3</v>
      </c>
      <c r="M18" s="32">
        <f>L18/SUM($D$18:$D$22)</f>
        <v>3.4399730077909334</v>
      </c>
      <c r="N18" s="31">
        <v>224.3</v>
      </c>
      <c r="O18" s="33">
        <f>N18/SUM($D$18:$D$22)</f>
        <v>3.4399730077909334</v>
      </c>
      <c r="W18" s="216"/>
      <c r="X18" s="26">
        <v>9.4669177893922697E-4</v>
      </c>
      <c r="Y18" s="26">
        <v>4.6373018362207401E-3</v>
      </c>
      <c r="Z18" s="26">
        <v>4.5498055751599696E-3</v>
      </c>
      <c r="AA18" s="26">
        <v>4.6373018362207401E-3</v>
      </c>
      <c r="AB18" s="26">
        <v>4.7685462278118903E-3</v>
      </c>
      <c r="AC18" s="26">
        <v>4.8560424888726599E-3</v>
      </c>
    </row>
    <row r="19" spans="1:29" ht="15" customHeight="1" x14ac:dyDescent="0.25">
      <c r="A19" s="229"/>
      <c r="B19" s="26" t="s">
        <v>2</v>
      </c>
      <c r="C19" s="26" t="s">
        <v>63</v>
      </c>
      <c r="D19" s="26">
        <v>0</v>
      </c>
      <c r="E19" s="52">
        <f t="shared" ref="E19:E22" si="12">D19/SUM($D$18:$D$22)</f>
        <v>0</v>
      </c>
      <c r="F19" s="61">
        <v>0</v>
      </c>
      <c r="G19" s="34">
        <f t="shared" ref="G19:G22" si="13">F19/SUM($D$18:$D$22)</f>
        <v>0</v>
      </c>
      <c r="H19" s="46">
        <v>0</v>
      </c>
      <c r="I19" s="34">
        <f t="shared" ref="I19:I22" si="14">H19/SUM($D$18:$D$22)</f>
        <v>0</v>
      </c>
      <c r="J19" s="38">
        <v>0</v>
      </c>
      <c r="K19" s="27">
        <f t="shared" ref="K19:K22" si="15">J19/SUM($D$18:$D$22)</f>
        <v>0</v>
      </c>
      <c r="L19" s="38">
        <v>0</v>
      </c>
      <c r="M19" s="27">
        <f t="shared" ref="M19:M22" si="16">L19/SUM($D$18:$D$22)</f>
        <v>0</v>
      </c>
      <c r="N19" s="38">
        <v>0</v>
      </c>
      <c r="O19" s="34">
        <f t="shared" ref="O19:O22" si="17">N19/SUM($D$18:$D$22)</f>
        <v>0</v>
      </c>
      <c r="W19" s="64" t="s">
        <v>99</v>
      </c>
      <c r="X19" s="26">
        <f t="shared" ref="X19:AC19" si="18">SUM(X11:X18)*40</f>
        <v>1.0135042791999951</v>
      </c>
      <c r="Y19" s="26">
        <f t="shared" si="18"/>
        <v>1.0962393223999991</v>
      </c>
      <c r="Z19" s="26">
        <f t="shared" si="18"/>
        <v>1.0755555615999992</v>
      </c>
      <c r="AA19" s="26">
        <f t="shared" si="18"/>
        <v>1.0962393223999991</v>
      </c>
      <c r="AB19" s="26">
        <f t="shared" si="18"/>
        <v>1.1272649635999989</v>
      </c>
      <c r="AC19" s="26">
        <f t="shared" si="18"/>
        <v>1.147948724399998</v>
      </c>
    </row>
    <row r="20" spans="1:29" x14ac:dyDescent="0.25">
      <c r="A20" s="229"/>
      <c r="B20" s="26" t="s">
        <v>6</v>
      </c>
      <c r="C20" s="26" t="s">
        <v>73</v>
      </c>
      <c r="D20" s="26">
        <v>0</v>
      </c>
      <c r="E20" s="52">
        <f t="shared" si="12"/>
        <v>0</v>
      </c>
      <c r="F20" s="61">
        <v>0</v>
      </c>
      <c r="G20" s="34">
        <f t="shared" si="13"/>
        <v>0</v>
      </c>
      <c r="H20" s="46">
        <v>0</v>
      </c>
      <c r="I20" s="34">
        <f t="shared" si="14"/>
        <v>0</v>
      </c>
      <c r="J20" s="38">
        <v>0</v>
      </c>
      <c r="K20" s="27">
        <f t="shared" si="15"/>
        <v>0</v>
      </c>
      <c r="L20" s="38">
        <v>0</v>
      </c>
      <c r="M20" s="27">
        <f t="shared" si="16"/>
        <v>0</v>
      </c>
      <c r="N20" s="38">
        <v>0</v>
      </c>
      <c r="O20" s="34">
        <f t="shared" si="17"/>
        <v>0</v>
      </c>
      <c r="W20" s="64" t="s">
        <v>98</v>
      </c>
      <c r="X20" s="26">
        <f>1/X19</f>
        <v>0.98667565645538802</v>
      </c>
      <c r="Y20" s="26">
        <f t="shared" ref="Y20:AB20" si="19">1/Y19</f>
        <v>0.91220956917573237</v>
      </c>
      <c r="Z20" s="26">
        <f t="shared" si="19"/>
        <v>0.92975206089065021</v>
      </c>
      <c r="AA20" s="26">
        <f t="shared" si="19"/>
        <v>0.91220956917573237</v>
      </c>
      <c r="AB20" s="26">
        <f t="shared" si="19"/>
        <v>0.88710288378557478</v>
      </c>
      <c r="AC20" s="26">
        <f>1/AC19</f>
        <v>0.87111904804169127</v>
      </c>
    </row>
    <row r="21" spans="1:29" x14ac:dyDescent="0.25">
      <c r="A21" s="229"/>
      <c r="B21" s="26" t="s">
        <v>7</v>
      </c>
      <c r="C21" s="26" t="s">
        <v>74</v>
      </c>
      <c r="D21" s="26">
        <v>0</v>
      </c>
      <c r="E21" s="52">
        <f t="shared" si="12"/>
        <v>0</v>
      </c>
      <c r="F21" s="61">
        <v>0</v>
      </c>
      <c r="G21" s="34">
        <f t="shared" si="13"/>
        <v>0</v>
      </c>
      <c r="H21" s="46">
        <v>0</v>
      </c>
      <c r="I21" s="34">
        <f t="shared" si="14"/>
        <v>0</v>
      </c>
      <c r="J21" s="38">
        <v>0</v>
      </c>
      <c r="K21" s="27">
        <f t="shared" si="15"/>
        <v>0</v>
      </c>
      <c r="L21" s="38">
        <v>0</v>
      </c>
      <c r="M21" s="27">
        <f t="shared" si="16"/>
        <v>0</v>
      </c>
      <c r="N21" s="38">
        <v>0</v>
      </c>
      <c r="O21" s="34">
        <f t="shared" si="17"/>
        <v>0</v>
      </c>
      <c r="W21" s="197"/>
      <c r="X21" s="197"/>
      <c r="Y21" s="197"/>
      <c r="Z21" s="197"/>
      <c r="AA21" s="197"/>
      <c r="AB21" s="197"/>
      <c r="AC21" s="197"/>
    </row>
    <row r="22" spans="1:29" ht="15.75" thickBot="1" x14ac:dyDescent="0.3">
      <c r="A22" s="231"/>
      <c r="B22" s="35" t="s">
        <v>8</v>
      </c>
      <c r="C22" s="35" t="s">
        <v>75</v>
      </c>
      <c r="D22" s="35">
        <v>0</v>
      </c>
      <c r="E22" s="54">
        <f t="shared" si="12"/>
        <v>0</v>
      </c>
      <c r="F22" s="63">
        <v>0</v>
      </c>
      <c r="G22" s="37">
        <f t="shared" si="13"/>
        <v>0</v>
      </c>
      <c r="H22" s="57">
        <v>0</v>
      </c>
      <c r="I22" s="37">
        <f t="shared" si="14"/>
        <v>0</v>
      </c>
      <c r="J22" s="39">
        <v>0</v>
      </c>
      <c r="K22" s="36">
        <f t="shared" si="15"/>
        <v>0</v>
      </c>
      <c r="L22" s="39">
        <v>0</v>
      </c>
      <c r="M22" s="36">
        <f t="shared" si="16"/>
        <v>0</v>
      </c>
      <c r="N22" s="39">
        <v>0</v>
      </c>
      <c r="O22" s="37">
        <f t="shared" si="17"/>
        <v>0</v>
      </c>
      <c r="W22" s="26"/>
      <c r="X22" s="26">
        <f t="shared" ref="X22:AC22" si="20">X20*X10</f>
        <v>0.1680078477124449</v>
      </c>
      <c r="Y22" s="26">
        <f t="shared" si="20"/>
        <v>0.14652811379700617</v>
      </c>
      <c r="Z22" s="26">
        <f t="shared" si="20"/>
        <v>0.14623458792802185</v>
      </c>
      <c r="AA22" s="26">
        <f t="shared" si="20"/>
        <v>0.14347544475956861</v>
      </c>
      <c r="AB22" s="26">
        <f t="shared" si="20"/>
        <v>0.13655792868390729</v>
      </c>
      <c r="AC22" s="26">
        <f t="shared" si="20"/>
        <v>0.13118226404123898</v>
      </c>
    </row>
    <row r="23" spans="1:29" x14ac:dyDescent="0.25">
      <c r="A23" s="232" t="s">
        <v>88</v>
      </c>
      <c r="B23" s="30" t="s">
        <v>1</v>
      </c>
      <c r="C23" s="30" t="s">
        <v>64</v>
      </c>
      <c r="D23" s="31">
        <f>822.245+92.178</f>
        <v>914.423</v>
      </c>
      <c r="E23" s="51">
        <f>D23/SUM($D$23:$D$27)</f>
        <v>1</v>
      </c>
      <c r="F23" s="60">
        <f>97.3 * 9.77 / (0.027215*40)-SUM(F24:F27)</f>
        <v>649.05893477924462</v>
      </c>
      <c r="G23" s="33">
        <f>F23/SUM($D$23:$D$27)</f>
        <v>0.70980162876397968</v>
      </c>
      <c r="H23" s="56">
        <f>97.3 * 9.77 / (0.027215*40)</f>
        <v>873.25096454161303</v>
      </c>
      <c r="I23" s="33">
        <f>H23/SUM($D$23:$D$27)</f>
        <v>0.95497484702551561</v>
      </c>
      <c r="J23" s="31">
        <f>97.3 * 9.77 / (0.027215*40)</f>
        <v>873.25096454161303</v>
      </c>
      <c r="K23" s="32">
        <f>J23/SUM($D$23:$D$27)</f>
        <v>0.95497484702551561</v>
      </c>
      <c r="L23" s="31">
        <f>97.3 * 9.77 / (0.027215*40)</f>
        <v>873.25096454161303</v>
      </c>
      <c r="M23" s="32">
        <f>L23/SUM($D$23:$D$27)</f>
        <v>0.95497484702551561</v>
      </c>
      <c r="N23" s="31">
        <f>97.3 * 9.77 / (0.027215*40)</f>
        <v>873.25096454161303</v>
      </c>
      <c r="O23" s="33">
        <f>N23/SUM($D$23:$D$27)</f>
        <v>0.95497484702551561</v>
      </c>
      <c r="W23" s="197"/>
      <c r="X23" s="197"/>
      <c r="Y23" s="197"/>
      <c r="Z23" s="197"/>
      <c r="AA23" s="197"/>
      <c r="AB23" s="197"/>
      <c r="AC23" s="197"/>
    </row>
    <row r="24" spans="1:29" x14ac:dyDescent="0.25">
      <c r="A24" s="233"/>
      <c r="B24" s="26" t="s">
        <v>2</v>
      </c>
      <c r="C24" s="26" t="s">
        <v>65</v>
      </c>
      <c r="D24" s="26">
        <v>0</v>
      </c>
      <c r="E24" s="52">
        <f>D24/SUM($D$23:$D$27)</f>
        <v>0</v>
      </c>
      <c r="F24" s="61">
        <v>0</v>
      </c>
      <c r="G24" s="34">
        <f>F24/SUM($D$23:$D$27)</f>
        <v>0</v>
      </c>
      <c r="H24" s="46">
        <v>0</v>
      </c>
      <c r="I24" s="34">
        <f>H24/SUM($D$23:$D$27)</f>
        <v>0</v>
      </c>
      <c r="J24" s="38">
        <v>0</v>
      </c>
      <c r="K24" s="27">
        <f>J24/SUM($D$23:$D$27)</f>
        <v>0</v>
      </c>
      <c r="L24" s="38">
        <v>0</v>
      </c>
      <c r="M24" s="27">
        <f>L24/SUM($D$23:$D$27)</f>
        <v>0</v>
      </c>
      <c r="N24" s="38">
        <v>0</v>
      </c>
      <c r="O24" s="34">
        <f>N24/SUM($D$23:$D$27)</f>
        <v>0</v>
      </c>
      <c r="W24" s="64" t="s">
        <v>100</v>
      </c>
      <c r="X24" s="197">
        <f>SUM(X22:AC22)/SUM(X10:AC10)</f>
        <v>0.91787934396056681</v>
      </c>
      <c r="Y24" s="197"/>
      <c r="Z24" s="197"/>
      <c r="AA24" s="197"/>
      <c r="AB24" s="197"/>
      <c r="AC24" s="197"/>
    </row>
    <row r="25" spans="1:29" x14ac:dyDescent="0.25">
      <c r="A25" s="234"/>
      <c r="B25" s="29" t="s">
        <v>7</v>
      </c>
      <c r="C25" s="29" t="s">
        <v>66</v>
      </c>
      <c r="D25" s="29">
        <v>0</v>
      </c>
      <c r="E25" s="53">
        <f>D25/SUM($D$23:$D$27)</f>
        <v>0</v>
      </c>
      <c r="F25" s="62">
        <f>7*9.77*$X$24</f>
        <v>62.773768333463167</v>
      </c>
      <c r="G25" s="43">
        <f>F25/SUM($D$23:$D$27)</f>
        <v>6.8648501113230051E-2</v>
      </c>
      <c r="H25" s="47">
        <v>0</v>
      </c>
      <c r="I25" s="43">
        <f>H25/SUM($D$23:$D$27)</f>
        <v>0</v>
      </c>
      <c r="J25" s="42">
        <v>0</v>
      </c>
      <c r="K25" s="41">
        <f>J25/SUM($D$23:$D$27)</f>
        <v>0</v>
      </c>
      <c r="L25" s="42">
        <v>0</v>
      </c>
      <c r="M25" s="41">
        <f>L25/SUM($D$23:$D$27)</f>
        <v>0</v>
      </c>
      <c r="N25" s="42">
        <v>0</v>
      </c>
      <c r="O25" s="43">
        <f>N25/SUM($D$23:$D$27)</f>
        <v>0</v>
      </c>
    </row>
    <row r="26" spans="1:29" x14ac:dyDescent="0.25">
      <c r="A26" s="234"/>
      <c r="B26" s="29" t="s">
        <v>98</v>
      </c>
      <c r="C26" s="29" t="s">
        <v>112</v>
      </c>
      <c r="D26" s="29">
        <v>0</v>
      </c>
      <c r="E26" s="53">
        <f>D26/SUM($D$23:$D$27)</f>
        <v>0</v>
      </c>
      <c r="F26" s="62">
        <f>3*9.77*$X$24</f>
        <v>26.903043571484211</v>
      </c>
      <c r="G26" s="43">
        <f>F26/SUM($D$23:$D$27)</f>
        <v>2.9420786191384305E-2</v>
      </c>
      <c r="H26" s="47">
        <v>0</v>
      </c>
      <c r="I26" s="43">
        <f>H26/SUM($D$23:$D$27)</f>
        <v>0</v>
      </c>
      <c r="J26" s="42">
        <v>0</v>
      </c>
      <c r="K26" s="41">
        <f>J26/SUM($D$23:$D$27)</f>
        <v>0</v>
      </c>
      <c r="L26" s="42">
        <v>0</v>
      </c>
      <c r="M26" s="41">
        <f>L26/SUM($D$23:$D$27)</f>
        <v>0</v>
      </c>
      <c r="N26" s="42">
        <v>0</v>
      </c>
      <c r="O26" s="43">
        <f>N26/SUM($D$23:$D$27)</f>
        <v>0</v>
      </c>
    </row>
    <row r="27" spans="1:29" ht="15.75" thickBot="1" x14ac:dyDescent="0.3">
      <c r="A27" s="235"/>
      <c r="B27" s="35" t="s">
        <v>13</v>
      </c>
      <c r="C27" s="35" t="s">
        <v>111</v>
      </c>
      <c r="D27" s="35">
        <v>0</v>
      </c>
      <c r="E27" s="54">
        <f>D27/SUM($D$23:$D$27)</f>
        <v>0</v>
      </c>
      <c r="F27" s="63">
        <f>15*9.77*$X$24</f>
        <v>134.51521785742105</v>
      </c>
      <c r="G27" s="37">
        <f>F27/SUM($D$23:$D$27)</f>
        <v>0.14710393095692154</v>
      </c>
      <c r="H27" s="57">
        <v>0</v>
      </c>
      <c r="I27" s="37">
        <f>H27/SUM($D$23:$D$27)</f>
        <v>0</v>
      </c>
      <c r="J27" s="39">
        <v>0</v>
      </c>
      <c r="K27" s="36">
        <f>J27/SUM($D$23:$D$27)</f>
        <v>0</v>
      </c>
      <c r="L27" s="39">
        <v>0</v>
      </c>
      <c r="M27" s="36">
        <f>L27/SUM($D$23:$D$27)</f>
        <v>0</v>
      </c>
      <c r="N27" s="39">
        <v>0</v>
      </c>
      <c r="O27" s="37">
        <f>N27/SUM($D$23:$D$27)</f>
        <v>0</v>
      </c>
      <c r="W27" s="197" t="s">
        <v>116</v>
      </c>
      <c r="X27" s="197"/>
      <c r="Y27" s="197"/>
      <c r="Z27" s="197">
        <v>0.5</v>
      </c>
      <c r="AA27" s="197"/>
      <c r="AB27" s="197"/>
      <c r="AC27" s="197"/>
    </row>
    <row r="28" spans="1:29" x14ac:dyDescent="0.25">
      <c r="A28" s="232" t="s">
        <v>89</v>
      </c>
      <c r="B28" s="30" t="s">
        <v>1</v>
      </c>
      <c r="C28" s="30" t="s">
        <v>67</v>
      </c>
      <c r="D28" s="31">
        <f>1287.842</f>
        <v>1287.8420000000001</v>
      </c>
      <c r="E28" s="51">
        <f>D28/SUM($D$28:$D$32)</f>
        <v>1</v>
      </c>
      <c r="F28" s="60">
        <f>D28-SUM(F29:F32)</f>
        <v>1019.4945812970789</v>
      </c>
      <c r="G28" s="33">
        <f>F28/SUM($D$28:$D$32)</f>
        <v>0.79163016992540913</v>
      </c>
      <c r="H28" s="56">
        <f>137.8 * 9.77 * AB24 - 10*9.77*AB24</f>
        <v>0</v>
      </c>
      <c r="I28" s="33">
        <f>H28/SUM($D$28:$D$32)</f>
        <v>0</v>
      </c>
      <c r="J28" s="31">
        <f>137.8 * 9.77 *X24 - 19*9.77*X24</f>
        <v>1065.3605254307747</v>
      </c>
      <c r="K28" s="32">
        <f>J28/SUM($D$28:$D$32)</f>
        <v>0.82724474386669689</v>
      </c>
      <c r="L28" s="31">
        <f>137.8 * 9.77 * X24</f>
        <v>1235.7464680501748</v>
      </c>
      <c r="M28" s="32">
        <f>L28/SUM($D$28:$D$32)</f>
        <v>0.95954819616860976</v>
      </c>
      <c r="N28" s="31">
        <f>137.8 * 9.77 * X24 - 10*9.77*X24</f>
        <v>1146.0696561452276</v>
      </c>
      <c r="O28" s="33">
        <f>N28/SUM($D$28:$D$32)</f>
        <v>0.88991480022023473</v>
      </c>
      <c r="W28" s="197" t="s">
        <v>117</v>
      </c>
      <c r="X28" s="197"/>
      <c r="Y28" s="197"/>
      <c r="Z28" s="217">
        <f xml:space="preserve"> 1 /  0.027215 / 40</f>
        <v>0.91861106007716331</v>
      </c>
      <c r="AA28" s="218"/>
      <c r="AB28" s="218"/>
      <c r="AC28" s="219"/>
    </row>
    <row r="29" spans="1:29" x14ac:dyDescent="0.25">
      <c r="A29" s="233"/>
      <c r="B29" s="26" t="s">
        <v>12</v>
      </c>
      <c r="C29" s="26" t="s">
        <v>68</v>
      </c>
      <c r="D29" s="26">
        <v>0</v>
      </c>
      <c r="E29" s="52">
        <f t="shared" ref="E29:K32" si="21">D29/SUM($D$28:$D$32)</f>
        <v>0</v>
      </c>
      <c r="F29" s="61">
        <f>1.4*9.77*$Z$28</f>
        <v>12.56476207973544</v>
      </c>
      <c r="G29" s="34">
        <f t="shared" ref="G29:G32" si="22">F29/SUM($D$28:$D$32)</f>
        <v>9.7564468931246526E-3</v>
      </c>
      <c r="H29" s="46">
        <v>0</v>
      </c>
      <c r="I29" s="34">
        <f t="shared" ref="I29" si="23">H29/SUM($D$28:$D$32)</f>
        <v>0</v>
      </c>
      <c r="J29" s="38">
        <f>9*9.77*X24</f>
        <v>80.709130714452627</v>
      </c>
      <c r="K29" s="27">
        <f t="shared" si="21"/>
        <v>6.2670056353537645E-2</v>
      </c>
      <c r="L29" s="38">
        <v>0</v>
      </c>
      <c r="M29" s="27">
        <f t="shared" ref="M29:O29" si="24">L29/SUM($D$28:$D$32)</f>
        <v>0</v>
      </c>
      <c r="N29" s="38">
        <v>0</v>
      </c>
      <c r="O29" s="34">
        <f t="shared" si="24"/>
        <v>0</v>
      </c>
    </row>
    <row r="30" spans="1:29" x14ac:dyDescent="0.25">
      <c r="A30" s="234"/>
      <c r="B30" s="29" t="s">
        <v>113</v>
      </c>
      <c r="C30" s="29" t="s">
        <v>114</v>
      </c>
      <c r="D30" s="29">
        <v>0</v>
      </c>
      <c r="E30" s="53">
        <v>0</v>
      </c>
      <c r="F30" s="62">
        <f>18*9.77*$Z$28</f>
        <v>161.54694102516993</v>
      </c>
      <c r="G30" s="34">
        <f t="shared" si="22"/>
        <v>0.12544003148303123</v>
      </c>
      <c r="H30" s="47">
        <v>0</v>
      </c>
      <c r="I30" s="43">
        <v>0</v>
      </c>
      <c r="J30" s="42">
        <v>0</v>
      </c>
      <c r="K30" s="41">
        <v>0</v>
      </c>
      <c r="L30" s="42">
        <v>0</v>
      </c>
      <c r="M30" s="41">
        <v>0</v>
      </c>
      <c r="N30" s="42">
        <v>0</v>
      </c>
      <c r="O30" s="43">
        <v>0</v>
      </c>
    </row>
    <row r="31" spans="1:29" x14ac:dyDescent="0.25">
      <c r="A31" s="234"/>
      <c r="B31" s="29" t="s">
        <v>98</v>
      </c>
      <c r="C31" s="29" t="s">
        <v>115</v>
      </c>
      <c r="D31" s="29">
        <v>0</v>
      </c>
      <c r="E31" s="53">
        <v>0</v>
      </c>
      <c r="F31" s="62">
        <f>3.5*9.77*$Z$28</f>
        <v>31.411905199338598</v>
      </c>
      <c r="G31" s="34">
        <f t="shared" si="22"/>
        <v>2.4391117232811631E-2</v>
      </c>
      <c r="H31" s="47">
        <v>0</v>
      </c>
      <c r="I31" s="43">
        <v>0</v>
      </c>
      <c r="J31" s="42">
        <v>0</v>
      </c>
      <c r="K31" s="41">
        <v>0</v>
      </c>
      <c r="L31" s="42">
        <v>0</v>
      </c>
      <c r="M31" s="41">
        <v>0</v>
      </c>
      <c r="N31" s="42">
        <v>0</v>
      </c>
      <c r="O31" s="43">
        <v>0</v>
      </c>
    </row>
    <row r="32" spans="1:29" ht="15.75" thickBot="1" x14ac:dyDescent="0.3">
      <c r="A32" s="235"/>
      <c r="B32" s="35" t="s">
        <v>13</v>
      </c>
      <c r="C32" s="35" t="s">
        <v>69</v>
      </c>
      <c r="D32" s="35">
        <v>0</v>
      </c>
      <c r="E32" s="54">
        <f t="shared" si="21"/>
        <v>0</v>
      </c>
      <c r="F32" s="63">
        <f>7*9.77*$Z$28</f>
        <v>62.823810398677196</v>
      </c>
      <c r="G32" s="37">
        <f t="shared" si="22"/>
        <v>4.8782234465623263E-2</v>
      </c>
      <c r="H32" s="57">
        <f>10*9.77*AB24</f>
        <v>0</v>
      </c>
      <c r="I32" s="37">
        <f t="shared" ref="I32" si="25">H32/SUM($D$28:$D$32)</f>
        <v>0</v>
      </c>
      <c r="J32" s="39">
        <f>10*9.77*X24</f>
        <v>89.676811904947371</v>
      </c>
      <c r="K32" s="36">
        <f t="shared" si="21"/>
        <v>6.9633395948375157E-2</v>
      </c>
      <c r="L32" s="39">
        <v>0</v>
      </c>
      <c r="M32" s="36">
        <f t="shared" ref="M32:O32" si="26">L32/SUM($D$28:$D$32)</f>
        <v>0</v>
      </c>
      <c r="N32" s="39">
        <f>10*9.77*X24</f>
        <v>89.676811904947371</v>
      </c>
      <c r="O32" s="37">
        <f t="shared" si="26"/>
        <v>6.9633395948375157E-2</v>
      </c>
    </row>
    <row r="33" spans="1:14" x14ac:dyDescent="0.25">
      <c r="A33" t="s">
        <v>118</v>
      </c>
      <c r="D33">
        <f>(D3+D13)/9.77+D23/9.77+D28/9.77</f>
        <v>333.14861821903787</v>
      </c>
      <c r="F33">
        <f>(F3+F13)/9.77/$Z$27+F23/9.77/$Z$28+F28/9.77/$X$24</f>
        <v>358.47820743370039</v>
      </c>
      <c r="H33">
        <f>(H3+H13)/9.77/$Z$27+H23/9.77/$Z$28+H28/9.77/$X$24</f>
        <v>173.86090071647902</v>
      </c>
      <c r="J33">
        <f>(J3+J13)/9.77/$Z$27+J23/9.77/$Z$28+J28/9.77/$X$24</f>
        <v>301.66090071647898</v>
      </c>
      <c r="L33">
        <f>(L3+L13)/9.77/$Z$27+L23/9.77/$Z$28+L28/9.77/$X$24</f>
        <v>301.66090071647898</v>
      </c>
      <c r="N33">
        <f>(N3+N13)/9.77/$Z$27+N23/9.77/$Z$28+N28/9.77/$X$24</f>
        <v>301.66090071647903</v>
      </c>
    </row>
    <row r="34" spans="1:14" x14ac:dyDescent="0.25">
      <c r="D34">
        <f>D3*0.51</f>
        <v>267.89483999999999</v>
      </c>
    </row>
    <row r="35" spans="1:14" x14ac:dyDescent="0.25">
      <c r="D35">
        <f>D13*0.51</f>
        <v>268.92962999999997</v>
      </c>
      <c r="K35" s="40"/>
    </row>
    <row r="40" spans="1:14" x14ac:dyDescent="0.25">
      <c r="D40">
        <f>(D13+D18)/0.918611</f>
        <v>645.01404838391875</v>
      </c>
      <c r="F40">
        <v>0.19685</v>
      </c>
      <c r="G40">
        <v>0.18450184501844999</v>
      </c>
      <c r="H40">
        <v>0.16863</v>
      </c>
      <c r="I40">
        <v>0.20099128262093099</v>
      </c>
    </row>
    <row r="41" spans="1:14" x14ac:dyDescent="0.25">
      <c r="D41">
        <f>D13/0.459+D18/0.33</f>
        <v>1346.4179441473557</v>
      </c>
      <c r="F41">
        <f>F40*40/3.6</f>
        <v>2.1872222222222222</v>
      </c>
      <c r="G41">
        <f>G40*40/3.6</f>
        <v>2.050020500205</v>
      </c>
      <c r="H41">
        <f t="shared" ref="H41:I41" si="27">H40*40/3.6</f>
        <v>1.8736666666666668</v>
      </c>
      <c r="I41">
        <f t="shared" si="27"/>
        <v>2.2332364735658996</v>
      </c>
    </row>
    <row r="42" spans="1:14" x14ac:dyDescent="0.25">
      <c r="F42">
        <f>1/F41</f>
        <v>0.45720091440182881</v>
      </c>
      <c r="G42">
        <f>1/G41</f>
        <v>0.48780000000000046</v>
      </c>
      <c r="H42">
        <f t="shared" ref="H42:I42" si="28">1/H41</f>
        <v>0.53371286247998573</v>
      </c>
      <c r="I42">
        <f t="shared" si="28"/>
        <v>0.44778061429529642</v>
      </c>
    </row>
    <row r="44" spans="1:14" x14ac:dyDescent="0.25">
      <c r="D44">
        <f>127*0.54*9.77</f>
        <v>670.02659999999992</v>
      </c>
    </row>
  </sheetData>
  <mergeCells count="20">
    <mergeCell ref="N1:O1"/>
    <mergeCell ref="D1:E1"/>
    <mergeCell ref="F1:G1"/>
    <mergeCell ref="H1:I1"/>
    <mergeCell ref="J1:K1"/>
    <mergeCell ref="L1:M1"/>
    <mergeCell ref="A28:A32"/>
    <mergeCell ref="W28:Y28"/>
    <mergeCell ref="Z28:AC28"/>
    <mergeCell ref="A3:A12"/>
    <mergeCell ref="W8:AC8"/>
    <mergeCell ref="W11:W18"/>
    <mergeCell ref="A13:A17"/>
    <mergeCell ref="A18:A22"/>
    <mergeCell ref="W21:AC21"/>
    <mergeCell ref="A23:A27"/>
    <mergeCell ref="W23:AC23"/>
    <mergeCell ref="X24:AC24"/>
    <mergeCell ref="W27:Y27"/>
    <mergeCell ref="Z27:AC2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</vt:lpstr>
      <vt:lpstr>demand</vt:lpstr>
      <vt:lpstr>supply_old</vt:lpstr>
      <vt:lpstr>demand_old</vt:lpstr>
      <vt:lpstr>demand_2021</vt:lpstr>
      <vt:lpstr>demand_2022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dos Santos  Lucas</dc:creator>
  <cp:lastModifiedBy>Francisco dos Santos  Lucas</cp:lastModifiedBy>
  <dcterms:created xsi:type="dcterms:W3CDTF">2022-11-17T15:00:28Z</dcterms:created>
  <dcterms:modified xsi:type="dcterms:W3CDTF">2024-07-18T12:29:38Z</dcterms:modified>
</cp:coreProperties>
</file>