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ucca\IdeaProjects\SomaLogic\SomaBase\data\"/>
    </mc:Choice>
  </mc:AlternateContent>
  <xr:revisionPtr revIDLastSave="0" documentId="13_ncr:1_{965783FD-DFBC-41F7-B026-7921E5C12033}" xr6:coauthVersionLast="47" xr6:coauthVersionMax="47" xr10:uidLastSave="{00000000-0000-0000-0000-000000000000}"/>
  <bookViews>
    <workbookView xWindow="120" yWindow="12" windowWidth="23016" windowHeight="12216" xr2:uid="{4EB92B46-B744-B74C-A448-835568CA0F1D}"/>
  </bookViews>
  <sheets>
    <sheet name="Data" sheetId="1" r:id="rId1"/>
    <sheet name="Analysis" sheetId="2" r:id="rId2"/>
  </sheets>
  <definedNames>
    <definedName name="_xlnm._FilterDatabase" localSheetId="0" hidden="1">Data!$A$1:$AA$754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O3" i="2"/>
  <c r="O4" i="2"/>
  <c r="K5" i="2"/>
  <c r="L5" i="2"/>
  <c r="N5" i="2"/>
  <c r="O5" i="2"/>
  <c r="L7" i="2"/>
  <c r="M7" i="2"/>
  <c r="N7" i="2"/>
  <c r="O7" i="2"/>
  <c r="P7" i="2"/>
  <c r="K8" i="2"/>
  <c r="L8" i="2"/>
  <c r="M8" i="2"/>
  <c r="U8" i="2" s="1"/>
  <c r="N8" i="2"/>
  <c r="V8" i="2" s="1"/>
  <c r="O8" i="2"/>
  <c r="W8" i="2" s="1"/>
  <c r="P8" i="2"/>
  <c r="J5" i="2"/>
  <c r="J6" i="2"/>
  <c r="J7" i="2"/>
  <c r="D6" i="2"/>
  <c r="C7" i="2"/>
  <c r="C8" i="2"/>
  <c r="B5" i="2"/>
  <c r="B7" i="2"/>
  <c r="B8" i="2"/>
  <c r="F8" i="2" s="1"/>
  <c r="Y129" i="1"/>
  <c r="Z129" i="1" s="1"/>
  <c r="Y8" i="1"/>
  <c r="AA8" i="1" s="1"/>
  <c r="Y7" i="1"/>
  <c r="AA7" i="1" s="1"/>
  <c r="Y3" i="1"/>
  <c r="AA3" i="1" s="1"/>
  <c r="Y4" i="1"/>
  <c r="AA4" i="1" s="1"/>
  <c r="Y5" i="1"/>
  <c r="AA5" i="1" s="1"/>
  <c r="Y6" i="1"/>
  <c r="Z6" i="1" s="1"/>
  <c r="Y9" i="1"/>
  <c r="Z9" i="1" s="1"/>
  <c r="Y10" i="1"/>
  <c r="AA10" i="1" s="1"/>
  <c r="Y11" i="1"/>
  <c r="Z11" i="1" s="1"/>
  <c r="Y12" i="1"/>
  <c r="AA12" i="1" s="1"/>
  <c r="Y13" i="1"/>
  <c r="AA13" i="1" s="1"/>
  <c r="Y14" i="1"/>
  <c r="AA14" i="1" s="1"/>
  <c r="Y15" i="1"/>
  <c r="AA15" i="1" s="1"/>
  <c r="Y16" i="1"/>
  <c r="AA16" i="1" s="1"/>
  <c r="Y17" i="1"/>
  <c r="AA17" i="1" s="1"/>
  <c r="Y18" i="1"/>
  <c r="Z18" i="1" s="1"/>
  <c r="Y19" i="1"/>
  <c r="AA19" i="1" s="1"/>
  <c r="Y20" i="1"/>
  <c r="Z20" i="1" s="1"/>
  <c r="Y21" i="1"/>
  <c r="AA21" i="1" s="1"/>
  <c r="Y22" i="1"/>
  <c r="AA22" i="1" s="1"/>
  <c r="Y23" i="1"/>
  <c r="AA23" i="1" s="1"/>
  <c r="Y24" i="1"/>
  <c r="AA24" i="1" s="1"/>
  <c r="Y25" i="1"/>
  <c r="AA25" i="1" s="1"/>
  <c r="Y26" i="1"/>
  <c r="Z26" i="1" s="1"/>
  <c r="Y27" i="1"/>
  <c r="AA27" i="1" s="1"/>
  <c r="Y28" i="1"/>
  <c r="Z28" i="1" s="1"/>
  <c r="Y29" i="1"/>
  <c r="AA29" i="1" s="1"/>
  <c r="Y30" i="1"/>
  <c r="AA30" i="1" s="1"/>
  <c r="Y31" i="1"/>
  <c r="Z31" i="1" s="1"/>
  <c r="Y32" i="1"/>
  <c r="AA32" i="1" s="1"/>
  <c r="Y33" i="1"/>
  <c r="Z33" i="1" s="1"/>
  <c r="Y34" i="1"/>
  <c r="AA34" i="1" s="1"/>
  <c r="Y35" i="1"/>
  <c r="AA35" i="1" s="1"/>
  <c r="Y36" i="1"/>
  <c r="AA36" i="1" s="1"/>
  <c r="Y37" i="1"/>
  <c r="AA37" i="1" s="1"/>
  <c r="Y38" i="1"/>
  <c r="AA38" i="1" s="1"/>
  <c r="Y39" i="1"/>
  <c r="AA39" i="1" s="1"/>
  <c r="Y40" i="1"/>
  <c r="AA40" i="1" s="1"/>
  <c r="Y41" i="1"/>
  <c r="Z41" i="1" s="1"/>
  <c r="Y42" i="1"/>
  <c r="AA42" i="1" s="1"/>
  <c r="Y43" i="1"/>
  <c r="AA43" i="1" s="1"/>
  <c r="Y44" i="1"/>
  <c r="AA44" i="1" s="1"/>
  <c r="Y45" i="1"/>
  <c r="AA45" i="1" s="1"/>
  <c r="Y46" i="1"/>
  <c r="AA46" i="1" s="1"/>
  <c r="Y47" i="1"/>
  <c r="AA47" i="1" s="1"/>
  <c r="Y48" i="1"/>
  <c r="AA48" i="1" s="1"/>
  <c r="Y49" i="1"/>
  <c r="AA49" i="1" s="1"/>
  <c r="Y50" i="1"/>
  <c r="AA50" i="1" s="1"/>
  <c r="Y51" i="1"/>
  <c r="Z51" i="1" s="1"/>
  <c r="Y52" i="1"/>
  <c r="AA52" i="1" s="1"/>
  <c r="Y53" i="1"/>
  <c r="AA53" i="1" s="1"/>
  <c r="Y54" i="1"/>
  <c r="AA54" i="1" s="1"/>
  <c r="Y55" i="1"/>
  <c r="Z55" i="1" s="1"/>
  <c r="Y56" i="1"/>
  <c r="AA56" i="1" s="1"/>
  <c r="Y57" i="1"/>
  <c r="AA57" i="1" s="1"/>
  <c r="Y58" i="1"/>
  <c r="Z58" i="1" s="1"/>
  <c r="Y59" i="1"/>
  <c r="AA59" i="1" s="1"/>
  <c r="Y60" i="1"/>
  <c r="AA60" i="1" s="1"/>
  <c r="Y61" i="1"/>
  <c r="AA61" i="1" s="1"/>
  <c r="Y62" i="1"/>
  <c r="AA62" i="1" s="1"/>
  <c r="Y63" i="1"/>
  <c r="AA63" i="1" s="1"/>
  <c r="Y64" i="1"/>
  <c r="Z64" i="1" s="1"/>
  <c r="Y65" i="1"/>
  <c r="AA65" i="1" s="1"/>
  <c r="Y66" i="1"/>
  <c r="Z66" i="1" s="1"/>
  <c r="Y67" i="1"/>
  <c r="AA67" i="1" s="1"/>
  <c r="Y68" i="1"/>
  <c r="Z68" i="1" s="1"/>
  <c r="Y69" i="1"/>
  <c r="AA69" i="1" s="1"/>
  <c r="Y70" i="1"/>
  <c r="AA70" i="1" s="1"/>
  <c r="Y71" i="1"/>
  <c r="AA71" i="1" s="1"/>
  <c r="Y72" i="1"/>
  <c r="AA72" i="1" s="1"/>
  <c r="Y73" i="1"/>
  <c r="AA73" i="1" s="1"/>
  <c r="Y74" i="1"/>
  <c r="AA74" i="1" s="1"/>
  <c r="Y75" i="1"/>
  <c r="AA75" i="1" s="1"/>
  <c r="Y76" i="1"/>
  <c r="AA76" i="1" s="1"/>
  <c r="Y77" i="1"/>
  <c r="AA77" i="1" s="1"/>
  <c r="Y78" i="1"/>
  <c r="Z78" i="1" s="1"/>
  <c r="Y79" i="1"/>
  <c r="AA79" i="1" s="1"/>
  <c r="Y80" i="1"/>
  <c r="AA80" i="1" s="1"/>
  <c r="Y81" i="1"/>
  <c r="Z81" i="1" s="1"/>
  <c r="Y82" i="1"/>
  <c r="Z82" i="1" s="1"/>
  <c r="Y83" i="1"/>
  <c r="Z83" i="1" s="1"/>
  <c r="Y84" i="1"/>
  <c r="AA84" i="1" s="1"/>
  <c r="Y85" i="1"/>
  <c r="AA85" i="1" s="1"/>
  <c r="Y86" i="1"/>
  <c r="AA86" i="1" s="1"/>
  <c r="Y87" i="1"/>
  <c r="AA87" i="1" s="1"/>
  <c r="Y88" i="1"/>
  <c r="Z88" i="1" s="1"/>
  <c r="Y89" i="1"/>
  <c r="AA89" i="1" s="1"/>
  <c r="Y90" i="1"/>
  <c r="Z90" i="1" s="1"/>
  <c r="Y91" i="1"/>
  <c r="AA91" i="1" s="1"/>
  <c r="Y92" i="1"/>
  <c r="AA92" i="1" s="1"/>
  <c r="Y93" i="1"/>
  <c r="AA93" i="1" s="1"/>
  <c r="Y94" i="1"/>
  <c r="Z94" i="1" s="1"/>
  <c r="Y95" i="1"/>
  <c r="Z95" i="1" s="1"/>
  <c r="Y96" i="1"/>
  <c r="AA96" i="1" s="1"/>
  <c r="Y97" i="1"/>
  <c r="AA97" i="1" s="1"/>
  <c r="Y98" i="1"/>
  <c r="AA98" i="1" s="1"/>
  <c r="Y99" i="1"/>
  <c r="AA99" i="1" s="1"/>
  <c r="Y100" i="1"/>
  <c r="Z100" i="1" s="1"/>
  <c r="Y101" i="1"/>
  <c r="AA101" i="1" s="1"/>
  <c r="Y102" i="1"/>
  <c r="AA102" i="1" s="1"/>
  <c r="Y103" i="1"/>
  <c r="AA103" i="1" s="1"/>
  <c r="Y104" i="1"/>
  <c r="AA104" i="1" s="1"/>
  <c r="Y105" i="1"/>
  <c r="AA105" i="1" s="1"/>
  <c r="Y106" i="1"/>
  <c r="Z106" i="1" s="1"/>
  <c r="Y107" i="1"/>
  <c r="AA107" i="1" s="1"/>
  <c r="Y108" i="1"/>
  <c r="AA108" i="1" s="1"/>
  <c r="Y109" i="1"/>
  <c r="AA109" i="1" s="1"/>
  <c r="Y110" i="1"/>
  <c r="AA110" i="1" s="1"/>
  <c r="Y111" i="1"/>
  <c r="AA111" i="1" s="1"/>
  <c r="Y112" i="1"/>
  <c r="AA112" i="1" s="1"/>
  <c r="Y113" i="1"/>
  <c r="AA113" i="1" s="1"/>
  <c r="Y114" i="1"/>
  <c r="Z114" i="1" s="1"/>
  <c r="Y115" i="1"/>
  <c r="Z115" i="1" s="1"/>
  <c r="Y116" i="1"/>
  <c r="Z116" i="1" s="1"/>
  <c r="Y117" i="1"/>
  <c r="AA117" i="1" s="1"/>
  <c r="Y118" i="1"/>
  <c r="AA118" i="1" s="1"/>
  <c r="Y119" i="1"/>
  <c r="AA119" i="1" s="1"/>
  <c r="Y120" i="1"/>
  <c r="AA120" i="1" s="1"/>
  <c r="Y121" i="1"/>
  <c r="AA121" i="1" s="1"/>
  <c r="Y122" i="1"/>
  <c r="AA122" i="1" s="1"/>
  <c r="Y123" i="1"/>
  <c r="AA123" i="1" s="1"/>
  <c r="Y124" i="1"/>
  <c r="AA124" i="1" s="1"/>
  <c r="Y125" i="1"/>
  <c r="AA125" i="1" s="1"/>
  <c r="Y126" i="1"/>
  <c r="AA126" i="1" s="1"/>
  <c r="Y127" i="1"/>
  <c r="AA127" i="1" s="1"/>
  <c r="Y128" i="1"/>
  <c r="AA128" i="1" s="1"/>
  <c r="Y130" i="1"/>
  <c r="Z130" i="1" s="1"/>
  <c r="Y131" i="1"/>
  <c r="Z131" i="1" s="1"/>
  <c r="Y132" i="1"/>
  <c r="AA132" i="1" s="1"/>
  <c r="Y133" i="1"/>
  <c r="Z133" i="1" s="1"/>
  <c r="Y134" i="1"/>
  <c r="AA134" i="1" s="1"/>
  <c r="Y135" i="1"/>
  <c r="AA135" i="1" s="1"/>
  <c r="Y136" i="1"/>
  <c r="Z136" i="1" s="1"/>
  <c r="Y137" i="1"/>
  <c r="Z137" i="1" s="1"/>
  <c r="Y138" i="1"/>
  <c r="AA138" i="1" s="1"/>
  <c r="Y139" i="1"/>
  <c r="AA139" i="1" s="1"/>
  <c r="Y140" i="1"/>
  <c r="Z140" i="1" s="1"/>
  <c r="Y141" i="1"/>
  <c r="Z141" i="1" s="1"/>
  <c r="Y142" i="1"/>
  <c r="AA142" i="1" s="1"/>
  <c r="Y143" i="1"/>
  <c r="AA143" i="1" s="1"/>
  <c r="Y144" i="1"/>
  <c r="AA144" i="1" s="1"/>
  <c r="Y145" i="1"/>
  <c r="AA145" i="1" s="1"/>
  <c r="Y146" i="1"/>
  <c r="Z146" i="1" s="1"/>
  <c r="Y147" i="1"/>
  <c r="AA147" i="1" s="1"/>
  <c r="Y148" i="1"/>
  <c r="Z148" i="1" s="1"/>
  <c r="Y149" i="1"/>
  <c r="AA149" i="1" s="1"/>
  <c r="Y150" i="1"/>
  <c r="AA150" i="1" s="1"/>
  <c r="Y154" i="1"/>
  <c r="Z154" i="1" s="1"/>
  <c r="Y155" i="1"/>
  <c r="Z155" i="1" s="1"/>
  <c r="Y158" i="1"/>
  <c r="AA158" i="1" s="1"/>
  <c r="Y159" i="1"/>
  <c r="AA159" i="1" s="1"/>
  <c r="Y161" i="1"/>
  <c r="AA161" i="1" s="1"/>
  <c r="Y162" i="1"/>
  <c r="AA162" i="1" s="1"/>
  <c r="Y163" i="1"/>
  <c r="AA163" i="1" s="1"/>
  <c r="Y164" i="1"/>
  <c r="AA164" i="1" s="1"/>
  <c r="Y166" i="1"/>
  <c r="AA166" i="1" s="1"/>
  <c r="Y167" i="1"/>
  <c r="AA167" i="1" s="1"/>
  <c r="Y168" i="1"/>
  <c r="AA168" i="1" s="1"/>
  <c r="Y169" i="1"/>
  <c r="AA169" i="1" s="1"/>
  <c r="Y170" i="1"/>
  <c r="AA170" i="1" s="1"/>
  <c r="Y171" i="1"/>
  <c r="AA171" i="1" s="1"/>
  <c r="Y172" i="1"/>
  <c r="AA172" i="1" s="1"/>
  <c r="Y173" i="1"/>
  <c r="AA173" i="1" s="1"/>
  <c r="Y176" i="1"/>
  <c r="Z176" i="1" s="1"/>
  <c r="Y180" i="1"/>
  <c r="Z180" i="1" s="1"/>
  <c r="Y181" i="1"/>
  <c r="AA181" i="1" s="1"/>
  <c r="Y185" i="1"/>
  <c r="AA185" i="1" s="1"/>
  <c r="Y188" i="1"/>
  <c r="AA188" i="1" s="1"/>
  <c r="Y189" i="1"/>
  <c r="AA189" i="1" s="1"/>
  <c r="Y190" i="1"/>
  <c r="AA190" i="1" s="1"/>
  <c r="Y192" i="1"/>
  <c r="AA192" i="1" s="1"/>
  <c r="Y193" i="1"/>
  <c r="AA193" i="1" s="1"/>
  <c r="Y195" i="1"/>
  <c r="AA195" i="1" s="1"/>
  <c r="Y197" i="1"/>
  <c r="AA197" i="1" s="1"/>
  <c r="Y199" i="1"/>
  <c r="AA199" i="1" s="1"/>
  <c r="Y200" i="1"/>
  <c r="Z200" i="1" s="1"/>
  <c r="Y201" i="1"/>
  <c r="AA201" i="1" s="1"/>
  <c r="Y202" i="1"/>
  <c r="AA202" i="1" s="1"/>
  <c r="Y203" i="1"/>
  <c r="AA203" i="1" s="1"/>
  <c r="Y208" i="1"/>
  <c r="AA208" i="1" s="1"/>
  <c r="Y209" i="1"/>
  <c r="AA209" i="1" s="1"/>
  <c r="Y211" i="1"/>
  <c r="AA211" i="1" s="1"/>
  <c r="Y214" i="1"/>
  <c r="AA214" i="1" s="1"/>
  <c r="Y215" i="1"/>
  <c r="AA215" i="1" s="1"/>
  <c r="Y217" i="1"/>
  <c r="AA217" i="1" s="1"/>
  <c r="Y218" i="1"/>
  <c r="AA218" i="1" s="1"/>
  <c r="Y219" i="1"/>
  <c r="AA219" i="1" s="1"/>
  <c r="Y220" i="1"/>
  <c r="AA220" i="1" s="1"/>
  <c r="Y222" i="1"/>
  <c r="AA222" i="1" s="1"/>
  <c r="Y224" i="1"/>
  <c r="Z224" i="1" s="1"/>
  <c r="Y227" i="1"/>
  <c r="Z227" i="1" s="1"/>
  <c r="Y228" i="1"/>
  <c r="AA228" i="1" s="1"/>
  <c r="Y229" i="1"/>
  <c r="Z229" i="1" s="1"/>
  <c r="Y230" i="1"/>
  <c r="AA230" i="1" s="1"/>
  <c r="Y231" i="1"/>
  <c r="AA231" i="1" s="1"/>
  <c r="Y237" i="1"/>
  <c r="AA237" i="1" s="1"/>
  <c r="Y238" i="1"/>
  <c r="AA238" i="1" s="1"/>
  <c r="Y240" i="1"/>
  <c r="AA240" i="1" s="1"/>
  <c r="Y242" i="1"/>
  <c r="Z242" i="1" s="1"/>
  <c r="Y247" i="1"/>
  <c r="AA247" i="1" s="1"/>
  <c r="Y252" i="1"/>
  <c r="AA252" i="1" s="1"/>
  <c r="Y256" i="1"/>
  <c r="AA256" i="1" s="1"/>
  <c r="Y257" i="1"/>
  <c r="AA257" i="1" s="1"/>
  <c r="Y258" i="1"/>
  <c r="AA258" i="1" s="1"/>
  <c r="Y259" i="1"/>
  <c r="Z259" i="1" s="1"/>
  <c r="Y260" i="1"/>
  <c r="Z260" i="1" s="1"/>
  <c r="Y262" i="1"/>
  <c r="AA262" i="1" s="1"/>
  <c r="Y267" i="1"/>
  <c r="Z267" i="1" s="1"/>
  <c r="Y268" i="1"/>
  <c r="Z268" i="1" s="1"/>
  <c r="Y273" i="1"/>
  <c r="AA273" i="1" s="1"/>
  <c r="Y276" i="1"/>
  <c r="Z276" i="1" s="1"/>
  <c r="Y277" i="1"/>
  <c r="Z277" i="1" s="1"/>
  <c r="Y278" i="1"/>
  <c r="AA278" i="1" s="1"/>
  <c r="Y279" i="1"/>
  <c r="AA279" i="1" s="1"/>
  <c r="Y280" i="1"/>
  <c r="AA280" i="1" s="1"/>
  <c r="Y286" i="1"/>
  <c r="AA286" i="1" s="1"/>
  <c r="Y288" i="1"/>
  <c r="AA288" i="1" s="1"/>
  <c r="Y289" i="1"/>
  <c r="AA289" i="1" s="1"/>
  <c r="Y291" i="1"/>
  <c r="Z291" i="1" s="1"/>
  <c r="Y292" i="1"/>
  <c r="AA292" i="1" s="1"/>
  <c r="Y293" i="1"/>
  <c r="AA293" i="1" s="1"/>
  <c r="Y294" i="1"/>
  <c r="AA294" i="1" s="1"/>
  <c r="Y295" i="1"/>
  <c r="AA295" i="1" s="1"/>
  <c r="Y296" i="1"/>
  <c r="AA296" i="1" s="1"/>
  <c r="Y297" i="1"/>
  <c r="AA297" i="1" s="1"/>
  <c r="Y298" i="1"/>
  <c r="AA298" i="1" s="1"/>
  <c r="Y299" i="1"/>
  <c r="AA299" i="1" s="1"/>
  <c r="Y300" i="1"/>
  <c r="AA300" i="1" s="1"/>
  <c r="Y301" i="1"/>
  <c r="AA301" i="1" s="1"/>
  <c r="Y302" i="1"/>
  <c r="AA302" i="1" s="1"/>
  <c r="Y303" i="1"/>
  <c r="AA303" i="1" s="1"/>
  <c r="Y304" i="1"/>
  <c r="Z304" i="1" s="1"/>
  <c r="Y305" i="1"/>
  <c r="AA305" i="1" s="1"/>
  <c r="Y306" i="1"/>
  <c r="AA306" i="1" s="1"/>
  <c r="Y307" i="1"/>
  <c r="AA307" i="1" s="1"/>
  <c r="Y308" i="1"/>
  <c r="AA308" i="1" s="1"/>
  <c r="Y309" i="1"/>
  <c r="AA309" i="1" s="1"/>
  <c r="Y310" i="1"/>
  <c r="AA310" i="1" s="1"/>
  <c r="Y311" i="1"/>
  <c r="AA311" i="1" s="1"/>
  <c r="Y312" i="1"/>
  <c r="AA312" i="1" s="1"/>
  <c r="Y313" i="1"/>
  <c r="AA313" i="1" s="1"/>
  <c r="Y314" i="1"/>
  <c r="AA314" i="1" s="1"/>
  <c r="Y315" i="1"/>
  <c r="Z315" i="1" s="1"/>
  <c r="Y317" i="1"/>
  <c r="Z317" i="1" s="1"/>
  <c r="Y318" i="1"/>
  <c r="AA318" i="1" s="1"/>
  <c r="Y319" i="1"/>
  <c r="AA319" i="1" s="1"/>
  <c r="Y320" i="1"/>
  <c r="Z320" i="1" s="1"/>
  <c r="Y321" i="1"/>
  <c r="AA321" i="1" s="1"/>
  <c r="Y322" i="1"/>
  <c r="AA322" i="1" s="1"/>
  <c r="Y323" i="1"/>
  <c r="D8" i="2" s="1"/>
  <c r="Y324" i="1"/>
  <c r="Z324" i="1" s="1"/>
  <c r="Y325" i="1"/>
  <c r="Z325" i="1" s="1"/>
  <c r="Y326" i="1"/>
  <c r="AA326" i="1" s="1"/>
  <c r="Y327" i="1"/>
  <c r="AA327" i="1" s="1"/>
  <c r="Y328" i="1"/>
  <c r="AA328" i="1" s="1"/>
  <c r="Y329" i="1"/>
  <c r="AA329" i="1" s="1"/>
  <c r="Y330" i="1"/>
  <c r="AA330" i="1" s="1"/>
  <c r="Y331" i="1"/>
  <c r="AA331" i="1" s="1"/>
  <c r="Y332" i="1"/>
  <c r="Z332" i="1" s="1"/>
  <c r="Y334" i="1"/>
  <c r="AA334" i="1" s="1"/>
  <c r="Y335" i="1"/>
  <c r="AA335" i="1" s="1"/>
  <c r="Y337" i="1"/>
  <c r="AA337" i="1" s="1"/>
  <c r="Y338" i="1"/>
  <c r="AA338" i="1" s="1"/>
  <c r="Y339" i="1"/>
  <c r="Z339" i="1" s="1"/>
  <c r="Y340" i="1"/>
  <c r="AA340" i="1" s="1"/>
  <c r="Y341" i="1"/>
  <c r="Z341" i="1" s="1"/>
  <c r="Y342" i="1"/>
  <c r="AA342" i="1" s="1"/>
  <c r="Y343" i="1"/>
  <c r="AA343" i="1" s="1"/>
  <c r="Y344" i="1"/>
  <c r="AA344" i="1" s="1"/>
  <c r="Y345" i="1"/>
  <c r="AA345" i="1" s="1"/>
  <c r="Y346" i="1"/>
  <c r="AA346" i="1" s="1"/>
  <c r="Y347" i="1"/>
  <c r="Z347" i="1" s="1"/>
  <c r="Y348" i="1"/>
  <c r="AA348" i="1" s="1"/>
  <c r="Y349" i="1"/>
  <c r="AA349" i="1" s="1"/>
  <c r="Y350" i="1"/>
  <c r="AA350" i="1" s="1"/>
  <c r="Y351" i="1"/>
  <c r="AA351" i="1" s="1"/>
  <c r="Y352" i="1"/>
  <c r="Z352" i="1" s="1"/>
  <c r="Y353" i="1"/>
  <c r="AA353" i="1" s="1"/>
  <c r="Y354" i="1"/>
  <c r="AA354" i="1" s="1"/>
  <c r="Y355" i="1"/>
  <c r="AA355" i="1" s="1"/>
  <c r="Y356" i="1"/>
  <c r="Z356" i="1" s="1"/>
  <c r="Y357" i="1"/>
  <c r="AA357" i="1" s="1"/>
  <c r="Y358" i="1"/>
  <c r="AA358" i="1" s="1"/>
  <c r="Y359" i="1"/>
  <c r="AA359" i="1" s="1"/>
  <c r="Y360" i="1"/>
  <c r="AA360" i="1" s="1"/>
  <c r="Y361" i="1"/>
  <c r="AA361" i="1" s="1"/>
  <c r="Y362" i="1"/>
  <c r="Z362" i="1" s="1"/>
  <c r="Y363" i="1"/>
  <c r="AA363" i="1" s="1"/>
  <c r="Y364" i="1"/>
  <c r="AA364" i="1" s="1"/>
  <c r="Y365" i="1"/>
  <c r="Z365" i="1" s="1"/>
  <c r="Y366" i="1"/>
  <c r="AA366" i="1" s="1"/>
  <c r="Y367" i="1"/>
  <c r="AA367" i="1" s="1"/>
  <c r="Y368" i="1"/>
  <c r="AA368" i="1" s="1"/>
  <c r="Y369" i="1"/>
  <c r="AA369" i="1" s="1"/>
  <c r="Y370" i="1"/>
  <c r="AA370" i="1" s="1"/>
  <c r="Y371" i="1"/>
  <c r="Z371" i="1" s="1"/>
  <c r="Y372" i="1"/>
  <c r="Z372" i="1" s="1"/>
  <c r="Y373" i="1"/>
  <c r="Z373" i="1" s="1"/>
  <c r="Y374" i="1"/>
  <c r="AA374" i="1" s="1"/>
  <c r="Y375" i="1"/>
  <c r="AA375" i="1" s="1"/>
  <c r="Y376" i="1"/>
  <c r="AA376" i="1" s="1"/>
  <c r="Y377" i="1"/>
  <c r="AA377" i="1" s="1"/>
  <c r="Y378" i="1"/>
  <c r="AA378" i="1" s="1"/>
  <c r="Y379" i="1"/>
  <c r="Z379" i="1" s="1"/>
  <c r="Y380" i="1"/>
  <c r="AA380" i="1" s="1"/>
  <c r="Y381" i="1"/>
  <c r="AA381" i="1" s="1"/>
  <c r="Y382" i="1"/>
  <c r="AA382" i="1" s="1"/>
  <c r="Y383" i="1"/>
  <c r="AA383" i="1" s="1"/>
  <c r="Y384" i="1"/>
  <c r="AA384" i="1" s="1"/>
  <c r="Y385" i="1"/>
  <c r="AA385" i="1" s="1"/>
  <c r="Y386" i="1"/>
  <c r="AA386" i="1" s="1"/>
  <c r="Y387" i="1"/>
  <c r="Z387" i="1" s="1"/>
  <c r="Y388" i="1"/>
  <c r="Z388" i="1" s="1"/>
  <c r="Y389" i="1"/>
  <c r="Z389" i="1" s="1"/>
  <c r="Y390" i="1"/>
  <c r="AA390" i="1" s="1"/>
  <c r="Y391" i="1"/>
  <c r="AA391" i="1" s="1"/>
  <c r="Y392" i="1"/>
  <c r="AA392" i="1" s="1"/>
  <c r="Y393" i="1"/>
  <c r="AA393" i="1" s="1"/>
  <c r="Y394" i="1"/>
  <c r="AA394" i="1" s="1"/>
  <c r="Y395" i="1"/>
  <c r="Z395" i="1" s="1"/>
  <c r="Y396" i="1"/>
  <c r="AA396" i="1" s="1"/>
  <c r="Y397" i="1"/>
  <c r="AA397" i="1" s="1"/>
  <c r="Y398" i="1"/>
  <c r="AA398" i="1" s="1"/>
  <c r="Y399" i="1"/>
  <c r="AA399" i="1" s="1"/>
  <c r="Y400" i="1"/>
  <c r="AA400" i="1" s="1"/>
  <c r="Y401" i="1"/>
  <c r="AA401" i="1" s="1"/>
  <c r="Y402" i="1"/>
  <c r="AA402" i="1" s="1"/>
  <c r="Y403" i="1"/>
  <c r="AA403" i="1" s="1"/>
  <c r="Y404" i="1"/>
  <c r="AA404" i="1" s="1"/>
  <c r="Y405" i="1"/>
  <c r="AA405" i="1" s="1"/>
  <c r="Y406" i="1"/>
  <c r="AA406" i="1" s="1"/>
  <c r="Y407" i="1"/>
  <c r="Z407" i="1" s="1"/>
  <c r="Y408" i="1"/>
  <c r="AA408" i="1" s="1"/>
  <c r="Y409" i="1"/>
  <c r="AA409" i="1" s="1"/>
  <c r="Y410" i="1"/>
  <c r="AA410" i="1" s="1"/>
  <c r="Y411" i="1"/>
  <c r="Z411" i="1" s="1"/>
  <c r="Y412" i="1"/>
  <c r="AA412" i="1" s="1"/>
  <c r="Y413" i="1"/>
  <c r="AA413" i="1" s="1"/>
  <c r="Y414" i="1"/>
  <c r="AA414" i="1" s="1"/>
  <c r="Y415" i="1"/>
  <c r="AA415" i="1" s="1"/>
  <c r="Y416" i="1"/>
  <c r="Z416" i="1" s="1"/>
  <c r="Y417" i="1"/>
  <c r="AA417" i="1" s="1"/>
  <c r="Y418" i="1"/>
  <c r="AA418" i="1" s="1"/>
  <c r="Y419" i="1"/>
  <c r="Z419" i="1" s="1"/>
  <c r="Y420" i="1"/>
  <c r="AA420" i="1" s="1"/>
  <c r="Y421" i="1"/>
  <c r="Z421" i="1" s="1"/>
  <c r="Y422" i="1"/>
  <c r="AA422" i="1" s="1"/>
  <c r="Y423" i="1"/>
  <c r="AA423" i="1" s="1"/>
  <c r="Y424" i="1"/>
  <c r="AA424" i="1" s="1"/>
  <c r="Y425" i="1"/>
  <c r="AA425" i="1" s="1"/>
  <c r="Y426" i="1"/>
  <c r="AA426" i="1" s="1"/>
  <c r="Y427" i="1"/>
  <c r="Z427" i="1" s="1"/>
  <c r="Y428" i="1"/>
  <c r="AA428" i="1" s="1"/>
  <c r="Y429" i="1"/>
  <c r="AA429" i="1" s="1"/>
  <c r="Y430" i="1"/>
  <c r="AA430" i="1" s="1"/>
  <c r="Y431" i="1"/>
  <c r="AA431" i="1" s="1"/>
  <c r="Y432" i="1"/>
  <c r="AA432" i="1" s="1"/>
  <c r="Y433" i="1"/>
  <c r="AA433" i="1" s="1"/>
  <c r="Y434" i="1"/>
  <c r="AA434" i="1" s="1"/>
  <c r="Y435" i="1"/>
  <c r="AA435" i="1" s="1"/>
  <c r="Y436" i="1"/>
  <c r="Z436" i="1" s="1"/>
  <c r="Y437" i="1"/>
  <c r="AA437" i="1" s="1"/>
  <c r="Y438" i="1"/>
  <c r="AA438" i="1" s="1"/>
  <c r="Y439" i="1"/>
  <c r="AA439" i="1" s="1"/>
  <c r="Y440" i="1"/>
  <c r="AA440" i="1" s="1"/>
  <c r="Y441" i="1"/>
  <c r="AA441" i="1" s="1"/>
  <c r="Y442" i="1"/>
  <c r="AA442" i="1" s="1"/>
  <c r="Y443" i="1"/>
  <c r="AA443" i="1" s="1"/>
  <c r="Y444" i="1"/>
  <c r="AA444" i="1" s="1"/>
  <c r="Y445" i="1"/>
  <c r="AA445" i="1" s="1"/>
  <c r="Y446" i="1"/>
  <c r="AA446" i="1" s="1"/>
  <c r="Y447" i="1"/>
  <c r="AA447" i="1" s="1"/>
  <c r="Y448" i="1"/>
  <c r="Z448" i="1" s="1"/>
  <c r="Y449" i="1"/>
  <c r="AA449" i="1" s="1"/>
  <c r="Y450" i="1"/>
  <c r="AA450" i="1" s="1"/>
  <c r="Y451" i="1"/>
  <c r="AA451" i="1" s="1"/>
  <c r="Y452" i="1"/>
  <c r="Z452" i="1" s="1"/>
  <c r="Y453" i="1"/>
  <c r="Z453" i="1" s="1"/>
  <c r="Y454" i="1"/>
  <c r="AA454" i="1" s="1"/>
  <c r="Y455" i="1"/>
  <c r="AA455" i="1" s="1"/>
  <c r="Y456" i="1"/>
  <c r="AA456" i="1" s="1"/>
  <c r="Y457" i="1"/>
  <c r="AA457" i="1" s="1"/>
  <c r="Y458" i="1"/>
  <c r="AA458" i="1" s="1"/>
  <c r="Y459" i="1"/>
  <c r="AA459" i="1" s="1"/>
  <c r="Y460" i="1"/>
  <c r="AA460" i="1" s="1"/>
  <c r="Y461" i="1"/>
  <c r="Z461" i="1" s="1"/>
  <c r="Y462" i="1"/>
  <c r="AA462" i="1" s="1"/>
  <c r="Y463" i="1"/>
  <c r="AA463" i="1" s="1"/>
  <c r="Y464" i="1"/>
  <c r="Z464" i="1" s="1"/>
  <c r="Y465" i="1"/>
  <c r="AA465" i="1" s="1"/>
  <c r="Y466" i="1"/>
  <c r="AA466" i="1" s="1"/>
  <c r="Y467" i="1"/>
  <c r="Z467" i="1" s="1"/>
  <c r="Y468" i="1"/>
  <c r="Z468" i="1" s="1"/>
  <c r="Y469" i="1"/>
  <c r="AA469" i="1" s="1"/>
  <c r="Y470" i="1"/>
  <c r="AA470" i="1" s="1"/>
  <c r="Y471" i="1"/>
  <c r="AA471" i="1" s="1"/>
  <c r="Y472" i="1"/>
  <c r="AA472" i="1" s="1"/>
  <c r="Y473" i="1"/>
  <c r="AA473" i="1" s="1"/>
  <c r="Y474" i="1"/>
  <c r="AA474" i="1" s="1"/>
  <c r="Y475" i="1"/>
  <c r="AA475" i="1" s="1"/>
  <c r="Y476" i="1"/>
  <c r="AA476" i="1" s="1"/>
  <c r="Y477" i="1"/>
  <c r="Z477" i="1" s="1"/>
  <c r="Y478" i="1"/>
  <c r="AA478" i="1" s="1"/>
  <c r="Y479" i="1"/>
  <c r="AA479" i="1" s="1"/>
  <c r="Y480" i="1"/>
  <c r="AA480" i="1" s="1"/>
  <c r="Y481" i="1"/>
  <c r="AA481" i="1" s="1"/>
  <c r="Y482" i="1"/>
  <c r="AA482" i="1" s="1"/>
  <c r="Y483" i="1"/>
  <c r="AA483" i="1" s="1"/>
  <c r="Y484" i="1"/>
  <c r="AA484" i="1" s="1"/>
  <c r="Y485" i="1"/>
  <c r="AA485" i="1" s="1"/>
  <c r="Y486" i="1"/>
  <c r="AA486" i="1" s="1"/>
  <c r="Y487" i="1"/>
  <c r="AA487" i="1" s="1"/>
  <c r="Y488" i="1"/>
  <c r="AA488" i="1" s="1"/>
  <c r="Y489" i="1"/>
  <c r="AA489" i="1" s="1"/>
  <c r="Y490" i="1"/>
  <c r="AA490" i="1" s="1"/>
  <c r="Y491" i="1"/>
  <c r="Z491" i="1" s="1"/>
  <c r="Y492" i="1"/>
  <c r="AA492" i="1" s="1"/>
  <c r="Y493" i="1"/>
  <c r="AA493" i="1" s="1"/>
  <c r="Y494" i="1"/>
  <c r="AA494" i="1" s="1"/>
  <c r="Y495" i="1"/>
  <c r="AA495" i="1" s="1"/>
  <c r="Y496" i="1"/>
  <c r="AA496" i="1" s="1"/>
  <c r="Y497" i="1"/>
  <c r="AA497" i="1" s="1"/>
  <c r="Y498" i="1"/>
  <c r="Z498" i="1" s="1"/>
  <c r="Y499" i="1"/>
  <c r="Z499" i="1" s="1"/>
  <c r="Y500" i="1"/>
  <c r="AA500" i="1" s="1"/>
  <c r="Y501" i="1"/>
  <c r="AA501" i="1" s="1"/>
  <c r="Y502" i="1"/>
  <c r="AA502" i="1" s="1"/>
  <c r="Y503" i="1"/>
  <c r="Z503" i="1" s="1"/>
  <c r="Y504" i="1"/>
  <c r="AA504" i="1" s="1"/>
  <c r="Y505" i="1"/>
  <c r="AA505" i="1" s="1"/>
  <c r="Y506" i="1"/>
  <c r="AA506" i="1" s="1"/>
  <c r="Y507" i="1"/>
  <c r="Z507" i="1" s="1"/>
  <c r="Y508" i="1"/>
  <c r="Z508" i="1" s="1"/>
  <c r="Y509" i="1"/>
  <c r="AA509" i="1" s="1"/>
  <c r="Y510" i="1"/>
  <c r="AA510" i="1" s="1"/>
  <c r="Y511" i="1"/>
  <c r="AA511" i="1" s="1"/>
  <c r="Y512" i="1"/>
  <c r="AA512" i="1" s="1"/>
  <c r="Y513" i="1"/>
  <c r="AA513" i="1" s="1"/>
  <c r="Y514" i="1"/>
  <c r="AA514" i="1" s="1"/>
  <c r="Y515" i="1"/>
  <c r="AA515" i="1" s="1"/>
  <c r="Y516" i="1"/>
  <c r="AA516" i="1" s="1"/>
  <c r="Y517" i="1"/>
  <c r="AA517" i="1" s="1"/>
  <c r="Y518" i="1"/>
  <c r="AA518" i="1" s="1"/>
  <c r="Y519" i="1"/>
  <c r="AA519" i="1" s="1"/>
  <c r="Y520" i="1"/>
  <c r="AA520" i="1" s="1"/>
  <c r="Y521" i="1"/>
  <c r="AA521" i="1" s="1"/>
  <c r="Y522" i="1"/>
  <c r="AA522" i="1" s="1"/>
  <c r="Y523" i="1"/>
  <c r="AA523" i="1" s="1"/>
  <c r="Y524" i="1"/>
  <c r="AA524" i="1" s="1"/>
  <c r="Y525" i="1"/>
  <c r="Z525" i="1" s="1"/>
  <c r="Y526" i="1"/>
  <c r="AA526" i="1" s="1"/>
  <c r="Y527" i="1"/>
  <c r="AA527" i="1" s="1"/>
  <c r="Y528" i="1"/>
  <c r="AA528" i="1" s="1"/>
  <c r="Y529" i="1"/>
  <c r="AA529" i="1" s="1"/>
  <c r="Y530" i="1"/>
  <c r="AA530" i="1" s="1"/>
  <c r="Y531" i="1"/>
  <c r="Z531" i="1" s="1"/>
  <c r="Y532" i="1"/>
  <c r="AA532" i="1" s="1"/>
  <c r="Y533" i="1"/>
  <c r="Z533" i="1" s="1"/>
  <c r="Y534" i="1"/>
  <c r="AA534" i="1" s="1"/>
  <c r="Y535" i="1"/>
  <c r="AA535" i="1" s="1"/>
  <c r="Y536" i="1"/>
  <c r="Z536" i="1" s="1"/>
  <c r="Y537" i="1"/>
  <c r="AA537" i="1" s="1"/>
  <c r="Y538" i="1"/>
  <c r="AA538" i="1" s="1"/>
  <c r="Y539" i="1"/>
  <c r="Z539" i="1" s="1"/>
  <c r="Y540" i="1"/>
  <c r="Z540" i="1" s="1"/>
  <c r="Y541" i="1"/>
  <c r="Z541" i="1" s="1"/>
  <c r="Y542" i="1"/>
  <c r="AA542" i="1" s="1"/>
  <c r="Y543" i="1"/>
  <c r="AA543" i="1" s="1"/>
  <c r="Y544" i="1"/>
  <c r="AA544" i="1" s="1"/>
  <c r="Y545" i="1"/>
  <c r="AA545" i="1" s="1"/>
  <c r="Y546" i="1"/>
  <c r="AA546" i="1" s="1"/>
  <c r="Y547" i="1"/>
  <c r="Z547" i="1" s="1"/>
  <c r="Y548" i="1"/>
  <c r="AA548" i="1" s="1"/>
  <c r="Y549" i="1"/>
  <c r="AA549" i="1" s="1"/>
  <c r="Y550" i="1"/>
  <c r="AA550" i="1" s="1"/>
  <c r="Y551" i="1"/>
  <c r="AA551" i="1" s="1"/>
  <c r="Y552" i="1"/>
  <c r="AA552" i="1" s="1"/>
  <c r="Y553" i="1"/>
  <c r="AA553" i="1" s="1"/>
  <c r="Y554" i="1"/>
  <c r="AA554" i="1" s="1"/>
  <c r="Y555" i="1"/>
  <c r="AA555" i="1" s="1"/>
  <c r="Y556" i="1"/>
  <c r="Z556" i="1" s="1"/>
  <c r="Y557" i="1"/>
  <c r="AA557" i="1" s="1"/>
  <c r="Y558" i="1"/>
  <c r="AA558" i="1" s="1"/>
  <c r="Y559" i="1"/>
  <c r="AA559" i="1" s="1"/>
  <c r="Y560" i="1"/>
  <c r="AA560" i="1" s="1"/>
  <c r="Y561" i="1"/>
  <c r="AA561" i="1" s="1"/>
  <c r="Y562" i="1"/>
  <c r="Z562" i="1" s="1"/>
  <c r="Y563" i="1"/>
  <c r="Z563" i="1" s="1"/>
  <c r="Y564" i="1"/>
  <c r="Z564" i="1" s="1"/>
  <c r="Y565" i="1"/>
  <c r="AA565" i="1" s="1"/>
  <c r="Y566" i="1"/>
  <c r="AA566" i="1" s="1"/>
  <c r="Y567" i="1"/>
  <c r="AA567" i="1" s="1"/>
  <c r="Y568" i="1"/>
  <c r="AA568" i="1" s="1"/>
  <c r="Y569" i="1"/>
  <c r="AA569" i="1" s="1"/>
  <c r="Y570" i="1"/>
  <c r="AA570" i="1" s="1"/>
  <c r="Y571" i="1"/>
  <c r="Z571" i="1" s="1"/>
  <c r="Y572" i="1"/>
  <c r="AA572" i="1" s="1"/>
  <c r="Y573" i="1"/>
  <c r="AA573" i="1" s="1"/>
  <c r="Y574" i="1"/>
  <c r="AA574" i="1" s="1"/>
  <c r="Y575" i="1"/>
  <c r="AA575" i="1" s="1"/>
  <c r="Y576" i="1"/>
  <c r="Z576" i="1" s="1"/>
  <c r="Y577" i="1"/>
  <c r="AA577" i="1" s="1"/>
  <c r="Y578" i="1"/>
  <c r="AA578" i="1" s="1"/>
  <c r="Y579" i="1"/>
  <c r="AA579" i="1" s="1"/>
  <c r="Y580" i="1"/>
  <c r="Z580" i="1" s="1"/>
  <c r="Y581" i="1"/>
  <c r="AA581" i="1" s="1"/>
  <c r="Y582" i="1"/>
  <c r="AA582" i="1" s="1"/>
  <c r="Y583" i="1"/>
  <c r="AA583" i="1" s="1"/>
  <c r="Y584" i="1"/>
  <c r="AA584" i="1" s="1"/>
  <c r="Y585" i="1"/>
  <c r="AA585" i="1" s="1"/>
  <c r="Y586" i="1"/>
  <c r="AA586" i="1" s="1"/>
  <c r="Y587" i="1"/>
  <c r="Z587" i="1" s="1"/>
  <c r="Y588" i="1"/>
  <c r="AA588" i="1" s="1"/>
  <c r="Y589" i="1"/>
  <c r="AA589" i="1" s="1"/>
  <c r="Y590" i="1"/>
  <c r="AA590" i="1" s="1"/>
  <c r="Y591" i="1"/>
  <c r="AA591" i="1" s="1"/>
  <c r="Y592" i="1"/>
  <c r="Z592" i="1" s="1"/>
  <c r="Y593" i="1"/>
  <c r="AA593" i="1" s="1"/>
  <c r="Y594" i="1"/>
  <c r="Z594" i="1" s="1"/>
  <c r="Y595" i="1"/>
  <c r="AA595" i="1" s="1"/>
  <c r="Y596" i="1"/>
  <c r="AA596" i="1" s="1"/>
  <c r="Y597" i="1"/>
  <c r="AA597" i="1" s="1"/>
  <c r="Y598" i="1"/>
  <c r="AA598" i="1" s="1"/>
  <c r="Y599" i="1"/>
  <c r="AA599" i="1" s="1"/>
  <c r="Y600" i="1"/>
  <c r="AA600" i="1" s="1"/>
  <c r="Y601" i="1"/>
  <c r="AA601" i="1" s="1"/>
  <c r="Y602" i="1"/>
  <c r="AA602" i="1" s="1"/>
  <c r="Y603" i="1"/>
  <c r="Z603" i="1" s="1"/>
  <c r="Y604" i="1"/>
  <c r="Z604" i="1" s="1"/>
  <c r="Y605" i="1"/>
  <c r="AA605" i="1" s="1"/>
  <c r="Y606" i="1"/>
  <c r="AA606" i="1" s="1"/>
  <c r="Y607" i="1"/>
  <c r="AA607" i="1" s="1"/>
  <c r="Y608" i="1"/>
  <c r="AA608" i="1" s="1"/>
  <c r="Y609" i="1"/>
  <c r="AA609" i="1" s="1"/>
  <c r="Y610" i="1"/>
  <c r="AA610" i="1" s="1"/>
  <c r="Y611" i="1"/>
  <c r="AA611" i="1" s="1"/>
  <c r="Y612" i="1"/>
  <c r="AA612" i="1" s="1"/>
  <c r="Y613" i="1"/>
  <c r="AA613" i="1" s="1"/>
  <c r="Y614" i="1"/>
  <c r="AA614" i="1" s="1"/>
  <c r="Y615" i="1"/>
  <c r="AA615" i="1" s="1"/>
  <c r="Y616" i="1"/>
  <c r="AA616" i="1" s="1"/>
  <c r="Y617" i="1"/>
  <c r="AA617" i="1" s="1"/>
  <c r="Y618" i="1"/>
  <c r="AA618" i="1" s="1"/>
  <c r="Y619" i="1"/>
  <c r="Z619" i="1" s="1"/>
  <c r="Y620" i="1"/>
  <c r="Z620" i="1" s="1"/>
  <c r="Y621" i="1"/>
  <c r="Z621" i="1" s="1"/>
  <c r="Y622" i="1"/>
  <c r="AA622" i="1" s="1"/>
  <c r="Y623" i="1"/>
  <c r="AA623" i="1" s="1"/>
  <c r="Y624" i="1"/>
  <c r="AA624" i="1" s="1"/>
  <c r="Y625" i="1"/>
  <c r="AA625" i="1" s="1"/>
  <c r="Y626" i="1"/>
  <c r="Z626" i="1" s="1"/>
  <c r="Y627" i="1"/>
  <c r="AA627" i="1" s="1"/>
  <c r="Y628" i="1"/>
  <c r="AA628" i="1" s="1"/>
  <c r="Y629" i="1"/>
  <c r="Z629" i="1" s="1"/>
  <c r="Y630" i="1"/>
  <c r="AA630" i="1" s="1"/>
  <c r="Y631" i="1"/>
  <c r="AA631" i="1" s="1"/>
  <c r="Y632" i="1"/>
  <c r="AA632" i="1" s="1"/>
  <c r="Y633" i="1"/>
  <c r="AA633" i="1" s="1"/>
  <c r="Y634" i="1"/>
  <c r="AA634" i="1" s="1"/>
  <c r="Y635" i="1"/>
  <c r="AA635" i="1" s="1"/>
  <c r="Y636" i="1"/>
  <c r="AA636" i="1" s="1"/>
  <c r="Y637" i="1"/>
  <c r="Z637" i="1" s="1"/>
  <c r="Y638" i="1"/>
  <c r="AA638" i="1" s="1"/>
  <c r="Y639" i="1"/>
  <c r="AA639" i="1" s="1"/>
  <c r="Y640" i="1"/>
  <c r="AA640" i="1" s="1"/>
  <c r="Y641" i="1"/>
  <c r="AA641" i="1" s="1"/>
  <c r="Y642" i="1"/>
  <c r="AA642" i="1" s="1"/>
  <c r="Y643" i="1"/>
  <c r="AA643" i="1" s="1"/>
  <c r="Y644" i="1"/>
  <c r="AA644" i="1" s="1"/>
  <c r="Y645" i="1"/>
  <c r="AA645" i="1" s="1"/>
  <c r="Y646" i="1"/>
  <c r="AA646" i="1" s="1"/>
  <c r="Y647" i="1"/>
  <c r="AA647" i="1" s="1"/>
  <c r="Y648" i="1"/>
  <c r="Z648" i="1" s="1"/>
  <c r="Y649" i="1"/>
  <c r="AA649" i="1" s="1"/>
  <c r="Y650" i="1"/>
  <c r="AA650" i="1" s="1"/>
  <c r="Y651" i="1"/>
  <c r="AA651" i="1" s="1"/>
  <c r="Y652" i="1"/>
  <c r="AA652" i="1" s="1"/>
  <c r="Y653" i="1"/>
  <c r="AA653" i="1" s="1"/>
  <c r="Y654" i="1"/>
  <c r="AA654" i="1" s="1"/>
  <c r="Y655" i="1"/>
  <c r="AA655" i="1" s="1"/>
  <c r="Y656" i="1"/>
  <c r="AA656" i="1" s="1"/>
  <c r="Y657" i="1"/>
  <c r="AA657" i="1" s="1"/>
  <c r="Y658" i="1"/>
  <c r="AA658" i="1" s="1"/>
  <c r="Y659" i="1"/>
  <c r="Z659" i="1" s="1"/>
  <c r="Y660" i="1"/>
  <c r="AA660" i="1" s="1"/>
  <c r="Y661" i="1"/>
  <c r="AA661" i="1" s="1"/>
  <c r="Y662" i="1"/>
  <c r="AA662" i="1" s="1"/>
  <c r="Y663" i="1"/>
  <c r="AA663" i="1" s="1"/>
  <c r="Y664" i="1"/>
  <c r="Z664" i="1" s="1"/>
  <c r="Y665" i="1"/>
  <c r="AA665" i="1" s="1"/>
  <c r="Y666" i="1"/>
  <c r="AA666" i="1" s="1"/>
  <c r="Y667" i="1"/>
  <c r="AA667" i="1" s="1"/>
  <c r="Y668" i="1"/>
  <c r="AA668" i="1" s="1"/>
  <c r="Y669" i="1"/>
  <c r="AA669" i="1" s="1"/>
  <c r="Y670" i="1"/>
  <c r="AA670" i="1" s="1"/>
  <c r="Y671" i="1"/>
  <c r="AA671" i="1" s="1"/>
  <c r="Y672" i="1"/>
  <c r="AA672" i="1" s="1"/>
  <c r="Y673" i="1"/>
  <c r="AA673" i="1" s="1"/>
  <c r="Y674" i="1"/>
  <c r="AA674" i="1" s="1"/>
  <c r="Y675" i="1"/>
  <c r="Z675" i="1" s="1"/>
  <c r="Y676" i="1"/>
  <c r="Z676" i="1" s="1"/>
  <c r="Y677" i="1"/>
  <c r="Z677" i="1" s="1"/>
  <c r="Y678" i="1"/>
  <c r="AA678" i="1" s="1"/>
  <c r="Y679" i="1"/>
  <c r="AA679" i="1" s="1"/>
  <c r="Y680" i="1"/>
  <c r="AA680" i="1" s="1"/>
  <c r="Y681" i="1"/>
  <c r="AA681" i="1" s="1"/>
  <c r="Y682" i="1"/>
  <c r="AA682" i="1" s="1"/>
  <c r="Y683" i="1"/>
  <c r="AA683" i="1" s="1"/>
  <c r="Y684" i="1"/>
  <c r="Z684" i="1" s="1"/>
  <c r="Y685" i="1"/>
  <c r="Z685" i="1" s="1"/>
  <c r="Y686" i="1"/>
  <c r="AA686" i="1" s="1"/>
  <c r="Y687" i="1"/>
  <c r="AA687" i="1" s="1"/>
  <c r="Y688" i="1"/>
  <c r="AA688" i="1" s="1"/>
  <c r="Y689" i="1"/>
  <c r="AA689" i="1" s="1"/>
  <c r="Y690" i="1"/>
  <c r="AA690" i="1" s="1"/>
  <c r="Y691" i="1"/>
  <c r="Z691" i="1" s="1"/>
  <c r="Y692" i="1"/>
  <c r="Z692" i="1" s="1"/>
  <c r="Y693" i="1"/>
  <c r="AA693" i="1" s="1"/>
  <c r="Y694" i="1"/>
  <c r="AA694" i="1" s="1"/>
  <c r="Y695" i="1"/>
  <c r="AA695" i="1" s="1"/>
  <c r="Y697" i="1"/>
  <c r="AA697" i="1" s="1"/>
  <c r="Y698" i="1"/>
  <c r="AA698" i="1" s="1"/>
  <c r="Y701" i="1"/>
  <c r="AA701" i="1" s="1"/>
  <c r="Y704" i="1"/>
  <c r="AA704" i="1" s="1"/>
  <c r="Y705" i="1"/>
  <c r="AA705" i="1" s="1"/>
  <c r="Y706" i="1"/>
  <c r="AA706" i="1" s="1"/>
  <c r="Y708" i="1"/>
  <c r="AA708" i="1" s="1"/>
  <c r="Y709" i="1"/>
  <c r="AA709" i="1" s="1"/>
  <c r="Y710" i="1"/>
  <c r="AA710" i="1" s="1"/>
  <c r="Y711" i="1"/>
  <c r="AA711" i="1" s="1"/>
  <c r="Y712" i="1"/>
  <c r="AA712" i="1" s="1"/>
  <c r="Y713" i="1"/>
  <c r="AA713" i="1" s="1"/>
  <c r="Y715" i="1"/>
  <c r="AA715" i="1" s="1"/>
  <c r="Y717" i="1"/>
  <c r="AA717" i="1" s="1"/>
  <c r="Y718" i="1"/>
  <c r="AA718" i="1" s="1"/>
  <c r="Y721" i="1"/>
  <c r="AA721" i="1" s="1"/>
  <c r="Y722" i="1"/>
  <c r="AA722" i="1" s="1"/>
  <c r="Y725" i="1"/>
  <c r="Z725" i="1" s="1"/>
  <c r="Y727" i="1"/>
  <c r="AA727" i="1" s="1"/>
  <c r="Y728" i="1"/>
  <c r="AA728" i="1" s="1"/>
  <c r="Y731" i="1"/>
  <c r="AA731" i="1" s="1"/>
  <c r="Y733" i="1"/>
  <c r="AA733" i="1" s="1"/>
  <c r="Y734" i="1"/>
  <c r="AA734" i="1" s="1"/>
  <c r="Y735" i="1"/>
  <c r="AA735" i="1" s="1"/>
  <c r="Y736" i="1"/>
  <c r="AA736" i="1" s="1"/>
  <c r="Y737" i="1"/>
  <c r="AA737" i="1" s="1"/>
  <c r="Y738" i="1"/>
  <c r="AA738" i="1" s="1"/>
  <c r="Y739" i="1"/>
  <c r="AA739" i="1" s="1"/>
  <c r="Y741" i="1"/>
  <c r="AA741" i="1" s="1"/>
  <c r="Y742" i="1"/>
  <c r="AA742" i="1" s="1"/>
  <c r="Y743" i="1"/>
  <c r="AA743" i="1" s="1"/>
  <c r="Y744" i="1"/>
  <c r="AA744" i="1" s="1"/>
  <c r="Y745" i="1"/>
  <c r="AA745" i="1" s="1"/>
  <c r="Y746" i="1"/>
  <c r="AA746" i="1" s="1"/>
  <c r="Y747" i="1"/>
  <c r="Z747" i="1" s="1"/>
  <c r="Y748" i="1"/>
  <c r="Z748" i="1" s="1"/>
  <c r="Y749" i="1"/>
  <c r="AA749" i="1" s="1"/>
  <c r="Y750" i="1"/>
  <c r="AA750" i="1" s="1"/>
  <c r="Y751" i="1"/>
  <c r="AA751" i="1" s="1"/>
  <c r="Y752" i="1"/>
  <c r="AA752" i="1" s="1"/>
  <c r="Y753" i="1"/>
  <c r="AA753" i="1" s="1"/>
  <c r="Y754" i="1"/>
  <c r="Z754" i="1" s="1"/>
  <c r="Y2" i="1"/>
  <c r="AA31" i="1"/>
  <c r="AA315" i="1"/>
  <c r="H8" i="2" l="1"/>
  <c r="T8" i="2"/>
  <c r="S8" i="2"/>
  <c r="G8" i="2"/>
  <c r="Z98" i="1"/>
  <c r="AA26" i="1"/>
  <c r="X8" i="2"/>
  <c r="AA66" i="1"/>
  <c r="Z195" i="1"/>
  <c r="Z171" i="1"/>
  <c r="Z110" i="1"/>
  <c r="Z67" i="1"/>
  <c r="Z300" i="1"/>
  <c r="AA259" i="1"/>
  <c r="Z323" i="1"/>
  <c r="Z99" i="1"/>
  <c r="Z164" i="1"/>
  <c r="AA155" i="1"/>
  <c r="Z132" i="1"/>
  <c r="AA129" i="1"/>
  <c r="Z93" i="1"/>
  <c r="AA20" i="1"/>
  <c r="Z163" i="1"/>
  <c r="AA82" i="1"/>
  <c r="AA68" i="1"/>
  <c r="Z76" i="1"/>
  <c r="Z50" i="1"/>
  <c r="Z211" i="1"/>
  <c r="Z34" i="1"/>
  <c r="Z214" i="1"/>
  <c r="Z117" i="1"/>
  <c r="Z45" i="1"/>
  <c r="Z3" i="1"/>
  <c r="Z382" i="1"/>
  <c r="Z381" i="1"/>
  <c r="Z203" i="1"/>
  <c r="Z122" i="1"/>
  <c r="Z42" i="1"/>
  <c r="AA131" i="1"/>
  <c r="AA18" i="1"/>
  <c r="Z69" i="1"/>
  <c r="AA114" i="1"/>
  <c r="Z302" i="1"/>
  <c r="Z147" i="1"/>
  <c r="Z21" i="1"/>
  <c r="AA227" i="1"/>
  <c r="AA106" i="1"/>
  <c r="AA58" i="1"/>
  <c r="Z139" i="1"/>
  <c r="AA100" i="1"/>
  <c r="Z307" i="1"/>
  <c r="Z299" i="1"/>
  <c r="Z219" i="1"/>
  <c r="Z134" i="1"/>
  <c r="Z10" i="1"/>
  <c r="AA90" i="1"/>
  <c r="Z173" i="1"/>
  <c r="Z108" i="1"/>
  <c r="Z7" i="1"/>
  <c r="P6" i="2"/>
  <c r="L4" i="2"/>
  <c r="Z197" i="1"/>
  <c r="Z36" i="1"/>
  <c r="M5" i="2"/>
  <c r="K4" i="2"/>
  <c r="N6" i="2"/>
  <c r="P2" i="2"/>
  <c r="M6" i="2"/>
  <c r="AA341" i="1"/>
  <c r="AA325" i="1"/>
  <c r="Z549" i="1"/>
  <c r="AA317" i="1"/>
  <c r="L6" i="2"/>
  <c r="P4" i="2"/>
  <c r="K6" i="2"/>
  <c r="Z189" i="1"/>
  <c r="Z405" i="1"/>
  <c r="Z92" i="1"/>
  <c r="Z52" i="1"/>
  <c r="Z149" i="1"/>
  <c r="P5" i="2"/>
  <c r="N4" i="2"/>
  <c r="Z462" i="1"/>
  <c r="Z181" i="1"/>
  <c r="Z158" i="1"/>
  <c r="Z124" i="1"/>
  <c r="Z27" i="1"/>
  <c r="AA637" i="1"/>
  <c r="AA229" i="1"/>
  <c r="AA141" i="1"/>
  <c r="AA28" i="1"/>
  <c r="Z350" i="1"/>
  <c r="O2" i="2"/>
  <c r="Z349" i="1"/>
  <c r="Z573" i="1"/>
  <c r="Z326" i="1"/>
  <c r="AA541" i="1"/>
  <c r="Z701" i="1"/>
  <c r="Z485" i="1"/>
  <c r="AA533" i="1"/>
  <c r="Z693" i="1"/>
  <c r="Z469" i="1"/>
  <c r="Z159" i="1"/>
  <c r="Z14" i="1"/>
  <c r="AA461" i="1"/>
  <c r="K2" i="2"/>
  <c r="Z669" i="1"/>
  <c r="Z653" i="1"/>
  <c r="Z228" i="1"/>
  <c r="AA373" i="1"/>
  <c r="AA148" i="1"/>
  <c r="L2" i="2"/>
  <c r="M2" i="2"/>
  <c r="Z565" i="1"/>
  <c r="Z399" i="1"/>
  <c r="Z167" i="1"/>
  <c r="Z86" i="1"/>
  <c r="Z54" i="1"/>
  <c r="N2" i="2"/>
  <c r="Z447" i="1"/>
  <c r="Z293" i="1"/>
  <c r="Z125" i="1"/>
  <c r="Z37" i="1"/>
  <c r="Z613" i="1"/>
  <c r="Z358" i="1"/>
  <c r="Z262" i="1"/>
  <c r="Z510" i="1"/>
  <c r="Z445" i="1"/>
  <c r="Z310" i="1"/>
  <c r="Z101" i="1"/>
  <c r="Z13" i="1"/>
  <c r="Z749" i="1"/>
  <c r="Z597" i="1"/>
  <c r="Z509" i="1"/>
  <c r="Z413" i="1"/>
  <c r="Z351" i="1"/>
  <c r="Z309" i="1"/>
  <c r="Z118" i="1"/>
  <c r="Z53" i="1"/>
  <c r="Z29" i="1"/>
  <c r="AA389" i="1"/>
  <c r="AA133" i="1"/>
  <c r="Z190" i="1"/>
  <c r="Z645" i="1"/>
  <c r="Z61" i="1"/>
  <c r="AA629" i="1"/>
  <c r="Z85" i="1"/>
  <c r="Z511" i="1"/>
  <c r="Z319" i="1"/>
  <c r="Z230" i="1"/>
  <c r="AA421" i="1"/>
  <c r="Z150" i="1"/>
  <c r="Z109" i="1"/>
  <c r="Z517" i="1"/>
  <c r="Z374" i="1"/>
  <c r="Z446" i="1"/>
  <c r="Z605" i="1"/>
  <c r="Z357" i="1"/>
  <c r="Z286" i="1"/>
  <c r="Z142" i="1"/>
  <c r="Z77" i="1"/>
  <c r="Z661" i="1"/>
  <c r="Z589" i="1"/>
  <c r="Z111" i="1"/>
  <c r="AA621" i="1"/>
  <c r="AA477" i="1"/>
  <c r="AA277" i="1"/>
  <c r="Z439" i="1"/>
  <c r="Z717" i="1"/>
  <c r="Z557" i="1"/>
  <c r="Z301" i="1"/>
  <c r="Z143" i="1"/>
  <c r="Z39" i="1"/>
  <c r="AA453" i="1"/>
  <c r="AA94" i="1"/>
  <c r="Z327" i="1"/>
  <c r="Z709" i="1"/>
  <c r="Z615" i="1"/>
  <c r="Z415" i="1"/>
  <c r="Z367" i="1"/>
  <c r="Z38" i="1"/>
  <c r="AA725" i="1"/>
  <c r="Z741" i="1"/>
  <c r="Z455" i="1"/>
  <c r="Z397" i="1"/>
  <c r="Z278" i="1"/>
  <c r="Z238" i="1"/>
  <c r="Z222" i="1"/>
  <c r="AA685" i="1"/>
  <c r="AA525" i="1"/>
  <c r="AA365" i="1"/>
  <c r="AA116" i="1"/>
  <c r="Z583" i="1"/>
  <c r="Z501" i="1"/>
  <c r="Z437" i="1"/>
  <c r="Z366" i="1"/>
  <c r="Z318" i="1"/>
  <c r="Z733" i="1"/>
  <c r="Z679" i="1"/>
  <c r="Z623" i="1"/>
  <c r="Z581" i="1"/>
  <c r="Z494" i="1"/>
  <c r="Z454" i="1"/>
  <c r="Z430" i="1"/>
  <c r="Z390" i="1"/>
  <c r="Z334" i="1"/>
  <c r="Z237" i="1"/>
  <c r="Z84" i="1"/>
  <c r="Z44" i="1"/>
  <c r="Z12" i="1"/>
  <c r="AA677" i="1"/>
  <c r="Z502" i="1"/>
  <c r="Z438" i="1"/>
  <c r="Z575" i="1"/>
  <c r="Z519" i="1"/>
  <c r="Z493" i="1"/>
  <c r="Z429" i="1"/>
  <c r="Z359" i="1"/>
  <c r="Z311" i="1"/>
  <c r="Z294" i="1"/>
  <c r="Z166" i="1"/>
  <c r="Z60" i="1"/>
  <c r="Z492" i="1"/>
  <c r="J2" i="2"/>
  <c r="J8" i="2"/>
  <c r="R8" i="2" s="1"/>
  <c r="J4" i="2"/>
  <c r="AA387" i="1"/>
  <c r="Z396" i="1"/>
  <c r="Z516" i="1"/>
  <c r="Z652" i="1"/>
  <c r="Z428" i="1"/>
  <c r="AA372" i="1"/>
  <c r="AA180" i="1"/>
  <c r="Z188" i="1"/>
  <c r="Z364" i="1"/>
  <c r="AA452" i="1"/>
  <c r="Z252" i="1"/>
  <c r="Z172" i="1"/>
  <c r="AA115" i="1"/>
  <c r="Z392" i="1"/>
  <c r="Z687" i="1"/>
  <c r="AA498" i="1"/>
  <c r="Z727" i="1"/>
  <c r="Z655" i="1"/>
  <c r="Z628" i="1"/>
  <c r="Z596" i="1"/>
  <c r="Z559" i="1"/>
  <c r="Z463" i="1"/>
  <c r="Z423" i="1"/>
  <c r="Z375" i="1"/>
  <c r="Z360" i="1"/>
  <c r="Z335" i="1"/>
  <c r="Z303" i="1"/>
  <c r="Z292" i="1"/>
  <c r="Z215" i="1"/>
  <c r="Z199" i="1"/>
  <c r="Z102" i="1"/>
  <c r="Z91" i="1"/>
  <c r="Z70" i="1"/>
  <c r="Z59" i="1"/>
  <c r="Z30" i="1"/>
  <c r="Z19" i="1"/>
  <c r="Z4" i="1"/>
  <c r="AA564" i="1"/>
  <c r="AA503" i="1"/>
  <c r="AA224" i="1"/>
  <c r="AA78" i="1"/>
  <c r="C2" i="2"/>
  <c r="AA664" i="1"/>
  <c r="Z636" i="1"/>
  <c r="Z608" i="1"/>
  <c r="Z527" i="1"/>
  <c r="Z295" i="1"/>
  <c r="Z279" i="1"/>
  <c r="Z247" i="1"/>
  <c r="Z123" i="1"/>
  <c r="Z22" i="1"/>
  <c r="AA407" i="1"/>
  <c r="AA200" i="1"/>
  <c r="AA136" i="1"/>
  <c r="Z408" i="1"/>
  <c r="AA536" i="1"/>
  <c r="Z476" i="1"/>
  <c r="Z383" i="1"/>
  <c r="Z62" i="1"/>
  <c r="AA176" i="1"/>
  <c r="Z663" i="1"/>
  <c r="Z631" i="1"/>
  <c r="Z567" i="1"/>
  <c r="Z471" i="1"/>
  <c r="Z308" i="1"/>
  <c r="Z231" i="1"/>
  <c r="Z220" i="1"/>
  <c r="Z135" i="1"/>
  <c r="Z46" i="1"/>
  <c r="Z35" i="1"/>
  <c r="Z8" i="1"/>
  <c r="AA356" i="1"/>
  <c r="AA276" i="1"/>
  <c r="Z288" i="1"/>
  <c r="Z5" i="1"/>
  <c r="AA352" i="1"/>
  <c r="Z2" i="1"/>
  <c r="Z512" i="1"/>
  <c r="Z376" i="1"/>
  <c r="Z289" i="1"/>
  <c r="AA291" i="1"/>
  <c r="AA267" i="1"/>
  <c r="AA95" i="1"/>
  <c r="Z16" i="1"/>
  <c r="Z627" i="1"/>
  <c r="Z144" i="1"/>
  <c r="Z15" i="1"/>
  <c r="AA576" i="1"/>
  <c r="AA464" i="1"/>
  <c r="AA427" i="1"/>
  <c r="AA304" i="1"/>
  <c r="Z145" i="1"/>
  <c r="Z682" i="1"/>
  <c r="Z624" i="1"/>
  <c r="Z168" i="1"/>
  <c r="AA154" i="1"/>
  <c r="Z683" i="1"/>
  <c r="Z331" i="1"/>
  <c r="Z208" i="1"/>
  <c r="Z329" i="1"/>
  <c r="Z47" i="1"/>
  <c r="Z24" i="1"/>
  <c r="AA571" i="1"/>
  <c r="Z640" i="1"/>
  <c r="Z496" i="1"/>
  <c r="Z240" i="1"/>
  <c r="Z74" i="1"/>
  <c r="AA323" i="1"/>
  <c r="AA539" i="1"/>
  <c r="Z643" i="1"/>
  <c r="Z363" i="1"/>
  <c r="AA619" i="1"/>
  <c r="Z715" i="1"/>
  <c r="Z656" i="1"/>
  <c r="Z523" i="1"/>
  <c r="Z459" i="1"/>
  <c r="Z443" i="1"/>
  <c r="Z403" i="1"/>
  <c r="Z297" i="1"/>
  <c r="Z681" i="1"/>
  <c r="Z680" i="1"/>
  <c r="Z456" i="1"/>
  <c r="Z424" i="1"/>
  <c r="AA547" i="1"/>
  <c r="AA499" i="1"/>
  <c r="Z612" i="1"/>
  <c r="Z555" i="1"/>
  <c r="Z475" i="1"/>
  <c r="Z440" i="1"/>
  <c r="Z355" i="1"/>
  <c r="Z296" i="1"/>
  <c r="Z87" i="1"/>
  <c r="Z23" i="1"/>
  <c r="AA395" i="1"/>
  <c r="Z522" i="1"/>
  <c r="Z667" i="1"/>
  <c r="Z651" i="1"/>
  <c r="Z578" i="1"/>
  <c r="Z560" i="1"/>
  <c r="Z432" i="1"/>
  <c r="Z280" i="1"/>
  <c r="Z256" i="1"/>
  <c r="Z169" i="1"/>
  <c r="Z127" i="1"/>
  <c r="Z63" i="1"/>
  <c r="AA592" i="1"/>
  <c r="AA362" i="1"/>
  <c r="AA339" i="1"/>
  <c r="AA55" i="1"/>
  <c r="Z488" i="1"/>
  <c r="AA648" i="1"/>
  <c r="AA491" i="1"/>
  <c r="AA448" i="1"/>
  <c r="AA411" i="1"/>
  <c r="AA320" i="1"/>
  <c r="AA41" i="1"/>
  <c r="Z722" i="1"/>
  <c r="Z568" i="1"/>
  <c r="Z504" i="1"/>
  <c r="Z384" i="1"/>
  <c r="Z344" i="1"/>
  <c r="Z635" i="1"/>
  <c r="Z192" i="1"/>
  <c r="Z103" i="1"/>
  <c r="Z79" i="1"/>
  <c r="AA603" i="1"/>
  <c r="AA347" i="1"/>
  <c r="Z752" i="1"/>
  <c r="Z520" i="1"/>
  <c r="Z400" i="1"/>
  <c r="Z328" i="1"/>
  <c r="Z370" i="1"/>
  <c r="Z217" i="1"/>
  <c r="AA691" i="1"/>
  <c r="Z480" i="1"/>
  <c r="Z161" i="1"/>
  <c r="Z737" i="1"/>
  <c r="Z672" i="1"/>
  <c r="Z736" i="1"/>
  <c r="Z632" i="1"/>
  <c r="Z616" i="1"/>
  <c r="Z552" i="1"/>
  <c r="Z472" i="1"/>
  <c r="Z458" i="1"/>
  <c r="Z410" i="1"/>
  <c r="Z312" i="1"/>
  <c r="Z119" i="1"/>
  <c r="Z71" i="1"/>
  <c r="AA675" i="1"/>
  <c r="AA419" i="1"/>
  <c r="AA748" i="1"/>
  <c r="D4" i="2"/>
  <c r="Z739" i="1"/>
  <c r="Z712" i="1"/>
  <c r="Z668" i="1"/>
  <c r="Z611" i="1"/>
  <c r="Z595" i="1"/>
  <c r="Z579" i="1"/>
  <c r="Z537" i="1"/>
  <c r="Z524" i="1"/>
  <c r="Z515" i="1"/>
  <c r="Z460" i="1"/>
  <c r="Z451" i="1"/>
  <c r="Z340" i="1"/>
  <c r="AA747" i="1"/>
  <c r="AA692" i="1"/>
  <c r="AA620" i="1"/>
  <c r="AA467" i="1"/>
  <c r="AA371" i="1"/>
  <c r="AA563" i="1"/>
  <c r="AA508" i="1"/>
  <c r="Z588" i="1"/>
  <c r="Z532" i="1"/>
  <c r="Z521" i="1"/>
  <c r="Z483" i="1"/>
  <c r="Z435" i="1"/>
  <c r="Z273" i="1"/>
  <c r="Z201" i="1"/>
  <c r="AA684" i="1"/>
  <c r="AA659" i="1"/>
  <c r="AA587" i="1"/>
  <c r="AA507" i="1"/>
  <c r="AA64" i="1"/>
  <c r="Z708" i="1"/>
  <c r="Z500" i="1"/>
  <c r="Z731" i="1"/>
  <c r="Z704" i="1"/>
  <c r="Z688" i="1"/>
  <c r="AA2" i="1"/>
  <c r="AA556" i="1"/>
  <c r="AA531" i="1"/>
  <c r="AA436" i="1"/>
  <c r="AA379" i="1"/>
  <c r="Z548" i="1"/>
  <c r="Z601" i="1"/>
  <c r="Z545" i="1"/>
  <c r="Z420" i="1"/>
  <c r="Z380" i="1"/>
  <c r="Z348" i="1"/>
  <c r="Z744" i="1"/>
  <c r="Z728" i="1"/>
  <c r="Z644" i="1"/>
  <c r="Z600" i="1"/>
  <c r="Z584" i="1"/>
  <c r="Z572" i="1"/>
  <c r="Z544" i="1"/>
  <c r="Z528" i="1"/>
  <c r="Z444" i="1"/>
  <c r="Z404" i="1"/>
  <c r="Z368" i="1"/>
  <c r="Z209" i="1"/>
  <c r="AA140" i="1"/>
  <c r="C5" i="2"/>
  <c r="F5" i="2" s="1"/>
  <c r="AA676" i="1"/>
  <c r="AA604" i="1"/>
  <c r="AA324" i="1"/>
  <c r="AA268" i="1"/>
  <c r="B4" i="2"/>
  <c r="D5" i="2"/>
  <c r="AA580" i="1"/>
  <c r="AA388" i="1"/>
  <c r="AA83" i="1"/>
  <c r="AA540" i="1"/>
  <c r="AA260" i="1"/>
  <c r="AA51" i="1"/>
  <c r="B2" i="2"/>
  <c r="Z713" i="1"/>
  <c r="Z484" i="1"/>
  <c r="Z412" i="1"/>
  <c r="Z305" i="1"/>
  <c r="Z107" i="1"/>
  <c r="Z75" i="1"/>
  <c r="Z43" i="1"/>
  <c r="AA468" i="1"/>
  <c r="AA332" i="1"/>
  <c r="Z593" i="1"/>
  <c r="Z313" i="1"/>
  <c r="Z185" i="1"/>
  <c r="AA137" i="1"/>
  <c r="AA11" i="1"/>
  <c r="D2" i="2"/>
  <c r="Z745" i="1"/>
  <c r="Z721" i="1"/>
  <c r="Z673" i="1"/>
  <c r="Z660" i="1"/>
  <c r="Z321" i="1"/>
  <c r="Z257" i="1"/>
  <c r="Z193" i="1"/>
  <c r="AA88" i="1"/>
  <c r="C6" i="2"/>
  <c r="AA594" i="1"/>
  <c r="Z218" i="1"/>
  <c r="Z202" i="1"/>
  <c r="AA562" i="1"/>
  <c r="Z738" i="1"/>
  <c r="Z711" i="1"/>
  <c r="Z690" i="1"/>
  <c r="Z671" i="1"/>
  <c r="Z585" i="1"/>
  <c r="Z538" i="1"/>
  <c r="Z529" i="1"/>
  <c r="Z474" i="1"/>
  <c r="Z386" i="1"/>
  <c r="Z330" i="1"/>
  <c r="Z322" i="1"/>
  <c r="Z314" i="1"/>
  <c r="Z306" i="1"/>
  <c r="Z298" i="1"/>
  <c r="Z258" i="1"/>
  <c r="AA626" i="1"/>
  <c r="AA81" i="1"/>
  <c r="Z586" i="1"/>
  <c r="Z530" i="1"/>
  <c r="Z466" i="1"/>
  <c r="AA9" i="1"/>
  <c r="Z642" i="1"/>
  <c r="Z546" i="1"/>
  <c r="Z482" i="1"/>
  <c r="AA754" i="1"/>
  <c r="Z170" i="1"/>
  <c r="Z746" i="1"/>
  <c r="Z338" i="1"/>
  <c r="Z394" i="1"/>
  <c r="Z97" i="1"/>
  <c r="Z65" i="1"/>
  <c r="Z17" i="1"/>
  <c r="Z658" i="1"/>
  <c r="Z649" i="1"/>
  <c r="Z639" i="1"/>
  <c r="Z618" i="1"/>
  <c r="Z609" i="1"/>
  <c r="Z591" i="1"/>
  <c r="Z553" i="1"/>
  <c r="Z535" i="1"/>
  <c r="Z479" i="1"/>
  <c r="Z470" i="1"/>
  <c r="Z434" i="1"/>
  <c r="Z346" i="1"/>
  <c r="Z120" i="1"/>
  <c r="Z112" i="1"/>
  <c r="Z104" i="1"/>
  <c r="Z96" i="1"/>
  <c r="Z80" i="1"/>
  <c r="Z72" i="1"/>
  <c r="Z56" i="1"/>
  <c r="Z48" i="1"/>
  <c r="Z40" i="1"/>
  <c r="Z32" i="1"/>
  <c r="AA146" i="1"/>
  <c r="AA33" i="1"/>
  <c r="Z162" i="1"/>
  <c r="Z418" i="1"/>
  <c r="Z554" i="1"/>
  <c r="Z426" i="1"/>
  <c r="Z121" i="1"/>
  <c r="Z89" i="1"/>
  <c r="Z57" i="1"/>
  <c r="Z735" i="1"/>
  <c r="Z617" i="1"/>
  <c r="Z599" i="1"/>
  <c r="Z570" i="1"/>
  <c r="Z561" i="1"/>
  <c r="Z543" i="1"/>
  <c r="Z487" i="1"/>
  <c r="Z478" i="1"/>
  <c r="Z442" i="1"/>
  <c r="Z402" i="1"/>
  <c r="Z354" i="1"/>
  <c r="AA130" i="1"/>
  <c r="AA6" i="1"/>
  <c r="Z634" i="1"/>
  <c r="Z378" i="1"/>
  <c r="Z602" i="1"/>
  <c r="Z698" i="1"/>
  <c r="Z650" i="1"/>
  <c r="Z610" i="1"/>
  <c r="Z490" i="1"/>
  <c r="Z113" i="1"/>
  <c r="Z105" i="1"/>
  <c r="Z73" i="1"/>
  <c r="Z49" i="1"/>
  <c r="Z25" i="1"/>
  <c r="Z743" i="1"/>
  <c r="Z706" i="1"/>
  <c r="Z695" i="1"/>
  <c r="Z666" i="1"/>
  <c r="Z657" i="1"/>
  <c r="Z506" i="1"/>
  <c r="Z751" i="1"/>
  <c r="Z674" i="1"/>
  <c r="Z665" i="1"/>
  <c r="Z647" i="1"/>
  <c r="Z607" i="1"/>
  <c r="Z569" i="1"/>
  <c r="Z551" i="1"/>
  <c r="Z514" i="1"/>
  <c r="Z495" i="1"/>
  <c r="Z486" i="1"/>
  <c r="Z450" i="1"/>
  <c r="Z431" i="1"/>
  <c r="Z422" i="1"/>
  <c r="Z343" i="1"/>
  <c r="Z689" i="1"/>
  <c r="Z625" i="1"/>
  <c r="Z697" i="1"/>
  <c r="Z633" i="1"/>
  <c r="Z753" i="1"/>
  <c r="Z705" i="1"/>
  <c r="Z641" i="1"/>
  <c r="Z577" i="1"/>
  <c r="Z513" i="1"/>
  <c r="Z505" i="1"/>
  <c r="Z497" i="1"/>
  <c r="Z489" i="1"/>
  <c r="Z481" i="1"/>
  <c r="Z473" i="1"/>
  <c r="Z465" i="1"/>
  <c r="Z457" i="1"/>
  <c r="Z449" i="1"/>
  <c r="Z441" i="1"/>
  <c r="Z433" i="1"/>
  <c r="Z425" i="1"/>
  <c r="Z417" i="1"/>
  <c r="Z750" i="1"/>
  <c r="Z742" i="1"/>
  <c r="Z734" i="1"/>
  <c r="Z718" i="1"/>
  <c r="Z710" i="1"/>
  <c r="Z694" i="1"/>
  <c r="Z686" i="1"/>
  <c r="Z678" i="1"/>
  <c r="Z670" i="1"/>
  <c r="Z662" i="1"/>
  <c r="Z654" i="1"/>
  <c r="Z646" i="1"/>
  <c r="Z638" i="1"/>
  <c r="Z630" i="1"/>
  <c r="Z622" i="1"/>
  <c r="Z614" i="1"/>
  <c r="Z606" i="1"/>
  <c r="Z598" i="1"/>
  <c r="Z590" i="1"/>
  <c r="Z582" i="1"/>
  <c r="Z574" i="1"/>
  <c r="Z566" i="1"/>
  <c r="Z558" i="1"/>
  <c r="Z550" i="1"/>
  <c r="Z542" i="1"/>
  <c r="Z534" i="1"/>
  <c r="Z526" i="1"/>
  <c r="Z518" i="1"/>
  <c r="Z342" i="1"/>
  <c r="Z414" i="1"/>
  <c r="Z406" i="1"/>
  <c r="Z398" i="1"/>
  <c r="Z138" i="1"/>
  <c r="Z361" i="1"/>
  <c r="Z353" i="1"/>
  <c r="Z345" i="1"/>
  <c r="Z337" i="1"/>
  <c r="Z385" i="1"/>
  <c r="Z377" i="1"/>
  <c r="Z409" i="1"/>
  <c r="Z401" i="1"/>
  <c r="Z393" i="1"/>
  <c r="AA416" i="1"/>
  <c r="Z391" i="1"/>
  <c r="Z369" i="1"/>
  <c r="AA242" i="1"/>
  <c r="Z128" i="1"/>
  <c r="Z126" i="1"/>
  <c r="H5" i="2" l="1"/>
  <c r="H2" i="2"/>
  <c r="V2" i="2"/>
  <c r="S5" i="2"/>
  <c r="U2" i="2"/>
  <c r="T2" i="2"/>
  <c r="S2" i="2"/>
  <c r="R5" i="2"/>
  <c r="X2" i="2"/>
  <c r="T5" i="2"/>
  <c r="W2" i="2"/>
  <c r="V5" i="2"/>
  <c r="U5" i="2"/>
  <c r="W5" i="2"/>
  <c r="G2" i="2"/>
  <c r="F2" i="2"/>
  <c r="X5" i="2"/>
  <c r="R2" i="2"/>
  <c r="G5" i="2"/>
  <c r="G740" i="1"/>
  <c r="Y740" i="1" s="1"/>
  <c r="AA740" i="1" l="1"/>
  <c r="Z740" i="1"/>
  <c r="B6" i="2"/>
  <c r="O6" i="2"/>
  <c r="W6" i="2" s="1"/>
  <c r="G732" i="1"/>
  <c r="Y732" i="1" s="1"/>
  <c r="G730" i="1"/>
  <c r="Y730" i="1" s="1"/>
  <c r="G729" i="1"/>
  <c r="Y729" i="1" s="1"/>
  <c r="G726" i="1"/>
  <c r="Y726" i="1" s="1"/>
  <c r="G724" i="1"/>
  <c r="Y724" i="1" s="1"/>
  <c r="G723" i="1"/>
  <c r="Y723" i="1" s="1"/>
  <c r="G720" i="1"/>
  <c r="Y720" i="1" s="1"/>
  <c r="G719" i="1"/>
  <c r="Y719" i="1" s="1"/>
  <c r="G716" i="1"/>
  <c r="Y716" i="1" s="1"/>
  <c r="G714" i="1"/>
  <c r="Y714" i="1" s="1"/>
  <c r="G707" i="1"/>
  <c r="Y707" i="1" s="1"/>
  <c r="G703" i="1"/>
  <c r="Y703" i="1" s="1"/>
  <c r="G702" i="1"/>
  <c r="Y702" i="1" s="1"/>
  <c r="G700" i="1"/>
  <c r="Y700" i="1" s="1"/>
  <c r="G699" i="1"/>
  <c r="Y699" i="1" s="1"/>
  <c r="G696" i="1"/>
  <c r="Y696" i="1" s="1"/>
  <c r="AA700" i="1" l="1"/>
  <c r="Z700" i="1"/>
  <c r="AA702" i="1"/>
  <c r="Z702" i="1"/>
  <c r="AA703" i="1"/>
  <c r="Z703" i="1"/>
  <c r="AA719" i="1"/>
  <c r="Z719" i="1"/>
  <c r="AA730" i="1"/>
  <c r="Z730" i="1"/>
  <c r="Z732" i="1"/>
  <c r="AA732" i="1"/>
  <c r="AA707" i="1"/>
  <c r="Z707" i="1"/>
  <c r="Z720" i="1"/>
  <c r="P3" i="2"/>
  <c r="AA720" i="1"/>
  <c r="AA723" i="1"/>
  <c r="Z723" i="1"/>
  <c r="AA724" i="1"/>
  <c r="Z724" i="1"/>
  <c r="AA696" i="1"/>
  <c r="B3" i="2"/>
  <c r="Z696" i="1"/>
  <c r="AA726" i="1"/>
  <c r="Z726" i="1"/>
  <c r="Z699" i="1"/>
  <c r="AA699" i="1"/>
  <c r="AA729" i="1"/>
  <c r="Z729" i="1"/>
  <c r="F6" i="2"/>
  <c r="H6" i="2"/>
  <c r="R6" i="2"/>
  <c r="X6" i="2"/>
  <c r="V6" i="2"/>
  <c r="S6" i="2"/>
  <c r="U6" i="2"/>
  <c r="G6" i="2"/>
  <c r="T6" i="2"/>
  <c r="AA714" i="1"/>
  <c r="Z714" i="1"/>
  <c r="AA716" i="1"/>
  <c r="Z716" i="1"/>
  <c r="G336" i="1"/>
  <c r="Y336" i="1" s="1"/>
  <c r="G333" i="1"/>
  <c r="Y333" i="1" s="1"/>
  <c r="Z333" i="1" l="1"/>
  <c r="AA333" i="1"/>
  <c r="M4" i="2"/>
  <c r="C4" i="2"/>
  <c r="Z336" i="1"/>
  <c r="AA336" i="1"/>
  <c r="G316" i="1"/>
  <c r="Y316" i="1" s="1"/>
  <c r="G4" i="2" l="1"/>
  <c r="T4" i="2"/>
  <c r="S4" i="2"/>
  <c r="X4" i="2"/>
  <c r="F4" i="2"/>
  <c r="H4" i="2"/>
  <c r="W4" i="2"/>
  <c r="R4" i="2"/>
  <c r="V4" i="2"/>
  <c r="D7" i="2"/>
  <c r="AA316" i="1"/>
  <c r="K7" i="2"/>
  <c r="Z316" i="1"/>
  <c r="U4" i="2"/>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G290" i="1"/>
  <c r="Y290" i="1" s="1"/>
  <c r="G287" i="1"/>
  <c r="Y287" i="1" s="1"/>
  <c r="G285" i="1"/>
  <c r="Y285" i="1" s="1"/>
  <c r="G284" i="1"/>
  <c r="Y284" i="1" s="1"/>
  <c r="G283" i="1"/>
  <c r="Y283" i="1" s="1"/>
  <c r="G282" i="1"/>
  <c r="Y282" i="1" s="1"/>
  <c r="G281" i="1"/>
  <c r="Y281" i="1" s="1"/>
  <c r="G275" i="1"/>
  <c r="Y275" i="1" s="1"/>
  <c r="G274" i="1"/>
  <c r="Y274" i="1" s="1"/>
  <c r="G272" i="1"/>
  <c r="Y272" i="1" s="1"/>
  <c r="G271" i="1"/>
  <c r="Y271" i="1" s="1"/>
  <c r="G270" i="1"/>
  <c r="Y270" i="1" s="1"/>
  <c r="G269" i="1"/>
  <c r="Y269" i="1" s="1"/>
  <c r="G266" i="1"/>
  <c r="Y266" i="1" s="1"/>
  <c r="G265" i="1"/>
  <c r="Y265" i="1" s="1"/>
  <c r="G264" i="1"/>
  <c r="Y264" i="1" s="1"/>
  <c r="G263" i="1"/>
  <c r="Y263" i="1" s="1"/>
  <c r="G261" i="1"/>
  <c r="Y261" i="1" s="1"/>
  <c r="G255" i="1"/>
  <c r="Y255" i="1" s="1"/>
  <c r="G254" i="1"/>
  <c r="Y254" i="1" s="1"/>
  <c r="G253" i="1"/>
  <c r="Y253" i="1" s="1"/>
  <c r="E252" i="1"/>
  <c r="G251" i="1"/>
  <c r="Y251" i="1" s="1"/>
  <c r="G250" i="1"/>
  <c r="Y250" i="1" s="1"/>
  <c r="G249" i="1"/>
  <c r="Y249" i="1" s="1"/>
  <c r="G248" i="1"/>
  <c r="Y248" i="1" s="1"/>
  <c r="G246" i="1"/>
  <c r="Y246" i="1" s="1"/>
  <c r="G245" i="1"/>
  <c r="Y245" i="1" s="1"/>
  <c r="G244" i="1"/>
  <c r="Y244" i="1" s="1"/>
  <c r="G243" i="1"/>
  <c r="Y243" i="1" s="1"/>
  <c r="G241" i="1"/>
  <c r="Y241" i="1" s="1"/>
  <c r="G239" i="1"/>
  <c r="Y239" i="1" s="1"/>
  <c r="G236" i="1"/>
  <c r="Y236" i="1" s="1"/>
  <c r="G235" i="1"/>
  <c r="Y235" i="1" s="1"/>
  <c r="G234" i="1"/>
  <c r="Y234" i="1" s="1"/>
  <c r="G233" i="1"/>
  <c r="Y233" i="1" s="1"/>
  <c r="G232" i="1"/>
  <c r="Y232" i="1" s="1"/>
  <c r="G226" i="1"/>
  <c r="Y226" i="1" s="1"/>
  <c r="G225" i="1"/>
  <c r="Y225" i="1" s="1"/>
  <c r="G223" i="1"/>
  <c r="Y223" i="1" s="1"/>
  <c r="G221" i="1"/>
  <c r="Y221" i="1" s="1"/>
  <c r="G216" i="1"/>
  <c r="Y216" i="1" s="1"/>
  <c r="G213" i="1"/>
  <c r="Y213" i="1" s="1"/>
  <c r="G212" i="1"/>
  <c r="Y212" i="1" s="1"/>
  <c r="G210" i="1"/>
  <c r="Y210" i="1" s="1"/>
  <c r="G207" i="1"/>
  <c r="Y207" i="1" s="1"/>
  <c r="G206" i="1"/>
  <c r="Y206" i="1" s="1"/>
  <c r="G205" i="1"/>
  <c r="Y205" i="1" s="1"/>
  <c r="G204" i="1"/>
  <c r="Y204" i="1" s="1"/>
  <c r="G198" i="1"/>
  <c r="Y198" i="1" s="1"/>
  <c r="G196" i="1"/>
  <c r="Y196" i="1" s="1"/>
  <c r="G194" i="1"/>
  <c r="Y194" i="1" s="1"/>
  <c r="G191" i="1"/>
  <c r="Y191" i="1" s="1"/>
  <c r="G187" i="1"/>
  <c r="Y187" i="1" s="1"/>
  <c r="G186" i="1"/>
  <c r="Y186" i="1" s="1"/>
  <c r="G184" i="1"/>
  <c r="Y184" i="1" s="1"/>
  <c r="G183" i="1"/>
  <c r="Y183" i="1" s="1"/>
  <c r="G182" i="1"/>
  <c r="Y182" i="1" s="1"/>
  <c r="G179" i="1"/>
  <c r="Y179" i="1" s="1"/>
  <c r="G178" i="1"/>
  <c r="Y178" i="1" s="1"/>
  <c r="G177" i="1"/>
  <c r="Y177" i="1" s="1"/>
  <c r="G175" i="1"/>
  <c r="Y175" i="1" s="1"/>
  <c r="G174" i="1"/>
  <c r="Y174" i="1" s="1"/>
  <c r="G165" i="1"/>
  <c r="Y165" i="1" s="1"/>
  <c r="G160" i="1"/>
  <c r="Y160" i="1" s="1"/>
  <c r="G157" i="1"/>
  <c r="Y157" i="1" s="1"/>
  <c r="G156" i="1"/>
  <c r="Y156" i="1" s="1"/>
  <c r="G153" i="1"/>
  <c r="Y153" i="1" s="1"/>
  <c r="G152" i="1"/>
  <c r="Y152" i="1" s="1"/>
  <c r="G151" i="1"/>
  <c r="Y151" i="1" s="1"/>
  <c r="Z196" i="1" l="1"/>
  <c r="AA196" i="1"/>
  <c r="AA265" i="1"/>
  <c r="Z265" i="1"/>
  <c r="AA175" i="1"/>
  <c r="Z175" i="1"/>
  <c r="AA226" i="1"/>
  <c r="Z226" i="1"/>
  <c r="AA179" i="1"/>
  <c r="Z179" i="1"/>
  <c r="AA206" i="1"/>
  <c r="Z206" i="1"/>
  <c r="AA234" i="1"/>
  <c r="Z234" i="1"/>
  <c r="AA251" i="1"/>
  <c r="Z251" i="1"/>
  <c r="AA271" i="1"/>
  <c r="Z271" i="1"/>
  <c r="S7" i="2"/>
  <c r="AA182" i="1"/>
  <c r="Z182" i="1"/>
  <c r="H7" i="2"/>
  <c r="X7" i="2"/>
  <c r="F7" i="2"/>
  <c r="W7" i="2"/>
  <c r="V7" i="2"/>
  <c r="G7" i="2"/>
  <c r="U7" i="2"/>
  <c r="R7" i="2"/>
  <c r="T7" i="2"/>
  <c r="AA153" i="1"/>
  <c r="Z153" i="1"/>
  <c r="C3" i="2"/>
  <c r="AA184" i="1"/>
  <c r="Z184" i="1"/>
  <c r="Z212" i="1"/>
  <c r="AA212" i="1"/>
  <c r="AA239" i="1"/>
  <c r="Z239" i="1"/>
  <c r="AA254" i="1"/>
  <c r="Z254" i="1"/>
  <c r="AA275" i="1"/>
  <c r="Z275" i="1"/>
  <c r="AA156" i="1"/>
  <c r="Z156" i="1"/>
  <c r="AA186" i="1"/>
  <c r="Z186" i="1"/>
  <c r="AA213" i="1"/>
  <c r="Z213" i="1"/>
  <c r="AA241" i="1"/>
  <c r="Z241" i="1"/>
  <c r="AA255" i="1"/>
  <c r="Z255" i="1"/>
  <c r="AA281" i="1"/>
  <c r="Z281" i="1"/>
  <c r="AA151" i="1"/>
  <c r="Z151" i="1"/>
  <c r="M3" i="2"/>
  <c r="D3" i="2"/>
  <c r="H3" i="2" s="1"/>
  <c r="AA207" i="1"/>
  <c r="Z207" i="1"/>
  <c r="AA235" i="1"/>
  <c r="Z235" i="1"/>
  <c r="Z272" i="1"/>
  <c r="AA272" i="1"/>
  <c r="Z152" i="1"/>
  <c r="AA152" i="1"/>
  <c r="K3" i="2"/>
  <c r="AA236" i="1"/>
  <c r="Z236" i="1"/>
  <c r="AA274" i="1"/>
  <c r="Z274" i="1"/>
  <c r="Z157" i="1"/>
  <c r="AA157" i="1"/>
  <c r="AA187" i="1"/>
  <c r="Z187" i="1"/>
  <c r="Z216" i="1"/>
  <c r="AA216" i="1"/>
  <c r="AA243" i="1"/>
  <c r="Z243" i="1"/>
  <c r="Z261" i="1"/>
  <c r="AA261" i="1"/>
  <c r="AA282" i="1"/>
  <c r="Z282" i="1"/>
  <c r="AA183" i="1"/>
  <c r="Z183" i="1"/>
  <c r="AA210" i="1"/>
  <c r="Z210" i="1"/>
  <c r="AA253" i="1"/>
  <c r="Z253" i="1"/>
  <c r="Z160" i="1"/>
  <c r="AA160" i="1"/>
  <c r="J3" i="2"/>
  <c r="AA191" i="1"/>
  <c r="Z191" i="1"/>
  <c r="AA221" i="1"/>
  <c r="Z221" i="1"/>
  <c r="AA244" i="1"/>
  <c r="Z244" i="1"/>
  <c r="AA263" i="1"/>
  <c r="Z263" i="1"/>
  <c r="Z283" i="1"/>
  <c r="AA283" i="1"/>
  <c r="AA165" i="1"/>
  <c r="Z165" i="1"/>
  <c r="AA194" i="1"/>
  <c r="Z194" i="1"/>
  <c r="Z223" i="1"/>
  <c r="AA223" i="1"/>
  <c r="AA245" i="1"/>
  <c r="Z245" i="1"/>
  <c r="AA264" i="1"/>
  <c r="Z264" i="1"/>
  <c r="AA284" i="1"/>
  <c r="Z284" i="1"/>
  <c r="AA225" i="1"/>
  <c r="Z225" i="1"/>
  <c r="AA174" i="1"/>
  <c r="Z174" i="1"/>
  <c r="AA246" i="1"/>
  <c r="Z246" i="1"/>
  <c r="L3" i="2"/>
  <c r="AA285" i="1"/>
  <c r="Z285" i="1"/>
  <c r="AA198" i="1"/>
  <c r="Z198" i="1"/>
  <c r="AA248" i="1"/>
  <c r="Z248" i="1"/>
  <c r="AA266" i="1"/>
  <c r="Z266" i="1"/>
  <c r="AA287" i="1"/>
  <c r="Z287" i="1"/>
  <c r="AA177" i="1"/>
  <c r="Z177" i="1"/>
  <c r="Z204" i="1"/>
  <c r="AA204" i="1"/>
  <c r="AA232" i="1"/>
  <c r="Z232" i="1"/>
  <c r="AA249" i="1"/>
  <c r="Z249" i="1"/>
  <c r="AA269" i="1"/>
  <c r="Z269" i="1"/>
  <c r="AA290" i="1"/>
  <c r="Z290" i="1"/>
  <c r="AA178" i="1"/>
  <c r="Z178" i="1"/>
  <c r="Z205" i="1"/>
  <c r="AA205" i="1"/>
  <c r="AA233" i="1"/>
  <c r="Z233" i="1"/>
  <c r="AA250" i="1"/>
  <c r="Z250" i="1"/>
  <c r="AA270" i="1"/>
  <c r="Z270" i="1"/>
  <c r="T3" i="2" l="1"/>
  <c r="U3" i="2"/>
  <c r="S3" i="2"/>
  <c r="G3" i="2"/>
  <c r="F3" i="2"/>
  <c r="W3" i="2"/>
  <c r="V3" i="2"/>
  <c r="X3" i="2"/>
  <c r="R3" i="2"/>
</calcChain>
</file>

<file path=xl/sharedStrings.xml><?xml version="1.0" encoding="utf-8"?>
<sst xmlns="http://schemas.openxmlformats.org/spreadsheetml/2006/main" count="9126" uniqueCount="6073">
  <si>
    <t>PMID</t>
  </si>
  <si>
    <t>Title</t>
  </si>
  <si>
    <t>Affiliated (1 = primary, 2 = secondary)</t>
  </si>
  <si>
    <t>Research Topic</t>
  </si>
  <si>
    <t>Samples</t>
  </si>
  <si>
    <t xml:space="preserve">Number of proteins Investigated </t>
  </si>
  <si>
    <t xml:space="preserve">Number of Proteins Associated </t>
  </si>
  <si>
    <t xml:space="preserve">Number of Proteins Found to be Significant </t>
  </si>
  <si>
    <t>Biomarkers</t>
  </si>
  <si>
    <t>Panels</t>
  </si>
  <si>
    <t>Assays / Protein Classes</t>
  </si>
  <si>
    <t>Comment</t>
  </si>
  <si>
    <t>Authors</t>
  </si>
  <si>
    <t>Citation</t>
  </si>
  <si>
    <t>First Author</t>
  </si>
  <si>
    <t>Journal/Book</t>
  </si>
  <si>
    <t>Publication Year</t>
  </si>
  <si>
    <t>Create Date</t>
  </si>
  <si>
    <t>PMCID</t>
  </si>
  <si>
    <t>NIHMS ID</t>
  </si>
  <si>
    <t>DOI</t>
  </si>
  <si>
    <t xml:space="preserve">Assays Run </t>
  </si>
  <si>
    <t>Effect of empagliflozin on circulating proteomics in heart failure: mechanistic insights into the EMPEROR programme</t>
  </si>
  <si>
    <t>Cardiovascular</t>
  </si>
  <si>
    <t>insulin-like growth factor-binding protein 1, transferrin receptor protein 1, carbonic anhydrase 2, erythropoietin, protein-glutamine gamma-glutamyltransferase 2, thymosin beta-10, U-type mitochondrial creatine kinase, insulin-like growth factor-binding protein 4, and adipocyte fatty acid-binding protein</t>
  </si>
  <si>
    <t>Explore 1536</t>
  </si>
  <si>
    <t>Clinical trial; Changes in circulating protein levels in patients with heart failure are consistent with the findings of experimental studies that have shown that the effects of SGLT2 inhibitors are likely related to actions on the heart and kidney to promote autophagic flux, nutrient deprivation signalling and transmembrane sodium transport.</t>
  </si>
  <si>
    <t>Zannad F, Ferreira JP, Butler J, Filippatos G, Januzzi JL, Sumin M, Zwick M, Saadati M, Pocock SJ, Sattar N, Anker SD, Packer M.</t>
  </si>
  <si>
    <t>Eur Heart J. 2022 Dec 21;43(48):4991-5002. doi: 10.1093/eurheartj/ehac495.</t>
  </si>
  <si>
    <t>Zannad F</t>
  </si>
  <si>
    <t>Eur Heart J</t>
  </si>
  <si>
    <t>PMC9769969</t>
  </si>
  <si>
    <t>10.1093/eurheartj/ehac495</t>
  </si>
  <si>
    <t>Pathophysiologic Processes and Novel Biomarkers Associated With Congestion in Heart Failure</t>
  </si>
  <si>
    <t xml:space="preserve">Cardiovascular </t>
  </si>
  <si>
    <t xml:space="preserve"> FGF-23, FGF-21, CA-125, soluble ST2, GDF-15, FABP4, IL-6, and BNP,KITLG, EGF, and PON3</t>
  </si>
  <si>
    <t>Target 96 CVDII, CDVIII, immune response, oncology II</t>
  </si>
  <si>
    <t>The identified biomarkers may become useful for diagnosing and monitoring congestion status.</t>
  </si>
  <si>
    <t>Pandhi P, Ter Maaten JM, Anker SD, Ng LL, Metra M, Samani NJ, Lang CC, Dickstein K, de Boer RA, van Veldhuisen DJ, Voors AA, Sama IE.</t>
  </si>
  <si>
    <t>JACC Heart Fail. 2022 Sep;10(9):623-632. doi: 10.1016/j.jchf.2022.05.013.</t>
  </si>
  <si>
    <t>Pandhi P</t>
  </si>
  <si>
    <t>JACC Heart Fail</t>
  </si>
  <si>
    <t>10.1016/j.jchf.2022.05.013</t>
  </si>
  <si>
    <t>An atlas of genetic scores to predict multi-omic traits</t>
  </si>
  <si>
    <t>Methods Dev</t>
  </si>
  <si>
    <t xml:space="preserve">Olink and SOmaScan were used; using biobanked samples </t>
  </si>
  <si>
    <t>Xu Y, Ritchie SC, Liang Y, Timmers PRHJ, Pietzner M, Lannelongue L, Lambert SA, Tahir UA, May-Wilson S, Foguet C, Johansson Å, Surendran P, Nath AP, Persyn E, Peters JE, Oliver-Williams C, Deng S, Prins B, Luan J, Bomba L, Soranzo N, Di Angelantonio E, Pirastu N, Tai ES, van Dam RM, Parkinson H, Davenport EE, Paul DS, Yau C, Gerszten RE, Mälarstig A, Danesh J, Sim X, Langenberg C, Wilson JF, Butterworth AS, Inouye M.</t>
  </si>
  <si>
    <t>Nature. 2023 Apr;616(7955):123-131. doi: 10.1038/s41586-023-05844-9. Epub 2023 Mar 29.</t>
  </si>
  <si>
    <t>Xu Y</t>
  </si>
  <si>
    <t>Nature</t>
  </si>
  <si>
    <t>10.1038/s41586-023-05844-9</t>
  </si>
  <si>
    <t>N/A</t>
  </si>
  <si>
    <t>Technical performance of a proximity extension assay inflammation biomarker panel with synovial fluid</t>
  </si>
  <si>
    <t xml:space="preserve">Inflammation </t>
  </si>
  <si>
    <t>Olink and MSD were compared. Interesting takeaways, looking to use Olink un synovial fluid</t>
  </si>
  <si>
    <t>Struglics A, Larsson S, Lohmander LS, Swärd P.</t>
  </si>
  <si>
    <t>Osteoarthr Cartil Open. 2022 Jul 7;4(3):100293. doi: 10.1016/j.ocarto.2022.100293. eCollection 2022 Sep.</t>
  </si>
  <si>
    <t>Struglics A</t>
  </si>
  <si>
    <t>Osteoarthr Cartil Open</t>
  </si>
  <si>
    <t>PMC9718077</t>
  </si>
  <si>
    <t>10.1016/j.ocarto.2022.100293</t>
  </si>
  <si>
    <t>Determination of temporal reproducibility and variability of cancer biomarkers in serum and EDTA plasma samples using a proximity extension assay</t>
  </si>
  <si>
    <t>Immuno-oncology</t>
  </si>
  <si>
    <t xml:space="preserve">For 36 proteins, the serum and plasma values were not comparable due to high variability of the ratio, poor correlation, or possible concentration effect. For the bridging samples, the mean intra-study inter-assay coefficient of variation (CV) ranged from 11.3% to 26.1%. The mean inter-study CV was 42.0% before normalization and 26.2% after normalization. Inter-study results were well correlated (r ≥ 0.93), especially for studies using the same version of the panel (r ≥ 0.99).
</t>
  </si>
  <si>
    <t>Christensen TD, Maag E, Madsen K, Lindgaard SC, Nielsen DL, Johansen JS.</t>
  </si>
  <si>
    <t>Clin Proteomics. 2022 Nov 15;19(1):39. doi: 10.1186/s12014-022-09380-y.</t>
  </si>
  <si>
    <t>Christensen TD</t>
  </si>
  <si>
    <t>Clin Proteomics</t>
  </si>
  <si>
    <t>PMC9664820</t>
  </si>
  <si>
    <t>10.1186/s12014-022-09380-y</t>
  </si>
  <si>
    <t>Plasma Olink Proteomics Identifies CCL20 as a Novel Predictive and Diagnostic Inflammatory Marker for Preeclampsia</t>
  </si>
  <si>
    <t>Womens Health</t>
  </si>
  <si>
    <t>1</t>
  </si>
  <si>
    <t>CCL20</t>
  </si>
  <si>
    <t>A total of 28 inflammation-related markers differed between the PE and control groups. Among them, fibroblast growth factor 21 (FGF-21) and cysteine-cysteine motif chemokine ligand 20 (CCL20) had the largest fold changes. We further validated the levels of CCL20 in the late (43 with PE and 44 controls) and early (37 with PE and 37 controls) pregnancy maternal plasma using enzyme-linked immunosorbent assay (ELISA). To the best of our knowledge, for the first time, CCL20 was found to be upregulated in the late and early pregnancy plasma of patients with PE and had an area under the curve (AUC) of 0.753 and 0.668, respectively. In conclusion, patients with PE had increased levels of most inflammatory markers, and CCL20 might be a novel potential predictive and diagnostic biomarker for PE.</t>
  </si>
  <si>
    <t>Wang X, Yip KC, He A, Tang J, Liu S, Yan R, Zhang Q, Li R.</t>
  </si>
  <si>
    <t>J Proteome Res. 2022 Dec 2;21(12):2998-3006. doi: 10.1021/acs.jproteome.2c00544. Epub 2022 Oct 27.</t>
  </si>
  <si>
    <t>Wang X</t>
  </si>
  <si>
    <t>J Proteome Res</t>
  </si>
  <si>
    <t>PMC9724708</t>
  </si>
  <si>
    <t>10.1021/acs.jproteome.2c00544</t>
  </si>
  <si>
    <t>Discovery of novel glioma serum biomarkers by proximity extension assay</t>
  </si>
  <si>
    <t>Oncology</t>
  </si>
  <si>
    <t>GFAP, NEFL, EDDM3B, PROK1, MMP3, CTRL, GP2, SPINT3, FABP4, ALDH3A1, IL-12B and OXT</t>
  </si>
  <si>
    <t>Explore 3072</t>
  </si>
  <si>
    <t xml:space="preserve"> Partition algorithms and logistic regression algorithms with two biomarkers (GFAP and FABP4) achieved sensitivity of 83% and 93% at 100% and 90% specificity, respectively. The strongest single marker was GFAP with an area under the ROC curve (AUC) of 0.86. The AUC for the GFAP-FABP4 combination was 0.98.</t>
  </si>
  <si>
    <t>Ghorbani A, Avery LM, Sohaei D, Soosaipillai A, Richer M, Horbinski C, McCortney K, Xu W, Diamandis EP, Prassas I.</t>
  </si>
  <si>
    <t>Clin Proteomics. 2023 Mar 24;20(1):12. doi: 10.1186/s12014-023-09400-5.</t>
  </si>
  <si>
    <t>Ghorbani A</t>
  </si>
  <si>
    <t>PMC10037798</t>
  </si>
  <si>
    <t>10.1186/s12014-023-09400-5</t>
  </si>
  <si>
    <t>Characterization of the inflammatory proteome of synovial fluid from patients with psoriatic arthritis: Potential treatment targets</t>
  </si>
  <si>
    <t>Immunology (Arthrits)</t>
  </si>
  <si>
    <t>NFα, IL-17A, IL-6, IL-10, IL-8, ENRAGE, CCL20, TNFSF-14, OSM, IFNγ, MCP-3, CXCL-11, MCP4, CASP-8, CXCL-6, CD-6, ADA, CXCL-10, TNFβ and IL-7</t>
  </si>
  <si>
    <t>Target 96 Inflammation</t>
  </si>
  <si>
    <t>This is the first study that characterizes the inflammatory landscape of synovial fluid of PsA patients by analyzing a panel of 92 inflammatory proteins using PEA technology. Novel SF proteins have been described as potential pathogenic molecules involved in the pathogenesis of PsA. Despite the flare, inflammatory proteome could distinguish two different phenotypes related to systemic inflammation and lipid and glucose alterations.</t>
  </si>
  <si>
    <t>Barbarroja N, López-Montilla MD, Cuesta-López L, Pérez-Sánchez C, Ruiz-Ponce M, López-Medina C, Ladehesa-Pineda ML, López-Pedrera C, Escudero-Contreras A, Collantes-Estévez E, Arias-de la Rosa I.</t>
  </si>
  <si>
    <t>Front Immunol. 2023 Mar 22;14:1133435. doi: 10.3389/fimmu.2023.1133435. eCollection 2023.</t>
  </si>
  <si>
    <t>Barbarroja N</t>
  </si>
  <si>
    <t>Front Immunol</t>
  </si>
  <si>
    <t>PMC10073963</t>
  </si>
  <si>
    <t>10.3389/fimmu.2023.1133435</t>
  </si>
  <si>
    <t>Plasma Kidney Injury Molecule-1 in Systemic Lupus Erythematosus: Discordance Between ELISA and Proximity Extension Assay</t>
  </si>
  <si>
    <t>KIM-1</t>
  </si>
  <si>
    <t>Targeted studies looking at ocmparing Olink &amp; ELISA; n this study, we found differences in the concordance of plasma KIM-1 measurements by proximity extension assay versus ELISA according to SLE status.</t>
  </si>
  <si>
    <t>Schmidt IM, Colona MR, Srivastava A, Yu G, Sabbisetti V, Bonventre JV, Waikar SS.</t>
  </si>
  <si>
    <t>Kidney Med. 2022 Jun 2;4(8):100496. doi: 10.1016/j.xkme.2022.100496. eCollection 2022 Aug.</t>
  </si>
  <si>
    <t>Schmidt IM</t>
  </si>
  <si>
    <t>Kidney Med</t>
  </si>
  <si>
    <t>PMC9437607</t>
  </si>
  <si>
    <t>10.1016/j.xkme.2022.100496</t>
  </si>
  <si>
    <t>Exploratory analysis of interleukin-38 in hospitalized COVID-19 patients</t>
  </si>
  <si>
    <t>Infectious Disease</t>
  </si>
  <si>
    <t>IL-38</t>
  </si>
  <si>
    <t>Inflammatory, Cardiovascular II, cardiometabolic</t>
  </si>
  <si>
    <t xml:space="preserve">92, and 276 proteins were investigsted but there was only one protein target in mind.  IL-38 was also measured with BT's ELISA </t>
  </si>
  <si>
    <t>de Graaf DM, Teufel LU, de Nooijer AH, van Gammeren AJ, Ermens AAM, Gaál IO, Crișan TO, van de Veerdonk FL, Netea MG, Dinarello CA, Joosten LAB, Arts RJW; Radboudumc Center for Infectious Diseases COVID-19 Study Group.</t>
  </si>
  <si>
    <t>Immun Inflamm Dis. 2022 Nov;10(11):e712. doi: 10.1002/iid3.712.</t>
  </si>
  <si>
    <t>de Graaf DM</t>
  </si>
  <si>
    <t>Immun Inflamm Dis</t>
  </si>
  <si>
    <t>PMC9601778</t>
  </si>
  <si>
    <t>10.1002/iid3.712</t>
  </si>
  <si>
    <t>TACE/ADAM17 substrates associate with ACS (Ep-CAM, HB-EGF) and follow-up MACE (TNFR1 and TNFR2)</t>
  </si>
  <si>
    <t>LAG-3, HB-EGF and Ep-CAM, TNFR1 and TNFR2</t>
  </si>
  <si>
    <t xml:space="preserve">CVDII, CVDIII, immune response, inflammation </t>
  </si>
  <si>
    <t>We demonstrate a possible role of TACE substrates LAG-3, HB-EGF and Ep-CAM in atherosclerotic plaque development and stability. We also underline the importance of measuring TNFR1 and TNFR2 earlier than previously appreciated for MACE prediction. We report an important role of TIMP3 in regulating TACE levels.</t>
  </si>
  <si>
    <t>Chemaly M, McAllister R, Peace A, Bjourson AJ, Watterson S, Parton A, Clauss M, McGilligan V.</t>
  </si>
  <si>
    <t>Atheroscler Plus. 2022 Sep 28;50:40-49. doi: 10.1016/j.athplu.2022.09.001. eCollection 2022 Dec.</t>
  </si>
  <si>
    <t>Chemaly M</t>
  </si>
  <si>
    <t>Atheroscler Plus</t>
  </si>
  <si>
    <t>PMC9833260</t>
  </si>
  <si>
    <t>10.1016/j.athplu.2022.09.001</t>
  </si>
  <si>
    <t>Plasma biomarkers for systemic inflammation in COVID-19 survivors</t>
  </si>
  <si>
    <t>CXCL10</t>
  </si>
  <si>
    <t>Target96 inflammation</t>
  </si>
  <si>
    <t xml:space="preserve">Done alongside a Biolegend quant panel, bead based assay; </t>
  </si>
  <si>
    <t>Zhao J, Schank M, Wang L, Dang X, Cao D, Khanal S, Nguyen LNT, Zhang Y, Wu XY, Adkins JL, Pelton BJ, Zhang J, Ning S, Gazzar ME, Moorman JP, Yao ZQ.</t>
  </si>
  <si>
    <t>Proteomics Clin Appl. 2022 Sep;16(5):e2200031. doi: 10.1002/prca.202200031. Epub 2022 Aug 15.</t>
  </si>
  <si>
    <t>Zhao J</t>
  </si>
  <si>
    <t>Proteomics Clin Appl</t>
  </si>
  <si>
    <t>PMC9539278</t>
  </si>
  <si>
    <t>10.1002/prca.202200031</t>
  </si>
  <si>
    <t>A Dedicated 21-Plex Proximity Extension Assay Panel for High-Sensitivity Protein Biomarker Detection Using Microdialysis in Severe Traumatic Brain Injury: The Next Step in Precision Medicine?</t>
  </si>
  <si>
    <t>Neurology</t>
  </si>
  <si>
    <t>Custom Olink Flex</t>
  </si>
  <si>
    <t xml:space="preserve"> The PEA method is a highly sensitive molecular tool for protein profiling from cerebral tissue in TBI. The novel TBI dedicated 21-plex panel showed marked regulation of proteins belonging to the inflammation, plasticity/repair, and axonal injury families. The method may enable important insights into complex injury processes on a molecular level that may be of value in future efforts to tailor pharmacological TBI trials to better address specific disease processes and optimize timing of treatments.</t>
  </si>
  <si>
    <t>Dyhrfort P, Wettervik TS, Clausen F, Enblad P, Hillered L, Lewén A.</t>
  </si>
  <si>
    <t>Neurotrauma Rep. 2023 Jan 11;4(1):25-40. doi: 10.1089/neur.2022.0067. eCollection 2023.</t>
  </si>
  <si>
    <t>Dyhrfort P</t>
  </si>
  <si>
    <t>Neurotrauma Rep</t>
  </si>
  <si>
    <t>PMC9886191</t>
  </si>
  <si>
    <t>10.1089/neur.2022.0067</t>
  </si>
  <si>
    <t>Proteomic characterization of atopic dermatitis blood from infancy to adulthood</t>
  </si>
  <si>
    <t>Immunology</t>
  </si>
  <si>
    <t xml:space="preserve">interleukin 4/CCL13/CCL17,interferon γ/CXCL9/CXCL10/CCL2,interleukin 17C/ interleukin-1RN), T-cell activation/migration (CCL19), Th2 (CCL13/CCL17), and Th17 (PI3) </t>
  </si>
  <si>
    <t>Each group presented a distinct systemic proteomic signature. Th2-related proteins were increased in infant AD and further intensified with age through adolescence and adulthood (interleukin 4/CCL13/CCL17). In contrast, Th1 axis down-regulation was detected in infants with AD and gradually reversed to increased Th1 products (interferon γ/CXCL9/CXCL10/CCL2) in patients with AD from childhood to adulthood. Despite their short disease duration, infants already had evidence of systemic inflammation, with significant upregulation of innate immunity (interleukin 17C/ interleukin-1RN), T-cell activation/migration (CCL19), Th2 (CCL13/CCL17), and Th17 (PI3) proteins. Adults with AD present unique upregulation of cardiovascular proteins related to coagulation and diabetes.</t>
  </si>
  <si>
    <t>Del Duca E, Renert-Yuval Y, Pavel AB, Mikhaylov D, Wu J, Lefferdink R, Fang M, Sheth A, Blumstein A, Facheris P, Estrada YD, Rangel SM, Krueger JG, Paller AS, Guttman-Yassky E.</t>
  </si>
  <si>
    <t>J Am Acad Dermatol. 2023 May;88(5):1083-1093. doi: 10.1016/j.jaad.2022.12.050. Epub 2023 Feb 10.</t>
  </si>
  <si>
    <t>Del Duca E</t>
  </si>
  <si>
    <t>J Am Acad Dermatol</t>
  </si>
  <si>
    <t>10.1016/j.jaad.2022.12.050</t>
  </si>
  <si>
    <t>Combining Deep Phenotyping of Serum Proteomics and Clinical Data via Machine Learning for COVID-19 Biomarker Discovery</t>
  </si>
  <si>
    <t>CD200R1, MCP1, MCP3, IL6, LTBP2, MATN3, TRANCE, α2-MRAP, and KIT</t>
  </si>
  <si>
    <t>Target 96 Inflammation, cardiometabolic, neurology</t>
  </si>
  <si>
    <t>By analyzing PEA, clinical and hematochemical data with statistical methods that were able to handle many variables in the presence of a relatively small sample size, we identified nine potential serum biomarkers of a “severe” outcome. Most of these were confirmed by literature data. Importantly, we found three biomarkers associated with central nervous system pathologies and protective factors, which were downregulated in the most severe cases.</t>
  </si>
  <si>
    <t>Beltrami AP, De Martino M, Dalla E, Malfatti MC, Caponnetto F, Codrich M, Stefanizzi D, Fabris M, Sozio E, D'Aurizio F, Pucillo CEM, Sechi LA, Tascini C, Curcio F, Foresti GL, Piciarelli C, De Nardin A, Tell G, Isola M.</t>
  </si>
  <si>
    <t>Int J Mol Sci. 2022 Aug 15;23(16):9161. doi: 10.3390/ijms23169161.</t>
  </si>
  <si>
    <t>Beltrami AP</t>
  </si>
  <si>
    <t>Int J Mol Sci</t>
  </si>
  <si>
    <t>PMC9409308</t>
  </si>
  <si>
    <t>10.3390/ijms23169161</t>
  </si>
  <si>
    <t>Quantitative Proteomics Indicate Radical Removal of Non-Small Cell Lung Cancer and Predict Outcome</t>
  </si>
  <si>
    <t>MIC-a/b,  FASLG</t>
  </si>
  <si>
    <t>Target 96 Oncology II</t>
  </si>
  <si>
    <t>In conclusion, quantitative proteomics could be used for NSCLC identification but may also provide information on radical surgical removal of NSCLC and post-surgical prognosis.</t>
  </si>
  <si>
    <t>Bodén E, Andreasson J, Hirdman G, Malmsjö M, Lindstedt S.</t>
  </si>
  <si>
    <t>Biomedicines. 2022 Oct 28;10(11):2738. doi: 10.3390/biomedicines10112738.</t>
  </si>
  <si>
    <t>Bodén E</t>
  </si>
  <si>
    <t>Biomedicines</t>
  </si>
  <si>
    <t>PMC9687227</t>
  </si>
  <si>
    <t>10.3390/biomedicines10112738</t>
  </si>
  <si>
    <t>Multiplex proteomics using proximity extension assay for the identification of protein biomarkers predictive of acute graft-vs.-host disease in allogeneic hematopoietic cell transplantation</t>
  </si>
  <si>
    <t>SLAMF7, IL-1ra, BTN3A2 and DAB2</t>
  </si>
  <si>
    <t>We conclude that serum proteins identified using multiplex proteomics, particularly SLAMF7, IL-1ra, BTN3A2 and DAB2, may potentially predict aGVHD.</t>
  </si>
  <si>
    <t>Pasic I, Ren AH, Nampoothiri RV, Prassas I, Lipton JH, Mattsson J, Diamandis EP, Michelis FV.</t>
  </si>
  <si>
    <t>Clin Chem Lab Med. 2023 Jan 20. doi: 10.1515/cclm-2022-0916. Online ahead of print.</t>
  </si>
  <si>
    <t>Pasic I</t>
  </si>
  <si>
    <t>Clin Chem Lab Med</t>
  </si>
  <si>
    <t>10.1515/cclm-2022-0916</t>
  </si>
  <si>
    <t>Plasma protein profiling reveals dynamic immunomodulatory changes in multiple sclerosis patients during pregnancy</t>
  </si>
  <si>
    <t xml:space="preserve"> PD-L1, LIF-R, TGF-β1, and CCL28,CCL8, CCL13, and CXCL5, TRANCE and TWEAK</t>
  </si>
  <si>
    <t xml:space="preserve">Thus, this pattern reflects the disease activity of MS during pregnancy. Among the differentially expressed proteins in pregnancy, several proteins with known immunoregulatory properties were upregulated, such as PD-L1, LIF-R, TGF-β1, and CCL28. On the other hand, inflammatory chemokines such as CCL8, CCL13, and CXCL5, as well as members of the tumor necrosis factor family, TRANCE and TWEAK, were downregulated. </t>
  </si>
  <si>
    <t>Papapavlou Lingehed G, Hellberg S, Huang J, Khademi M, Kockum I, Carlsson H, Tjernberg I, Svenvik M, Lind J, Blomberg M, Vrethem M, Mellergård J, Gustafsson M, Jenmalm MC, Olsson T, Ernerudh J.</t>
  </si>
  <si>
    <t>Front Immunol. 2022 Jul 29;13:930947. doi: 10.3389/fimmu.2022.930947. eCollection 2022.</t>
  </si>
  <si>
    <t>Papapavlou Lingehed G</t>
  </si>
  <si>
    <t>PMC9373039</t>
  </si>
  <si>
    <t>10.3389/fimmu.2022.930947</t>
  </si>
  <si>
    <t>Galectin-4 levels in hospitalized versus non-hospitalized subjects with obesity: the Malmö Preventive Project</t>
  </si>
  <si>
    <t>Gal-4, IGFBP-1</t>
  </si>
  <si>
    <t>Target 96 CVDIII</t>
  </si>
  <si>
    <t xml:space="preserve"> In middle-aged and older individuals with obesity, increased Gal-4 levels were associated with a higher probability of HO. This association was only significant in subjects with diabetes only, further implying a role for Gal-4 in diabetes and its complications.
</t>
  </si>
  <si>
    <t>Korduner J, Holm H, Jujic A, Melander O, Pareek M, Molvin J, Råstam L, Lindblad U, Daka B, Leosdottir M, Nilsson PM, Bachus E, Olsen MH, Magnusson M.</t>
  </si>
  <si>
    <t>Cardiovasc Diabetol. 2022 Jul 2;21(1):125. doi: 10.1186/s12933-022-01559-9.</t>
  </si>
  <si>
    <t>Korduner J</t>
  </si>
  <si>
    <t>Cardiovasc Diabetol</t>
  </si>
  <si>
    <t>PMC9250274</t>
  </si>
  <si>
    <t>10.1186/s12933-022-01559-9</t>
  </si>
  <si>
    <t>Long-Lasting Imprint in the Soluble Inflammatory Milieu Despite Early Treatment of Acute Symptomatic Hepatitis C</t>
  </si>
  <si>
    <t>IL-6, CXCL-10, CP4,IL-7, CDCP1, IL-18, C244)</t>
  </si>
  <si>
    <t xml:space="preserve">Target96 Inflammation </t>
  </si>
  <si>
    <t>Khera T, Du Y, Todt D, Deterding K, Strunz B, Hardtke S, Aregay A, Port K, Hardtke-Wolenski M, Steinmann E, Björkström NK, Manns MP, Hengst J, Cornberg M, Wedemeyer H.</t>
  </si>
  <si>
    <t>J Infect Dis. 2022 Aug 26;226(3):441-452. doi: 10.1093/infdis/jiab048.</t>
  </si>
  <si>
    <t>Khera T</t>
  </si>
  <si>
    <t>J Infect Dis</t>
  </si>
  <si>
    <t>PMC9417126</t>
  </si>
  <si>
    <t>10.1093/infdis/jiab048</t>
  </si>
  <si>
    <t>Novel biomarkers and emerging tools to identify causal molecular pathways in hypertension and associated cardiovascular diseases</t>
  </si>
  <si>
    <t>Renal</t>
  </si>
  <si>
    <t>CD40, TNFRSF9 and IL10RB</t>
  </si>
  <si>
    <t>Józefczuk E, Guzik TJ, Siedlinski M.</t>
  </si>
  <si>
    <t>Kardiol Pol. 2023;81(3):221-231. doi: 10.33963/KP.a2023.0037. Epub 2023 Feb 5.</t>
  </si>
  <si>
    <t>Józefczuk E</t>
  </si>
  <si>
    <t>Kardiol Pol</t>
  </si>
  <si>
    <t>10.33963/KP.a2023.0037</t>
  </si>
  <si>
    <t>Subtype-specific plasma signatures of platelet-related protein releasate in acute pulmonary embolism</t>
  </si>
  <si>
    <t xml:space="preserve"> Cardiovascular</t>
  </si>
  <si>
    <t>Baidildinova G, Ten Cate V, Nagler M, Panova-Noeva M, Rapp S, Köck T, Prochaska JH, Heitmeier S, Gerdes C, Schwers S, Konstantinides SV, Münzel T, Espinola-Klein C, Lackner KJ, Spronk HMN, Ten Cate H, van der Meijden PEJ, Leineweber K, Wild PS, Jurk K.</t>
  </si>
  <si>
    <t>Thromb Res. 2022 Dec;220:75-87. doi: 10.1016/j.thromres.2022.10.005. Epub 2022 Oct 13.</t>
  </si>
  <si>
    <t>Baidildinova G</t>
  </si>
  <si>
    <t>Thromb Res</t>
  </si>
  <si>
    <t>10.1016/j.thromres.2022.10.005</t>
  </si>
  <si>
    <t>Proteomics of the phase angle: Results from the population-based KORA S4 study</t>
  </si>
  <si>
    <t>N-terminal prohormone brain natriuretic peptide (NT-proBNP), insulin-like growth factor-binding protein 2 (IGFBP2), adrenomedullin (ADM), myoglobin (MB), matrix metalloproteinase-9 (MMP9), protein-glutamine gamma-glutamyltransferase 2 (TGM2), and fractalkine (CX3CL1</t>
  </si>
  <si>
    <t>Target 96 Inflammation, CVDII, CVDIII</t>
  </si>
  <si>
    <t>Implementing a proteomics approach, we identified six new protein markers strongly associated with the PhA and confirmed that NT-proBNP is a key PhA marker. The main biological processes that were related to this PhA's protein profile are involved in regulating the amount and growth of cells, reinforcing, from a biomedical perspective, the current technical-based consensus of the PhA to reflect body cell mass.</t>
  </si>
  <si>
    <t>Huemer MT, Petrera A, Hauck SM, Drey M, Peters A, Thorand B.</t>
  </si>
  <si>
    <t>Clin Nutr. 2022 Aug;41(8):1818-1826. doi: 10.1016/j.clnu.2022.06.038. Epub 2022 Jun 30.</t>
  </si>
  <si>
    <t>Huemer MT</t>
  </si>
  <si>
    <t>Clin Nutr</t>
  </si>
  <si>
    <t>10.1016/j.clnu.2022.06.038</t>
  </si>
  <si>
    <t>Evaluation of pre-processing methods for tear fluid proteomics using proximity extension assays</t>
  </si>
  <si>
    <t>Methods Dev (Use of tears)</t>
  </si>
  <si>
    <t>Our study showed beneficial use of punches of any part of the strip except the head in future biomarker research.</t>
  </si>
  <si>
    <t>Vergouwen DPC, Schotting AJ, Endermann T, van de Werken HJG, Grashof DGB, Arumugam S, Nuijts RMMA, Ten Berge JC, Rothova A, Schreurs MWJ, Gijs M.</t>
  </si>
  <si>
    <t>Sci Rep. 2023 Mar 17;13(1):4433. doi: 10.1038/s41598-023-31227-1.</t>
  </si>
  <si>
    <t>Vergouwen DPC</t>
  </si>
  <si>
    <t>Sci Rep</t>
  </si>
  <si>
    <t>PMC10023677</t>
  </si>
  <si>
    <t>10.1038/s41598-023-31227-1</t>
  </si>
  <si>
    <t>Novel biomarkers of inflammation, kidney function and chronic kidney disease in the general population</t>
  </si>
  <si>
    <t xml:space="preserve">Renal </t>
  </si>
  <si>
    <t>Nine of the 42 biomarkers were associated with incident CKD independent of cardiorenal risk factors in the meta-analysis of the KORA (n = 142, mean follow-up 6.5 years) and ESTHER (n = 103, mean follow-up 8 years) studies. Pathway analysis revealed the involvement of inflammatory and immunomodulatory processes reflecting cross-communication of innate and adaptive immune cells.</t>
  </si>
  <si>
    <t>Nano J, Schöttker B, Lin JS, Huth C, Ghanbari M, Garcia PM, Maalmi H, Karrasch S, Koenig W, Rothenbacher D, Roden M, Meisinger C, Peters A, Brenner H, Herder C, Thorand B.</t>
  </si>
  <si>
    <t>Nephrol Dial Transplant. 2022 Sep 22;37(10):1916-1926. doi: 10.1093/ndt/gfab294.</t>
  </si>
  <si>
    <t>Nano J</t>
  </si>
  <si>
    <t>Nephrol Dial Transplant</t>
  </si>
  <si>
    <t>10.1093/ndt/gfab294</t>
  </si>
  <si>
    <t>Cerebrospinal fluid proteomic study of two bipolar disorder cohorts</t>
  </si>
  <si>
    <t>Target 96 inflammation, oncology and CVDI</t>
  </si>
  <si>
    <t>. After quality control and removal of proteins with a low detection rate, 105 proteins remained for analyses in relation to case-control status and clinical variables. Only case-control differences that replicated across cohorts were considered. Results adjusted for potential confounders showed that CSF concentrations of growth hormone were lower in bipolar disorder compared with controls in both cohorts. The effect size was larger when the analysis was restricted to bipolar disorder type 1 and controls. We found no indications of immune activation or other aberrations. Growth hormone exerts many effects in the central nervous system and our findings suggest that growth hormone might be implicated in the pathophysiology of bipolar disorder.</t>
  </si>
  <si>
    <t>Isgren A, Göteson A, Holmén-Larsson J, Pelanis A, Sellgren C, Joas E, Sparding T, Zetterberg H, Smedler E, Jakobsson J, Landén M.</t>
  </si>
  <si>
    <t>Mol Psychiatry. 2022 Nov;27(11):4568-4574. doi: 10.1038/s41380-022-01724-2. Epub 2022 Aug 19.</t>
  </si>
  <si>
    <t>Isgren A</t>
  </si>
  <si>
    <t>Mol Psychiatry</t>
  </si>
  <si>
    <t>PMC9734044</t>
  </si>
  <si>
    <t>10.1038/s41380-022-01724-2</t>
  </si>
  <si>
    <t>Increased inflammatory markers in adult patients born with an atrial septal defect</t>
  </si>
  <si>
    <t>Target 96 inflammaiton</t>
  </si>
  <si>
    <t>Multiple inflammatory pathways showed stronger enrichment in both patient groups when compared with controls. In conclusion, inflammatory activity is altered in adult patients with an unrepaired ASD compared with healthy controls. The increased inflammatory burden of patients with an unrepaired ASD may contribute to the development of morbidities.</t>
  </si>
  <si>
    <t>Schram AL, Sellmer A, Nyboe C, Sillesen M, Hjortdal VE.</t>
  </si>
  <si>
    <t>Front Cardiovasc Med. 2022 Aug 1;9:925314. doi: 10.3389/fcvm.2022.925314. eCollection 2022.</t>
  </si>
  <si>
    <t>Schram AL</t>
  </si>
  <si>
    <t>Front Cardiovasc Med</t>
  </si>
  <si>
    <t>PMC9377416</t>
  </si>
  <si>
    <t>10.3389/fcvm.2022.925314</t>
  </si>
  <si>
    <t>Exhaled phospholipid transfer protein and hepatocyte growth factor receptor in lung adenocarcinoma</t>
  </si>
  <si>
    <t>PLTP,MET</t>
  </si>
  <si>
    <t>Target 96 Cardiometabolic I</t>
  </si>
  <si>
    <t>Ray biotech was used as an ELISA; Collection of EBP and measuring of PFR has never been performed in patients with LUAD. In the present study PFR alone could distinguish between LUAD and patients without LUAD. PLTP and MET were identified as potential biomarkers to evaluate successful tumor excision.</t>
  </si>
  <si>
    <t>Andreasson J, Bodén E, Fakhro M, von Wachter C, Olm F, Malmsjö M, Hallgren O, Lindstedt S.</t>
  </si>
  <si>
    <t>Respir Res. 2022 Dec 21;23(1):369. doi: 10.1186/s12931-022-02302-4.</t>
  </si>
  <si>
    <t>Andreasson J</t>
  </si>
  <si>
    <t>Respir Res</t>
  </si>
  <si>
    <t>PMC9768396</t>
  </si>
  <si>
    <t>10.1186/s12931-022-02302-4</t>
  </si>
  <si>
    <t>The mRNA vaccine BNT162b2 demonstrates impaired TH1 immunogenicity in human elders in vitro and aged mice in vivo</t>
  </si>
  <si>
    <t xml:space="preserve">Infectious Disease </t>
  </si>
  <si>
    <t xml:space="preserve"> Our study demonstrates the utility of a human in vitro platform to model age-specific mRNA vaccine activity, highlights impaired TH1 immunogenicity in older adults, and provides rationale for developing enhanced mRNA vaccines with greater immunogenicity in vulnerable populations.</t>
  </si>
  <si>
    <t>Brook B, Fatou B, Checkervarty A, Barman S, Sweitzer C, Bosco AN, Sherman A, Baden LR, Morrocchi E, Sanchez-Schmitz G, Palma P, Nanishi E, O'Meara T, McGrath M, Frieman M, Soni D, van Haren S, Ozonoff A, Diray-Arce J, Steen H, Dowling D, Levy O.</t>
  </si>
  <si>
    <t>Res Sq. 2022 Dec 21:rs.3.rs-2395118. doi: 10.21203/rs.3.rs-2395118/v1. Preprint.</t>
  </si>
  <si>
    <t>Brook B</t>
  </si>
  <si>
    <t>Res Sq</t>
  </si>
  <si>
    <t>PMC9810224</t>
  </si>
  <si>
    <t>10.21203/rs.3.rs-2395118/v1</t>
  </si>
  <si>
    <t>The blood proteomic signature of prurigo nodularis reveals distinct inflammatory and neuropathic endotypes: A cluster analysis</t>
  </si>
  <si>
    <t>8, 25</t>
  </si>
  <si>
    <t>tumor necrosis factor, C-X-C Motif Chemokine Ligand 9, interleukin-12B, and tumor necrosis factor receptor superfamily member 9</t>
  </si>
  <si>
    <t>This study provides evidence of neuroimmune-biased endotypes in PN and can aid clinicians in managing patients with PN that are nonresponsive to traditional therapies.</t>
  </si>
  <si>
    <t>Parthasarathy V, Cravero K, Xu L, Deng J, Sun Z, Engle SM, Sims JT, Okragly AJ, Kwatra SG.</t>
  </si>
  <si>
    <t>J Am Acad Dermatol. 2023 May;88(5):1101-1109. doi: 10.1016/j.jaad.2023.01.042. Epub 2023 Feb 15.</t>
  </si>
  <si>
    <t>Parthasarathy V</t>
  </si>
  <si>
    <t>10.1016/j.jaad.2023.01.042</t>
  </si>
  <si>
    <t>Investigation of 91 proteins implicated in neurobiological processes identifies multiple candidate plasma biomarkers of stroke outcome</t>
  </si>
  <si>
    <t>37, 47,8</t>
  </si>
  <si>
    <t>Target 96 Neurology</t>
  </si>
  <si>
    <t>Conclusively, we identified multiple candidate plasma biomarkers of stroke severity and neurological outcome meriting further investigation. This study adds novel information, as most of the reported proteins have not been previously investigated in a stroke cohort.</t>
  </si>
  <si>
    <t>Lagging C, Klasson S, Pedersen A, Nilsson S, Jood K, Stanne TM, Jern C.</t>
  </si>
  <si>
    <t>Sci Rep. 2022 Nov 22;12(1):20080. doi: 10.1038/s41598-022-23288-5.</t>
  </si>
  <si>
    <t>Lagging C</t>
  </si>
  <si>
    <t>PMC9684578</t>
  </si>
  <si>
    <t>10.1038/s41598-022-23288-5</t>
  </si>
  <si>
    <t>Novel biomarkers associated with thoracic aortic disease</t>
  </si>
  <si>
    <t>MMP-3, IGFBP-2, NTproBNP, TLT2</t>
  </si>
  <si>
    <t xml:space="preserve">Traget 96 CVDIII </t>
  </si>
  <si>
    <t>Among a broad range of biomarkers, MMP-3 and IGFBP-2 were associated with disease severity in TAD patients. The pathophysiological pathways uncovered by these biomarkers, and their potential clinical use warrants further research.</t>
  </si>
  <si>
    <t>Thijssen CGE, Dekker S, Bons LR, Geenen LW, Gökalp AL, Takkenberg JJM, Mokhles MM, Bekkers JA, Boersma E, Bouwens E, van Kimmenade RRJ, Roos-Hesselink JW.</t>
  </si>
  <si>
    <t>Int J Cardiol. 2023 May 1;378:115-122. doi: 10.1016/j.ijcard.2023.02.006. Epub 2023 Feb 14.</t>
  </si>
  <si>
    <t>Thijssen CGE</t>
  </si>
  <si>
    <t>Int J Cardiol</t>
  </si>
  <si>
    <t>10.1016/j.ijcard.2023.02.006</t>
  </si>
  <si>
    <t>Elevated plasma WIF-1 levels are associated with worse prognosis in heart failure with pulmonary hypertension</t>
  </si>
  <si>
    <t>WIFgrowth hormone, programmed cell death 1 ligand 2, tissue factor pathway inhibitor 2, and Wnt inhibitory factor 1</t>
  </si>
  <si>
    <t>Target 96 CVDII, CVDIII, Oncology 2</t>
  </si>
  <si>
    <t>Kania K, Ahmed A, Ahmed S, Rådegran G.</t>
  </si>
  <si>
    <t>ESC Heart Fail. 2022 Dec;9(6):4139-4149. doi: 10.1002/ehf2.14148. Epub 2022 Sep 9.</t>
  </si>
  <si>
    <t>Kania K</t>
  </si>
  <si>
    <t>ESC Heart Fail</t>
  </si>
  <si>
    <t>PMC9773778</t>
  </si>
  <si>
    <t>10.1002/ehf2.14148</t>
  </si>
  <si>
    <t>A Targeted Proteomics Approach for Screening Serum Biomarkers Observed in the Early Stage of Type I Endometrial Cancer</t>
  </si>
  <si>
    <t>24,20</t>
  </si>
  <si>
    <t>Target 96 Oncology III</t>
  </si>
  <si>
    <t>By applying this methodology, we identified 20 proteins, associated with the outcome at binary logistic regression, with a p-value below 0.01 for the first panel and 24 proteins with a p-value below 0.02 for the second one. The final multivariate logistic regression model, combining proteins from the two panels, generated a model with a sensitivity of 97.67% and a specificity of 83.72%. These results support the use of the proposed algorithm after a validation phase.</t>
  </si>
  <si>
    <t>Ura B, Capaci V, Aloisio M, Di Lorenzo G, Romano F, Ricci G, Monasta L.</t>
  </si>
  <si>
    <t>Biomedicines. 2022 Aug 2;10(8):1857. doi: 10.3390/biomedicines10081857.</t>
  </si>
  <si>
    <t>Ura B</t>
  </si>
  <si>
    <t>PMC9405144</t>
  </si>
  <si>
    <t>10.3390/biomedicines10081857</t>
  </si>
  <si>
    <t>Profiling of extracellular vesicles of metastatic urothelial cancer patients to discover protein signatures related to treatment outcome</t>
  </si>
  <si>
    <t>SYND-1, TNFSF13, FGF-BP1, TFPI-2, GZMH, ABL1 and ERBB3, FR-alpha, TLR 3, TRAIL and FASLG</t>
  </si>
  <si>
    <t xml:space="preserve">Olink used for Evs; Several of the markers in the PFS or best treatment response signatures were also identified by a machine learning classification algorithm. In conclusion, protein profiling of EVs isolated from plasma of mUC patients shows a potential to identify protein signatures that may associate with PFS and/or treatment response.
</t>
  </si>
  <si>
    <t>Viktorsson K, Hååg P, Shah CH, Franzén B, Arapi V, Holmsten K, Sandström P, Lewensohn R, Ullén A.</t>
  </si>
  <si>
    <t>Mol Oncol. 2022 Oct;16(20):3620-3641. doi: 10.1002/1878-0261.13288. Epub 2022 Aug 12.</t>
  </si>
  <si>
    <t>Viktorsson K</t>
  </si>
  <si>
    <t>Mol Oncol</t>
  </si>
  <si>
    <t>PMC9580890</t>
  </si>
  <si>
    <t>10.1002/1878-0261.13288</t>
  </si>
  <si>
    <t>A 92 protein inflammation panel performed on sonicate fluid differentiates periprosthetic joint infection from non-infectious causes of arthroplasty failure</t>
  </si>
  <si>
    <t>Immunology, Infectious Disease</t>
  </si>
  <si>
    <t>CCL11, IL-17A</t>
  </si>
  <si>
    <t>Overall, proteomic profiling using this small protein panel was able to differentiate between PJI and NIAF sonicate samples and provide a better understanding of the immune response during arthroplasty failure.</t>
  </si>
  <si>
    <t>Fisher CR, Salmons HI, Mandrekar J, Greenwood-Quaintance KE, Abdel MP, Patel R.</t>
  </si>
  <si>
    <t>Sci Rep. 2022 Sep 27;12(1):16135. doi: 10.1038/s41598-022-20444-9.</t>
  </si>
  <si>
    <t>Fisher CR</t>
  </si>
  <si>
    <t>PMC9514711</t>
  </si>
  <si>
    <t>10.1038/s41598-022-20444-9</t>
  </si>
  <si>
    <t>Posthemorrhagic hydrocephalus associates with elevated inflammation and CSF hypersecretion via activation of choroidal transporters</t>
  </si>
  <si>
    <t xml:space="preserve">CCL3, CCL4, CCL20, IL-6, IL-10, leukemia inhibitory factor (LIF), MCP-1, OSM, MCP-3, and IL-8 </t>
  </si>
  <si>
    <t>Target 96 Inflammaiton</t>
  </si>
  <si>
    <t>Lost 34 and 78 proteins from analysis in CSF (human + rat); s. The hemorrhage-induced inflammation detected in CSF and in the choroid plexus tissue may represent the underlying pathology. Therapeutic targeting of such pathways may be employed in future treatment strategies towards PHH patients.</t>
  </si>
  <si>
    <t>Lolansen SD, Rostgaard N, Barbuskaite D, Capion T, Olsen MH, Norager NH, Vilhardt F, Andreassen SN, Toft-Bertelsen TL, Ye F, Juhler M, Keep RF, MacAulay N.</t>
  </si>
  <si>
    <t>Fluids Barriers CNS. 2022 Aug 10;19(1):62. doi: 10.1186/s12987-022-00360-w.</t>
  </si>
  <si>
    <t>Lolansen SD</t>
  </si>
  <si>
    <t>Fluids Barriers CNS</t>
  </si>
  <si>
    <t>PMC9367104</t>
  </si>
  <si>
    <t>10.1186/s12987-022-00360-w</t>
  </si>
  <si>
    <t>Plasma proteins from several components of the immune system differentiate chronic widespread pain patients from healthy controls - an exploratory case-control study combining targeted and non-targeted protein identification</t>
  </si>
  <si>
    <t>Other (Pain Management)</t>
  </si>
  <si>
    <t xml:space="preserve">Other techs used (MS  gel electrophoresis; gel electrophoresis was accredited with identifying more relevant proteins) </t>
  </si>
  <si>
    <t>Gerdle B, Wåhlén K, Gordh T, Bäckryd E, Carlsson A, Ghafouri B.</t>
  </si>
  <si>
    <t>Medicine (Baltimore). 2022 Nov 18;101(46):e31013. doi: 10.1097/MD.0000000000031013.</t>
  </si>
  <si>
    <t>Gerdle B</t>
  </si>
  <si>
    <t>Medicine (Baltimore)</t>
  </si>
  <si>
    <t>PMC9678582</t>
  </si>
  <si>
    <t>10.1097/MD.0000000000031013</t>
  </si>
  <si>
    <t>Targeted proteomics identifies circulating biomarkers associated with active COVID-19 and post-COVID-19</t>
  </si>
  <si>
    <t>TNFa, TGFb</t>
  </si>
  <si>
    <t xml:space="preserve">Target 96 Cardiometabolic, inflammation, cardiovascular II, neurolofy </t>
  </si>
  <si>
    <t xml:space="preserve">Not accurate sample / panel count. </t>
  </si>
  <si>
    <t>Zoodsma M, de Nooijer AH, Grondman I, Gupta MK, Bonifacius A, Koeken VACM, Kooistra E, Kilic G, Bulut O, Gödecke N, Janssen N, Kox M, Domínguez-Andrés J, van Gammeren AJ, Ermens AAM, van der Ven AJAM, Pickkers P, Blasczyk R, Behrens GMN, van de Veerdonk FL, Joosten LAB, Xu CJ, Eiz-Vesper B, Netea MG, Li Y.</t>
  </si>
  <si>
    <t>Front Immunol. 2022 Nov 3;13:1027122. doi: 10.3389/fimmu.2022.1027122. eCollection 2022.</t>
  </si>
  <si>
    <t>Zoodsma M</t>
  </si>
  <si>
    <t>PMC9670186</t>
  </si>
  <si>
    <t>10.3389/fimmu.2022.1027122</t>
  </si>
  <si>
    <t>Intravenous immunoglobulins, cyclosporine, and best supportive care in epidermal necrolysis: Diverse effects on systemic inflammation</t>
  </si>
  <si>
    <t>Serum inflammatory profiles in SJS/TEN patients were notably characterized by massive upregulation of type 1 immune response and proinflammatory markers. Surprisingly, there was limited overlap between cutaneous and serum immune profiles. Serial serological measurements of immune response markers showed very diverse dynamics between the different treatment groups. IVIG-treated patients showed completely different dynamics and most significant proteomic changes in an early phase (Day 5-7). In all treatment groups, type 1-/inflammatory response markers were dampened at day 21. Clinically, there were no outcome differences.</t>
  </si>
  <si>
    <t>Schmidt V, Lalevée S, Traidl S, Ameri M, Ziadlou R, Ingen-Housz-Oro S, Barau C, de Prost N, Nägeli M, Mitamura Y, Meier-Schiesser B, Navarini AA, French LE, Contassot E, Brüggen MC.</t>
  </si>
  <si>
    <t>Allergy. 2022 Dec 4. doi: 10.1111/all.15608. Online ahead of print.</t>
  </si>
  <si>
    <t>Schmidt V</t>
  </si>
  <si>
    <t>Allergy</t>
  </si>
  <si>
    <t>10.1111/all.15608</t>
  </si>
  <si>
    <t>Immunoadsorption versus double-dose methylprednisolone in refractory multiple sclerosis relapses</t>
  </si>
  <si>
    <t xml:space="preserve">Neurology, neuromuscular </t>
  </si>
  <si>
    <t>Target 45 cytokines</t>
  </si>
  <si>
    <t xml:space="preserve">NFL was measured via Simoa, and flow cytometry was also used, no real comment on the Olink analysis </t>
  </si>
  <si>
    <t>Pfeuffer S, Rolfes L, Wirth T, Steffen F, Pawlitzki M, Schulte-Mecklenbeck A, Gross CC, Brand M, Bittner S, Ruck T, Klotz L, Wiendl H, Meuth SG.</t>
  </si>
  <si>
    <t>J Neuroinflammation. 2022 Sep 7;19(1):220. doi: 10.1186/s12974-022-02583-y.</t>
  </si>
  <si>
    <t>Pfeuffer S</t>
  </si>
  <si>
    <t>J Neuroinflammation</t>
  </si>
  <si>
    <t>PMC9450381</t>
  </si>
  <si>
    <t>10.1186/s12974-022-02583-y</t>
  </si>
  <si>
    <t>Data-driven analysis of a validated risk score for ovarian cancer identifies clinically distinct patterns during follow-up and treatment</t>
  </si>
  <si>
    <t>MUCIN-16, SPINT1, TACSTD2, CLEC6A, ICOSLG, MSMB, PROK1, CDH3, WFDC2, KRT19, and FR-alpha</t>
  </si>
  <si>
    <t>Custom Olink</t>
  </si>
  <si>
    <t xml:space="preserve"> The assay's performance is validated in two independent clinical cohorts with a sensitivity of 0.83/0.91 and specificity of 0.88/0.92. We also show that the risk score follows the clinical development and is reduced upon treatment, and increased with relapse and cancer progression. Data-driven modeling of the risk score patterns during a 2-year follow-up after diagnosis identifies four separate risk score trajectories linked to clinical development and survival. A Cox proportional hazard regression analysis of 5-year survival shows that at time of diagnosis the risk score is the second-strongest predictive variable for survival after tumor stage, whereas MUCIN-16 (CA-125) alone is not significantly predictive.</t>
  </si>
  <si>
    <t>Enroth S, Ivansson E, Lindberg JH, Lycke M, Bergman J, Reneland A, Stålberg K, Sundfeldt K, Gyllensten U.</t>
  </si>
  <si>
    <t>Commun Med (Lond). 2022 Oct 1;2:124. doi: 10.1038/s43856-022-00193-6. eCollection 2022.</t>
  </si>
  <si>
    <t>Enroth S</t>
  </si>
  <si>
    <t>Commun Med (Lond)</t>
  </si>
  <si>
    <t>PMC9526736</t>
  </si>
  <si>
    <t>10.1038/s43856-022-00193-6</t>
  </si>
  <si>
    <t>Clinical features and immune-related protein patterns of anti-MDA5 positive clinically amyopathic dermatomyositis Dutch patients</t>
  </si>
  <si>
    <t>IFN, IL1, IL10 and IL18</t>
  </si>
  <si>
    <t>Target 96</t>
  </si>
  <si>
    <t xml:space="preserve">In addition, we have found several possible pathways that are differentially regulated in RPILD vs no RPILD DM and healthy controls. These markers await further validation before clinical use.
</t>
  </si>
  <si>
    <t>Hensgens MPM, Delemarre EM, Drylewicz J, Voortman M, Krol RM, Dalm VASH, Miedema JR, Wiertz I, Grutters J, Limper M, Nierkens S, Leavis HL.</t>
  </si>
  <si>
    <t>Rheumatology (Oxford). 2022 Oct 6;61(10):4087-4096. doi: 10.1093/rheumatology/keac030.</t>
  </si>
  <si>
    <t>Hensgens MPM</t>
  </si>
  <si>
    <t>Rheumatology (Oxford)</t>
  </si>
  <si>
    <t>10.1093/rheumatology/keac030</t>
  </si>
  <si>
    <t>Ambient air pollution and inflammation-related proteins during early childhood</t>
  </si>
  <si>
    <t>IL-12B, INFy, IL-8</t>
  </si>
  <si>
    <t>Ambient air pollution exposure influences inflammation-related protein levels already during early childhood. Our results also suggest age- and sex-specific differences in the impact of air pollution on children's inflammatory profiles.</t>
  </si>
  <si>
    <t>He S, Klevebro S, Baldanzi G, Pershagen G, Lundberg B, Eneroth K, Hedman AM, Andolf E, Almqvist C, Bottai M, Melén E, Gruzieva O.</t>
  </si>
  <si>
    <t>Environ Res. 2022 Dec;215(Pt 2):114364. doi: 10.1016/j.envres.2022.114364. Epub 2022 Sep 17.</t>
  </si>
  <si>
    <t>He S</t>
  </si>
  <si>
    <t>Environ Res</t>
  </si>
  <si>
    <t>10.1016/j.envres.2022.114364</t>
  </si>
  <si>
    <t>Discovery of four plasmatic biomarkers potentially predicting cardiovascular outcome in peripheral artery disease</t>
  </si>
  <si>
    <t>PGF, HSP27, PAR1, ADM, Gal-9, TNFRSF11A, Il-6. BNP, Nt-proBNP, IL4ra, Dkk1, MMP12, CHI3L1. PSGl1, PAI</t>
  </si>
  <si>
    <t>Target 96 CVDII, CVDIII</t>
  </si>
  <si>
    <t>Kremers BMM, Posma JN, Heitmeier S, Glunz J, Ten Cate H, Pallares Robles A, Daemen JHC, Ten Cate-Hoek AJ, Mees BME, Spronk HMH.</t>
  </si>
  <si>
    <t>Sci Rep. 2022 Nov 1;12(1):18388. doi: 10.1038/s41598-022-23260-3.</t>
  </si>
  <si>
    <t>Kremers BMM</t>
  </si>
  <si>
    <t>PMC9626632</t>
  </si>
  <si>
    <t>10.1038/s41598-022-23260-3</t>
  </si>
  <si>
    <t>Clinical Presentation and Prognostic Features in Patients with Immunotherapy-Induced Vitiligo-like Depigmentation: A Monocentric Prospective Observational Study</t>
  </si>
  <si>
    <t>Immunology, Oncology</t>
  </si>
  <si>
    <t>EDAR, LAG4</t>
  </si>
  <si>
    <t xml:space="preserve">Target 96 Inflammation, Immune Response </t>
  </si>
  <si>
    <t>Our findings demonstrate that on a proteomic level, VLD is characterized by a distinct immune signature when compared to CPI-treated patients without VLD and that therapy responsiveness is reflected by a characteristic immune profile. The pathomechanisms underlying these findings and how they could relate to the antitumoral response in melanoma remain to be elucidated.</t>
  </si>
  <si>
    <t>Hermann N, Maul LV, Ameri M, Traidl S, Ziadlou R, Papageorgiou K, Kolm I, Levesque M, Maul JT, Brüggen MC.</t>
  </si>
  <si>
    <t>Cancers (Basel). 2022 Sep 21;14(19):4576. doi: 10.3390/cancers14194576.</t>
  </si>
  <si>
    <t>Hermann N</t>
  </si>
  <si>
    <t>Cancers (Basel)</t>
  </si>
  <si>
    <t>PMC9558529</t>
  </si>
  <si>
    <t>10.3390/cancers14194576</t>
  </si>
  <si>
    <t>Multi-platform proteomic analysis of Alzheimer's disease cerebrospinal fluid and plasma reveals network biomarkers associated with proteostasis and the matrisome</t>
  </si>
  <si>
    <t>SMOC1</t>
  </si>
  <si>
    <t>All 13 target qPCR panels</t>
  </si>
  <si>
    <t>SomaScan vs Olink Vs Mass Spec</t>
  </si>
  <si>
    <t>Dammer EB, Ping L, Duong DM, Modeste ES, Seyfried NT, Lah JJ, Levey AI, Johnson ECB.</t>
  </si>
  <si>
    <t>Alzheimers Res Ther. 2022 Nov 17;14(1):174. doi: 10.1186/s13195-022-01113-5.</t>
  </si>
  <si>
    <t>Dammer EB</t>
  </si>
  <si>
    <t>Alzheimers Res Ther</t>
  </si>
  <si>
    <t>PMC9670630</t>
  </si>
  <si>
    <t>10.1186/s13195-022-01113-5</t>
  </si>
  <si>
    <t>Mobilization of systemic CCL4 following HIV pre-exposure prophylaxis in young men in Africa</t>
  </si>
  <si>
    <t>CCL3, CCL4, TNFa</t>
  </si>
  <si>
    <t>Inflammation</t>
  </si>
  <si>
    <t>33 other proteins were investigsted using Luminex; The significant correlation between CCL4 and FTC levels suggests that CCL4 increase is modulated as an inflammatory response to PrEP.</t>
  </si>
  <si>
    <t>Petkov S, Herrera C, Else L, Mugaba S, Namubiru P, Odoch G, Opoka D, Pillay AAP, Seiphetlo TB, Serwanga J, Ssemata AS, Kaleebu P, Webb EL, Khoo S, Lebina L, Gray CM, Martinson N, Fox J, Chiodi F.</t>
  </si>
  <si>
    <t>Front Immunol. 2022 Jul 27;13:965214. doi: 10.3389/fimmu.2022.965214. eCollection 2022.</t>
  </si>
  <si>
    <t>Petkov S</t>
  </si>
  <si>
    <t>PMC9363563</t>
  </si>
  <si>
    <t>10.3389/fimmu.2022.965214</t>
  </si>
  <si>
    <t>Multiplex protein profiling of bronchial aspirates reveals disease-, mortality- and respiratory sequelae-associated signatures in critically ill patients with ARDS secondary to SARS-CoV-2 infection</t>
  </si>
  <si>
    <t>Several</t>
  </si>
  <si>
    <t>Target 96 Immune Response, Inflammation, Metabolism, Organ Damage</t>
  </si>
  <si>
    <t>BAS proteomics identified novel factors associated with the pathology of SARS-CoV-2-induced ARDS and its adverse outcomes. BAS-based protein testing emerges as a novel tool for risk assessment in the ICU.</t>
  </si>
  <si>
    <t>Molinero M, Gómez S, Benítez ID, Vengoechea JJ, González J, Polanco D, Gort-Paniello C, Moncusí-Moix A, García-Hidalgo MC, Perez-Pons M, Belmonte T, Torres G, Caballero J, Barberà C, Ayestarán Rota JI, Socías Crespí L, Ceccato A, Fernández-Barat L, Ferrer R, Garcia-Gasulla D, Lorente-Balanza JÁ, Menéndez R, Motos A, Peñuelas O, Riera J, Torres A, Barbé F, de Gonzalo-Calvo D.</t>
  </si>
  <si>
    <t>Front Immunol. 2022 Jul 29;13:942443. doi: 10.3389/fimmu.2022.942443. eCollection 2022.</t>
  </si>
  <si>
    <t>Molinero M</t>
  </si>
  <si>
    <t>PMC9373836</t>
  </si>
  <si>
    <t>10.3389/fimmu.2022.942443</t>
  </si>
  <si>
    <t>The impact of myocardial fibrosis biomarkers in a heart failure population with atrial fibrillation-The HARVEST-Malmö study</t>
  </si>
  <si>
    <t>Cardovascular</t>
  </si>
  <si>
    <t>3,5</t>
  </si>
  <si>
    <t>metalloproteinase inhibitor 4 (TIMP-4), suppression of tumorigenicity 2 (ST-2), galectin-3 (GAL-3), growth/differentiation factor-15 (GDF-15), and matrix metalloproteinase 2, 3, and 9 (MMP-3, MMP-3, and MMP-9, respectively</t>
  </si>
  <si>
    <t>In this study, we were able to demonstrate that elevated levels of three plasma proteins previously linked to myocardial fibrosis are associated with prevalent AF in a HF population. Additionally, higher levels of five plasma proteins yielded an increased risk of mortality in the HF population with or without co-existing AF.</t>
  </si>
  <si>
    <t>Nezami Z, Holm H, Ohlsson M, Molvin J, Korduner J, Bachus E, Zaghi A, Dieden A, Platonov PG, Jujic A, Magnusson M.</t>
  </si>
  <si>
    <t>Front Cardiovasc Med. 2022 Oct 19;9:982871. doi: 10.3389/fcvm.2022.982871. eCollection 2022.</t>
  </si>
  <si>
    <t>Nezami Z</t>
  </si>
  <si>
    <t>PMC9626526</t>
  </si>
  <si>
    <t>10.3389/fcvm.2022.982871</t>
  </si>
  <si>
    <t>Longitudinal proteomic profiling of the inflammatory response in dengue patients</t>
  </si>
  <si>
    <t xml:space="preserve"> GBP2, TRIM21 and SAMD9L. IL10, IL33, IL1RN and IL18R, IL10, IL33, IL1RN and IL18R1, GZMA, GZMB, CTSC, TPP1, ESM1, CRIM1 and VEGFD</t>
  </si>
  <si>
    <t>Explore 384 Inflammation</t>
  </si>
  <si>
    <t>Garishah FM, Boahen CK, Vadaq N, Pramudo SG, Tunjungputri RN, Riswari SF, van Rij RP, Alisjahbana B, Gasem MH, van der Ven AJAM, de Mast Q.</t>
  </si>
  <si>
    <t>PLoS Negl Trop Dis. 2023 Jan 3;17(1):e0011041. doi: 10.1371/journal.pntd.0011041. eCollection 2023 Jan.</t>
  </si>
  <si>
    <t>Garishah FM</t>
  </si>
  <si>
    <t>PLoS Negl Trop Dis</t>
  </si>
  <si>
    <t>PMC9838874</t>
  </si>
  <si>
    <t>10.1371/journal.pntd.0011041</t>
  </si>
  <si>
    <t>Tofacitinib treatment modulates the levels of several inflammation-related plasma proteins in rheumatoid arthritis and baseline levels of soluble biomarkers associate with the treatment response</t>
  </si>
  <si>
    <t>IL-6, CXCL1, matrix metalloproteinase-1, AXIN1, DNER, CCL11</t>
  </si>
  <si>
    <t>Some prpoteins were response predictors and the rest were significantly mis-regulated</t>
  </si>
  <si>
    <t>Valli A, Kuuliala K, Virtanen A, Kuuliala A, Palmroth M, Peltomaa R, Vidqvist KL, Leirisalo-Repo M, Silvennoinen O, Isomäki P.</t>
  </si>
  <si>
    <t>Clin Exp Immunol. 2022 Dec 15;210(2):141-150. doi: 10.1093/cei/uxac085.</t>
  </si>
  <si>
    <t>Valli A</t>
  </si>
  <si>
    <t>Clin Exp Immunol</t>
  </si>
  <si>
    <t>PMC9750823</t>
  </si>
  <si>
    <t>10.1093/cei/uxac085</t>
  </si>
  <si>
    <t>ATRPred: A machine learning based tool for clinical decision making of anti-TNF treatment in rheumatoid arthritis patients</t>
  </si>
  <si>
    <t>KRT19, HAOX1, CXCL1, RARRES2, FCRL6, REN, IL13, SPON1, MMP-1, ARNT, TNFSF13B, PPKCQ, TRAILR2,  OSCARmCCL8, DPP10, GDNF</t>
  </si>
  <si>
    <t xml:space="preserve">Target 96 CVD II, CVDIII, immune response, inflammatory </t>
  </si>
  <si>
    <t>Proteing signature could be used to predict response to anti-TNF Tx for RA</t>
  </si>
  <si>
    <t>Prasad B, McGeough C, Eakin A, Ahmed T, Small D, Gardiner P, Pendleton A, Wright G, Bjourson AJ, Gibson DS, Shukla P.</t>
  </si>
  <si>
    <t>PLoS Comput Biol. 2022 Jul 5;18(7):e1010204. doi: 10.1371/journal.pcbi.1010204. eCollection 2022 Jul.</t>
  </si>
  <si>
    <t>Prasad B</t>
  </si>
  <si>
    <t>PLoS Comput Biol</t>
  </si>
  <si>
    <t>PMC9321399</t>
  </si>
  <si>
    <t>10.1371/journal.pcbi.1010204</t>
  </si>
  <si>
    <t>Comparison of Proteomic Measurements Across Platforms in the Atherosclerosis Risk in Communities (ARIC) Study</t>
  </si>
  <si>
    <t xml:space="preserve">Methods Dev Immunology </t>
  </si>
  <si>
    <t>SomaScan vs Olink;  There is variation in the quantitative measurements for many proteins across aptamer-based and proximity-extension immunoassays (approximately 1/2 showing good or modest correlation and approximately 1/2 poor correlation) and also for correlations of these highly multiplexed technologies with targeted immunoassays. Design and interpretation of protein quantification studies should be informed by the variation across measurement techniques for each protein.</t>
  </si>
  <si>
    <t>Rooney MR, Chen J, Ballantyne CM, Hoogeveen RC, Tang O, Grams ME, Tin A, Ndumele CE, Zannad F, Couper DJ, Tang W, Selvin E, Coresh J.</t>
  </si>
  <si>
    <t>Clin Chem. 2023 Jan 4;69(1):68-79. doi: 10.1093/clinchem/hvac186.</t>
  </si>
  <si>
    <t>Rooney MR</t>
  </si>
  <si>
    <t>Clin Chem</t>
  </si>
  <si>
    <t>PMC9812856</t>
  </si>
  <si>
    <t>NIHMS1847763</t>
  </si>
  <si>
    <t>10.1093/clinchem/hvac186</t>
  </si>
  <si>
    <t>Proteomic profiling platforms head to head: Leveraging genetics and clinical traits to compare aptamer- and antibody-based methods</t>
  </si>
  <si>
    <t>SomaScan vs Olink . Across these studies, we show evidence supporting more reliable protein target specificity and a higher number of phenotypic associations for the Olink platform, while the Soma platforms benefit from greater measurement precision and analytic breadth across the proteome.</t>
  </si>
  <si>
    <t>Katz DH, Robbins JM, Deng S, Tahir UA, Bick AG, Pampana A, Yu Z, Ngo D, Benson MD, Chen ZZ, Cruz DE, Shen D, Gao Y, Bouchard C, Sarzynski MA, Correa A, Natarajan P, Wilson JG, Gerszten RE.</t>
  </si>
  <si>
    <t>Sci Adv. 2022 Aug 19;8(33):eabm5164. doi: 10.1126/sciadv.abm5164. Epub 2022 Aug 19.</t>
  </si>
  <si>
    <t>Katz DH</t>
  </si>
  <si>
    <t>Sci Adv</t>
  </si>
  <si>
    <t>PMC9390994</t>
  </si>
  <si>
    <t>10.1126/sciadv.abm5164</t>
  </si>
  <si>
    <t>NT-proBNP and stem cell factor plasma concentrations are independently associated with cardiovascular outcomes in end-stage renal disease hemodialysis patients</t>
  </si>
  <si>
    <t>Cardiometabolic</t>
  </si>
  <si>
    <t>nt-proBNP, SCF</t>
  </si>
  <si>
    <t xml:space="preserve">Target 96 CVD II, CVD III, inflammation </t>
  </si>
  <si>
    <t>Our findings suggest that NT-proBNP and SCF may help identify ESRD patients with respectively high and low CV risk, beyond classical clinical predictors and also point at novel pathways for prevention and treatment.</t>
  </si>
  <si>
    <t>Rossignol P, Duarte K, Bresso E, A Å, Devignes MD, Eriksson N, Girerd N, Glerup R, Jardine AG, Holdaas H, Lamiral Z, Leroy C, Massy Z, März W, Krämer B, Wu PH, Schmieder R, Soveri I, Christensen JH, Svensson M, Zannad F, Fellström B.</t>
  </si>
  <si>
    <t>Eur Heart J Open. 2022 Nov 9;2(6):oeac069. doi: 10.1093/ehjopen/oeac069. eCollection 2022 Nov.</t>
  </si>
  <si>
    <t>Rossignol P</t>
  </si>
  <si>
    <t>Eur Heart J Open</t>
  </si>
  <si>
    <t>PMC9797490</t>
  </si>
  <si>
    <t>10.1093/ehjopen/oeac069</t>
  </si>
  <si>
    <t>Evaluation and Characterization of Post-Stroke Lung Damage in a Murine Model of Cerebral Ischemia</t>
  </si>
  <si>
    <t>Neurology, respiratory</t>
  </si>
  <si>
    <t>HGF, TGF-α, and CCL2</t>
  </si>
  <si>
    <t>done alongside ELISA; This study confirmed that post-stroke lung damage was not associated with increased lung permeability or cerebral ischemia severity. Furthermore, the dysregulation of HGF, TGF-α, and CCL2 in BALF and lung tissue after ischemia could play an important role in the molecular mechanisms underlying stroke-induced lung damage.</t>
  </si>
  <si>
    <t>Faura J, Ramiro L, Simats A, Ma F, Penalba A, Gasull T, Rosell A, Montaner J, Bustamante A.</t>
  </si>
  <si>
    <t>Int J Mol Sci. 2022 Jul 22;23(15):8093. doi: 10.3390/ijms23158093.</t>
  </si>
  <si>
    <t>Faura J</t>
  </si>
  <si>
    <t>PMC9329771</t>
  </si>
  <si>
    <t>10.3390/ijms23158093</t>
  </si>
  <si>
    <t>Immune Biomarkers in the Peripheral Blood and Tumor Microenvironment of Classical Hodgkin Lymphoma Patients in Relation to Tumor Burden and Response to Treatment</t>
  </si>
  <si>
    <t>PD-1, CTLA4,</t>
  </si>
  <si>
    <t>Target 96 Immuno-oncology</t>
  </si>
  <si>
    <t>Compared to controls, cHL patients had higher frequencies of proliferating T cells as well as higher expression of programmed death (PD)-1 and cytotoxic T lymphocyte antigen (CTLA)-4 in circulating T cells, and lower naive T-cell frequencies. Advanced-stage patients had fewer NK cells with a functionally impaired phenotype. Differences in the immune profile were observed in patients with a high tumor burden and with high inflammation, respectively. Most of these deviations disappeared after standard first-line treatment. Patients who received radiotherapy involving the mediastinum had low T-cell counts for a prolonged period. Our findings suggest that the immunomodulation of lymphocytes in the TME of cHL might affect immune biomarkers in the PB.</t>
  </si>
  <si>
    <t>Mulder TA, Andersson ML, Peña-Pérez L, Heimersson K, Xagoraris I, Wahlin BE, Månsson R, Hansson L, Rassidakis G, Palma M.</t>
  </si>
  <si>
    <t>Hemasphere. 2022 Oct 26;6(11):e794. doi: 10.1097/HS9.0000000000000794. eCollection 2022 Nov.</t>
  </si>
  <si>
    <t>Mulder TA</t>
  </si>
  <si>
    <t>Hemasphere</t>
  </si>
  <si>
    <t>PMC9619233</t>
  </si>
  <si>
    <t>10.1097/HS9.0000000000000794</t>
  </si>
  <si>
    <t>Inflammatory plasma proteins predict short-term mortality in patients with an acute myocardial infarction</t>
  </si>
  <si>
    <t xml:space="preserve">Target 96 inflammatory </t>
  </si>
  <si>
    <t xml:space="preserve">In a ROC analysis, the biomarker score and the GRACE score showed comparable predictive ability for 28-day mortality (biomarker score AUC: 0.7859 [CI: 0.6735–0.89], GRACE score AUC: 0.7961 [CI: 0.6965–0.8802]). By combining the biomarker score and the Grace score, the predictive ability improved with an AUC of 0.8305 [CI: 0.7269–0.9187]. A continuous Net Reclassification Improvement (cNRI) of 0.566 (CI: 0.192–0.94, p-value: 0.003) and an Integrated Discrimination Improvement (IDI) of 0.083 ((CI: 0.016–0.149, p-value: 0.015) confirmed the superiority of the combined score over the GARCE score.
</t>
  </si>
  <si>
    <t>Schmitz T, Harmel E, Heier M, Peters A, Linseisen J, Meisinger C.</t>
  </si>
  <si>
    <t>J Transl Med. 2022 Oct 8;20(1):457. doi: 10.1186/s12967-022-03644-9.</t>
  </si>
  <si>
    <t>Schmitz T</t>
  </si>
  <si>
    <t>J Transl Med</t>
  </si>
  <si>
    <t>PMC9547640</t>
  </si>
  <si>
    <t>10.1186/s12967-022-03644-9</t>
  </si>
  <si>
    <t>Are the results from a multiplex proteomic assay and a conventional immunoassay for NT-proBNP and GDF-15 comparable?</t>
  </si>
  <si>
    <t>Methods Dev Neurology</t>
  </si>
  <si>
    <t>NT-proBNP, GDF-15</t>
  </si>
  <si>
    <t xml:space="preserve">Target 96 CVD 1 </t>
  </si>
  <si>
    <t xml:space="preserve">Roche Elecys compared to Olink; Except for the highest levels of NT-proBNP, we suggest that PEA data for NT-proBNP and GDF-15 reliably reflects absolute plasma levels and contains similar prognostic information.
</t>
  </si>
  <si>
    <t>Skau E, Wagner P, Leppert J, Ärnlöv J, Hedberg P.</t>
  </si>
  <si>
    <t>Clin Proteomics. 2023 Jan 24;20(1):5. doi: 10.1186/s12014-023-09393-1.</t>
  </si>
  <si>
    <t>Skau E</t>
  </si>
  <si>
    <t>PMC9872369</t>
  </si>
  <si>
    <t>10.1186/s12014-023-09393-1</t>
  </si>
  <si>
    <t>Novel purine analogues regulate IL-1β release via inhibition of JAK activity in human aortic smooth muscle cells</t>
  </si>
  <si>
    <t>Exploratory</t>
  </si>
  <si>
    <t xml:space="preserve"> Target 96 inflammation</t>
  </si>
  <si>
    <t xml:space="preserve">Olink + ELISA + Western Blot in exploratory study. </t>
  </si>
  <si>
    <t>Paramel GV, Lindkvist M, Idosa BA, Sebina LS, Kardeby C, Fotopoulou T, Pournara D, Kritsi E, Ifanti E, Zervou M, Koufaki M, Grenegård M, Fransén K.</t>
  </si>
  <si>
    <t>Eur J Pharmacol. 2022 Aug 15;929:175128. doi: 10.1016/j.ejphar.2022.175128. Epub 2022 Jul 2.</t>
  </si>
  <si>
    <t>Paramel GV</t>
  </si>
  <si>
    <t>Eur J Pharmacol</t>
  </si>
  <si>
    <t>10.1016/j.ejphar.2022.175128</t>
  </si>
  <si>
    <t>Plasma proteomic signature of fatty liver disease: the Rotterdam Study</t>
  </si>
  <si>
    <t>Cardiometabolics</t>
  </si>
  <si>
    <t>IL-18R1, CES1, FGF-21</t>
  </si>
  <si>
    <t xml:space="preserve">Target 96 inflammation, CVD </t>
  </si>
  <si>
    <t xml:space="preserve"> Among the general population, several inflammatory and cardiometabolic plasma proteins were associated with FLD and fibrosis. Particularly, plasma levels of FGF-21, IL-18R1, and CES1 were largely dependent on the presence of FLD and fibrosis and may therefore be important in their pathogenesis.</t>
  </si>
  <si>
    <t>Abozaid YJ, Ayada I, van Kleef LA, Vallerga CL, Pan Q, Brouwer WP, Ikram MA, Van Meurs J, de Knegt RJ, Ghanbari M.</t>
  </si>
  <si>
    <t>Hepatology. 2023 Feb 6. doi: 10.1097/HEP.0000000000000300. Online ahead of print.</t>
  </si>
  <si>
    <t>Abozaid YJ</t>
  </si>
  <si>
    <t>Hepatology</t>
  </si>
  <si>
    <t>10.1097/HEP.0000000000000300</t>
  </si>
  <si>
    <t>Inflammatory biomarkers after an exercise intervention in childhood acute lymphoblastic leukemia survivors</t>
  </si>
  <si>
    <t>TNFSF14, OSM, MCP-1, MCP-2,FGF-21&lt; CCL4, TGFa, TRAIL, ADA, CXCl6, LAP TGFB1</t>
  </si>
  <si>
    <t>The ALL survivors were not significantly more affected by inflammation than controls at baseline. The survivors’ 16‐week exercise intervention led to significant reduction in inflammatory protein levels. Physical exercise should be promoted for survivors of childhood cancer.</t>
  </si>
  <si>
    <t>Lähteenmäki Taalas T, Järvelä L, Niinikoski H, Huurre A, Harila-Saari A.</t>
  </si>
  <si>
    <t>EJHaem. 2022 Sep 29;3(4):1188-1200. doi: 10.1002/jha2.588. eCollection 2022 Nov.</t>
  </si>
  <si>
    <t>Lähteenmäki Taalas T</t>
  </si>
  <si>
    <t>EJHaem</t>
  </si>
  <si>
    <t>PMC9713025</t>
  </si>
  <si>
    <t>10.1002/jha2.588</t>
  </si>
  <si>
    <t>Proteomic Analysis of Pleural Effusions from COVID-19 Deceased Patients: Enhanced Inflammatory Markers</t>
  </si>
  <si>
    <t>ADA, BTC, CA12, CAPG, CD40, CDCP1, CXCL9, ENTPD2, Flt3L, IL-6, IL-8, LRP1, OSM, PD-L1, PTN, STX8, and VEGFA</t>
  </si>
  <si>
    <t xml:space="preserve">Target 96 Inflammation, Organ Damage </t>
  </si>
  <si>
    <t>Razaghi A, Szakos A, Alouda M, Bozóky B, Björnstedt M, Szekely L.</t>
  </si>
  <si>
    <t>Diagnostics (Basel). 2022 Nov 14;12(11):2789. doi: 10.3390/diagnostics12112789.</t>
  </si>
  <si>
    <t>Razaghi A</t>
  </si>
  <si>
    <t>Diagnostics (Basel)</t>
  </si>
  <si>
    <t>PMC9689825</t>
  </si>
  <si>
    <t>10.3390/diagnostics12112789</t>
  </si>
  <si>
    <t>Elevated levels of several chemokines in the cerebrospinal fluid of patients with subarachnoid hemorrhage are associated with worse clinical outcome</t>
  </si>
  <si>
    <t>CCL2 (or MCP-1), CCL3, CCL4, CCL7 (or MCP-3), CCL8 (or MCP-2), CCL11 (or Eotaxin), CCL13 (or MCP-4), CCL19, CCL20, CCL23, CCL25, CCL28, CXCL1, CXCL5, CXCL6, CXCL8 (or IL-8), CXCL9, CXCL10, CXCL11 and CX3CL1 (or Fractalkine))</t>
  </si>
  <si>
    <t>Chemokines may be useful as biomarkers for describing the pathophysiology and prognosis of SAH. Further studies are needed to better understand their exact mechanism of action in the inflammatory cascade.</t>
  </si>
  <si>
    <t>Vlachogiannis P, Hillered L, Enblad P, Ronne-Engström E.</t>
  </si>
  <si>
    <t>PLoS One. 2023 Mar 9;18(3):e0282424. doi: 10.1371/journal.pone.0282424. eCollection 2023.</t>
  </si>
  <si>
    <t>Vlachogiannis P</t>
  </si>
  <si>
    <t>PLoS One</t>
  </si>
  <si>
    <t>PMC9997919</t>
  </si>
  <si>
    <t>10.1371/journal.pone.0282424</t>
  </si>
  <si>
    <t>Prospective Proteomic Study Identifies Potential Circulating Protein Biomarkers for Colorectal Cancer Risk</t>
  </si>
  <si>
    <t xml:space="preserve">Oncology </t>
  </si>
  <si>
    <t>CD79B, DDR1, EFNA4, FLRT2, LTA4H, and NCR1</t>
  </si>
  <si>
    <t>Target 96, CAM, CRE, CVDⅡ, CVDⅢ, DEV, INF, IRE, MET, NEU, NEX, ODA, ONCⅡ, Explore</t>
  </si>
  <si>
    <t>In reality 260 samples, however 60 had the explore run and the other 200 had the 12 target panels run; A panel of five protein markers was identified as potential biomarkers for CRC risk. Our findings provide novel insights into the etiology of CRC and may facilitate the risk assessment of the malignancy.</t>
  </si>
  <si>
    <t>Sun X, Shu XO, Lan Q, Laszkowska M, Cai Q, Rothman N, Wen W, Zheng W, Shu X.</t>
  </si>
  <si>
    <t>Cancers (Basel). 2022 Jul 3;14(13):3261. doi: 10.3390/cancers14133261.</t>
  </si>
  <si>
    <t>Sun X</t>
  </si>
  <si>
    <t>PMC9265260</t>
  </si>
  <si>
    <t>10.3390/cancers14133261</t>
  </si>
  <si>
    <t>Targeted plasma proteomics reveals signatures discriminating COVID-19 from sepsis with pneumonia</t>
  </si>
  <si>
    <t>TRIM21, PTN and CASP8</t>
  </si>
  <si>
    <t>Target 96, organ damage, immune response, inflammation</t>
  </si>
  <si>
    <t>This study extends the understanding of host responses underlying sepsis and COVID-19, indicating varying disease mechanisms with unique signatures. These diagnostic and severity signatures are candidates for the development of personalized management of COVID-19 and sepsis.</t>
  </si>
  <si>
    <t>Palma Medina LM, Babačić H, Dzidic M, Parke Å, Garcia M, Maleki KT, Unge C, Lourda M, Kvedaraite E, Chen P, Muvva JR, Cornillet M, Emgård J, Moll K; Karolinska K. I./K. COVID-19 Study Group; Michaëlsson J, Flodström-Tullberg M, Brighenti S, Buggert M, Mjösberg J, Malmberg KJ, Sandberg JK, Gredmark-Russ S, Rooyackers O, Svensson M, Chambers BJ, Eriksson LI, Pernemalm M, Björkström NK, Aleman S, Ljunggren HG, Klingström J, Strålin K, Norrby-Teglund A.</t>
  </si>
  <si>
    <t>Respir Res. 2023 Feb 24;24(1):62. doi: 10.1186/s12931-023-02364-y.</t>
  </si>
  <si>
    <t>Palma Medina LM</t>
  </si>
  <si>
    <t>PMC9950694</t>
  </si>
  <si>
    <t>10.1186/s12931-023-02364-y</t>
  </si>
  <si>
    <t>Plasma Proteomics Unveil Novel Immune Signatures and Biomarkers upon SARS-CoV-2 Infection</t>
  </si>
  <si>
    <t>CD4, CD28, RBP2, BST2, MATN, COL6A3, RNF41</t>
  </si>
  <si>
    <t>Explore 1472</t>
  </si>
  <si>
    <t>. Protein changes linked to the generation of SARS-CoV-2-specific antibodies, long-term effects and potential association with post-COVID-19 condition were revealed. Further study to characterize the identified plasma protein changes from larger cohorts with more diverse ethnicities of patients with COVID-19 combined with functional studies will facilitate the identification of novel diagnostic, prognostic biomarkers and potential therapeutic targets for patients with COVID-19.</t>
  </si>
  <si>
    <t>Urbiola-Salvador V, Lima de Souza S, Grešner P, Qureshi T, Chen Z.</t>
  </si>
  <si>
    <t>Int J Mol Sci. 2023 Mar 27;24(7):6276. doi: 10.3390/ijms24076276.</t>
  </si>
  <si>
    <t>Urbiola-Salvador V</t>
  </si>
  <si>
    <t>PMC10093853</t>
  </si>
  <si>
    <t>10.3390/ijms24076276</t>
  </si>
  <si>
    <t>Pregnancy induces pancreatic insulin secretion in women with long-standing type 1 diabetes</t>
  </si>
  <si>
    <t>Reproductive Health</t>
  </si>
  <si>
    <t xml:space="preserve">prolactin (PRL), prokineticin (PROK)-1, and glucagon (GCG), leukocyte migration (CCL11), T cell activation (CD28), and antigen presentation (such as CD83) </t>
  </si>
  <si>
    <t xml:space="preserve">Target 96 Cell regulation and immune response </t>
  </si>
  <si>
    <t xml:space="preserve">In summary, we have found that some C-peptide secretion, that is, an indirect measurement of endogenous insulin production, is regained in women with L-T1D during pregnancy, which might be attributed to elevated peripheral levels of PRL, PROK-1, or GCG.
</t>
  </si>
  <si>
    <t>Espes D, Magnusson L, Caballero-Corbalan J, Schwarcz E, Casas R, Carlsson PO.</t>
  </si>
  <si>
    <t>BMJ Open Diabetes Res Care. 2022 Nov;10(6):e002948. doi: 10.1136/bmjdrc-2022-002948.</t>
  </si>
  <si>
    <t>Espes D</t>
  </si>
  <si>
    <t>BMJ Open Diabetes Res Care</t>
  </si>
  <si>
    <t>PMC9644305</t>
  </si>
  <si>
    <t>10.1136/bmjdrc-2022-002948</t>
  </si>
  <si>
    <t>Immune response and barrier dysfunction-related proteomic signatures in preclinical phase of Crohn's disease highlight earliest events of pathogenesis</t>
  </si>
  <si>
    <t xml:space="preserve">Target 96 </t>
  </si>
  <si>
    <t>Notably, CXCL9 was the only analyte significantly associated with all other CD-risk biomarkers with consistent direction of effect (FCP: OR=2.21; LMR: OR=1.67; AS: OR=1.59) (q&lt;0.05 for all).</t>
  </si>
  <si>
    <t>Leibovitzh H, Lee SH, Raygoza Garay JA, Espin-Garcia O, Xue M, Neustaeter A, Goethel A, Huynh HQ, Griffiths AM, Turner D, Madsen KL, Moayyedi P, Steinhart AH, Silverberg MS, Deslandres C, Bitton A, Mack DR, Jacobson K, Cino M, Aumais G, Bernstein CN, Panaccione R, Weiss B, Halfvarson J, Xu W, Turpin W, Croitoru K; Crohn’s and Colitis Canada (CCC) Genetic, Environmental, Microbial (GEM) Project Research Consortium.</t>
  </si>
  <si>
    <t>Gut. 2023 Feb 14:gutjnl-2022-328421. doi: 10.1136/gutjnl-2022-328421. Online ahead of print.</t>
  </si>
  <si>
    <t>Leibovitzh H</t>
  </si>
  <si>
    <t>Gut</t>
  </si>
  <si>
    <t>10.1136/gutjnl-2022-328421</t>
  </si>
  <si>
    <t>Blood Markers of Inflammation, Neurodegeneration, and Cardiovascular Risk in Early Parkinson's Disease</t>
  </si>
  <si>
    <t>Immunology, Neurology, Cardiovascular</t>
  </si>
  <si>
    <t>E-selectin and ß2 -integrin, urokinase plasminogen activator, ibroblast growth factor 21 and peptidase inhibitor 3, interleukin-6 and cystatin B,</t>
  </si>
  <si>
    <t>Target 96 Inflammation, CVDIII, Neurology Exploratory</t>
  </si>
  <si>
    <t>e identified and validated possible PD plasma biomarker candidates for state, fate, and disease progression, elucidating new molecular processes with reduced endothelial/atherosclerotic processes, increased thromboembolic risk, and neuroinflammation. Further investigations and validation in independent and larger longitudinal cohorts are needed.</t>
  </si>
  <si>
    <t>Bartl M, Dakna M, Schade S, Otte B, Wicke T, Lang E, Starke M, Ebentheuer J, Weber S, Toischer K, Schnelle M, Sixel-Döring F, Trenkwalder C, Mollenhauer B.</t>
  </si>
  <si>
    <t>Mov Disord. 2023 Jan;38(1):68-81. doi: 10.1002/mds.29257. Epub 2022 Oct 20.</t>
  </si>
  <si>
    <t>Bartl M</t>
  </si>
  <si>
    <t>Mov Disord</t>
  </si>
  <si>
    <t>10.1002/mds.29257</t>
  </si>
  <si>
    <t>A novel serum extracellular vesicle protein signature to monitor glioblastoma tumor progression</t>
  </si>
  <si>
    <t>CD29, CD44, CD81, CD146, C1QA, H3</t>
  </si>
  <si>
    <t>Target 96 OncologyII, Oncology III</t>
  </si>
  <si>
    <t xml:space="preserve">Measurement of CD29, CD44, CD81, C1QA and histone H3 in serum-derived EVs of glioblastoma patients, along with standard MRI assessment, has the potential to improve detection of true tumor progression and thus could be a useful biomarker for clinical decision making.
</t>
  </si>
  <si>
    <t>Tzaridis T, Weller J, Bachurski D, Shakeri F, Schaub C, Hau P, Buness A, Schlegel U, Steinbach JP, Seidel C, Goldbrunner R, Schäfer N, Wechsler-Reya RJ, Hallek M, Scheffler B, Glas M, Haeberle L, Herrlinger U, Coch C, Reiners KS, Hartmann G.</t>
  </si>
  <si>
    <t>Int J Cancer. 2023 Jan 15;152(2):308-319. doi: 10.1002/ijc.34261. Epub 2022 Sep 17.</t>
  </si>
  <si>
    <t>Tzaridis T</t>
  </si>
  <si>
    <t>Int J Cancer</t>
  </si>
  <si>
    <t>10.1002/ijc.34261</t>
  </si>
  <si>
    <t>Early Mid-pregnancy Blood-Based Proteins as Possible Biomarkers of Increased Infant Birth Size in Sex-Stratified Analyses</t>
  </si>
  <si>
    <t>8,10,2</t>
  </si>
  <si>
    <t>Matrix metalloproteinase-12 (MMP-12), Prostasin (PRSS8), Adrenomedullin (ADM), Pappalysin-1 (PAPP-A), Angiotensin-converting enzyme 2 (ACE2), Sortilin (SORT1), Lectin-like oxidized LDL receptor 1 (LOX-1), and Thrombomodulin (TM),Growth/differentiation factor 2 (GDF-2), interleukin-1 receptor antagonist protein (IL-1ra), Leptin (LEP), factor receptor superfamily member 11A (TNFRSF11A)</t>
  </si>
  <si>
    <t>Target 96 CVDII</t>
  </si>
  <si>
    <t>Our study suggests several proteins as potential biomarkers for increased birth weight, and our findings could act as a base for future research to identify new potential markers that could be added to improve screening for large infants.</t>
  </si>
  <si>
    <t>Lindberger E, Ahlsson F, Junus K, Kunovac Kallak T, Lager S, Nordlöf Callbo P, Wikström AK, Sundström Poromaa I.</t>
  </si>
  <si>
    <t>Reprod Sci. 2022 Sep 30:1-11. doi: 10.1007/s43032-022-01093-9. Online ahead of print.</t>
  </si>
  <si>
    <t>Lindberger E</t>
  </si>
  <si>
    <t>Reprod Sci</t>
  </si>
  <si>
    <t>PMC9524307</t>
  </si>
  <si>
    <t>10.1007/s43032-022-01093-9</t>
  </si>
  <si>
    <t>Analyses of plasma inflammatory proteins reveal biomarkers predictive of subsequent development of giant cell arteritis: a prospective study</t>
  </si>
  <si>
    <t xml:space="preserve">INFy, IL-6, CXCL10, CXCL11, Capsase 8, FGF-21, PD-L1, LIF </t>
  </si>
  <si>
    <t>Tarhet 96 Inflammation</t>
  </si>
  <si>
    <t>Elevated IFN-γ levels were found years prior to diagnosis of GCA. T cell activation may precede the clinical onset of GCA.</t>
  </si>
  <si>
    <t>Wadström K, Jacobsson LTH, Mohammad AJ, Warrington KJ, Matteson EL, Jakobsson ME, Turesson C.</t>
  </si>
  <si>
    <t>Rheumatology (Oxford). 2022 Oct 18:keac581. doi: 10.1093/rheumatology/keac581. Online ahead of print.</t>
  </si>
  <si>
    <t>Wadström K</t>
  </si>
  <si>
    <t>10.1093/rheumatology/keac581</t>
  </si>
  <si>
    <t>Unique protein signatures evolve during the course of a delayed-type hypersensitivity reaction in human skin</t>
  </si>
  <si>
    <t>Other (exploratory, oncology)</t>
  </si>
  <si>
    <t>interleukin [IL] 8, matrix metallopeptidase 12,matrix metallopeptidase 12, antineoplastic markers (granzyme B [GZMB]), and the Th1 axis (interferon gamma [IFNG], chemokine (C-X-C motif) ligand [CXCL] 9, CXCL10, CXCL11), LAG3, PD1, PDl1, IL-4, IL-12,</t>
  </si>
  <si>
    <t>Future proteomic studies of samples from patients with melanoma metastases, warts, and alopecia areata treated long term with DPCP are needed to further evaluate its pharmacologic mechanisms.</t>
  </si>
  <si>
    <t>Han J, Stratman S, Young JN, Poplausky D, Owji S, Luu Y, Estrada Y, Correa da Rosa J, Krueger JG, Gulati N.</t>
  </si>
  <si>
    <t>J Dermatol. 2022 Dec 28. doi: 10.1111/1346-8138.16688. Online ahead of print.</t>
  </si>
  <si>
    <t>Han J</t>
  </si>
  <si>
    <t>J Dermatol</t>
  </si>
  <si>
    <t>10.1111/1346-8138.16688</t>
  </si>
  <si>
    <t>Plasma protein alterations during human large vessel stroke: A controlled comparison study</t>
  </si>
  <si>
    <t>ARTN, TWEAK, HGF, CCL28, FGF-5, CXCL9, TRANCE and GDNF, CXCL1, CCL5, OSM, GP1BA, IL6, MMP-1, and CXCL5</t>
  </si>
  <si>
    <t xml:space="preserve">Likely taregt 96 Cardiometabolic, Inflammation </t>
  </si>
  <si>
    <t>Olink used in a stroke and blood clot blood bank to look at cerebrovascular disease. Results
Proteins including ARTN, TWEAK, HGF, CCL28, FGF-5, CXCL9, TRANCE and GDNF were found to be decreased in stroke subjects when compared to CVD controls. CXCL1, CCL5, OSM, GP1BA, IL6, MMP-1, and CXCL5 were increased in stroke subjects when compared to CVD controls. These proteins were also significantly correlated to stroke outcome metrics such as NIHSS, infarct volume and MoCA scoring.</t>
  </si>
  <si>
    <t>Hazelwood HS, Frank JA, Maglinger B, McLouth CJ, Trout AL, Turchan-Cholewo J, Stowe AM, Pahwa S, Dornbos DL 3rd, Fraser JF, Pennypacker KR.</t>
  </si>
  <si>
    <t>Neurochem Int. 2022 Nov;160:105421. doi: 10.1016/j.neuint.2022.105421. Epub 2022 Sep 28.</t>
  </si>
  <si>
    <t>Hazelwood HS</t>
  </si>
  <si>
    <t>Neurochem Int</t>
  </si>
  <si>
    <t>10.1016/j.neuint.2022.105421</t>
  </si>
  <si>
    <t>Exploring proteomic plasma biomarkers in eosinophilic and neutrophilic asthma</t>
  </si>
  <si>
    <t xml:space="preserve">Respiratory, immunology </t>
  </si>
  <si>
    <t xml:space="preserve"> MMP10, CCL4</t>
  </si>
  <si>
    <t>Target 96 inflammation</t>
  </si>
  <si>
    <t>Eosinophilic asthma was associated with a clear clinical phenotype. With our definitions, we identified MMP10 as a possible plasma biomarker for eosinophilic asthma and CCL4 was linked to neutrophilic asthma. These proteins should be evaluated further in clinical settings and using sputum granulocytes to define the asthma endotypes.</t>
  </si>
  <si>
    <t>Kere M, Klevebro S, Hernandez-Pacheco N, Ödling M, Ekström S, Mogensen I, Janson C, Palmberg L, van Hage M, Georgelis A, Bergström A, Kull I, Melén E, Björkander S.</t>
  </si>
  <si>
    <t>Clin Exp Allergy. 2023 Feb;53(2):186-197. doi: 10.1111/cea.14229. Epub 2022 Sep 26.</t>
  </si>
  <si>
    <t>Kere M</t>
  </si>
  <si>
    <t>Clin Exp Allergy</t>
  </si>
  <si>
    <t>10.1111/cea.14229</t>
  </si>
  <si>
    <t>Microvascular and proteomic signatures overlap in COVID-19 and bacterial sepsis: the MICROCODE study</t>
  </si>
  <si>
    <t>FGF21, GDF2, IL24, SORT1, IL-6, CCL23, TGM2</t>
  </si>
  <si>
    <t>Target 96 CVDII, Inflammation</t>
  </si>
  <si>
    <t>used alongside ELISAs for 2 proteins;  A distinct plasma signature correlates with endothelial health and improved outcomes, while a counteracting response is associated with glycocalyx breakdown and high mortality. Microvascular health biomarkers are powerful predictors of clinical outcomes.</t>
  </si>
  <si>
    <t>Rovas A, Buscher K, Osiaevi I, Drost CC, Sackarnd J, Tepasse PR, Fobker M, Kühn J, Braune S, Göbel U, Thölking G, Gröschel A, Rossaint J, Vink H, Lukasz A, Pavenstädt H, Kümpers P.</t>
  </si>
  <si>
    <t>Angiogenesis. 2022 Nov;25(4):503-515. doi: 10.1007/s10456-022-09843-8. Epub 2022 Jun 20.</t>
  </si>
  <si>
    <t>Rovas A</t>
  </si>
  <si>
    <t>Angiogenesis</t>
  </si>
  <si>
    <t>PMC9208353</t>
  </si>
  <si>
    <t>10.1007/s10456-022-09843-8</t>
  </si>
  <si>
    <t>Biomarkers in Liquid Biopsies for Prediction of Early Liver Metastases in Pancreatic Cancer</t>
  </si>
  <si>
    <t>ADA, CASP8, CCL3, CCL20, CD40, CD40LG, FGF2, IL-8, MCP-3, MCP-4, NCR1, PTN, and TNFRSF12A</t>
  </si>
  <si>
    <t xml:space="preserve">Target 96 Immuno-oncology </t>
  </si>
  <si>
    <t>Used alongside Roche ECLIA kit and LEGENDplex bread based panel from Bio-Legend. Olinmk was used to validate the Biolegend results but ended up being the superior technology used. Overall, Olink® multiplex analysis seems to represent a superior, reliable method for comprehensive protein biomarker analyses in the serum of cancer patients. Based on our results, this technology allows a broad and highly sensitive serum biomarker analysis from PDAC patients. The present data suggest its suitability to identify biomarkers that provide information on whether PDAC patients will experience early recurrence with liver metastases or remain stable for longer without liver involvement and thus have a better prognosis. However, for its clinical translation validation studies are needed involving the analysis of the differentially regulated Olink® marker panels in larger cohorts. Further validation will also include analysis of the specified marker panel in longitudinal samples after resection of the primary tumor.</t>
  </si>
  <si>
    <t>Mehdorn AS, Gemoll T, Busch H, Kern K, Beckinger S, Daunke T, Kahlert C, Uzunoglu FG, Hendricks A, Buertin F, Wittel UA, Sunami Y, Röcken C, Becker T, Sebens S.</t>
  </si>
  <si>
    <t>Cancers (Basel). 2022 Sep 22;14(19):4605. doi: 10.3390/cancers14194605.</t>
  </si>
  <si>
    <t>Mehdorn AS</t>
  </si>
  <si>
    <t>PMC9562670</t>
  </si>
  <si>
    <t>10.3390/cancers14194605</t>
  </si>
  <si>
    <t>Analytical validation of a multi-protein, serum-based assay for disease activity assessments in multiple sclerosis</t>
  </si>
  <si>
    <t xml:space="preserve">Methods Dev Neurology, neuromuscular </t>
  </si>
  <si>
    <t>APLP1, CCL20, CD6, CDCp1, CNTN2, COL4A1, CXCL13, CXCL13, FLRT2, GFAP, GH, AL12B, MOG, NfL, OPG, OPN, PRTG, SERIPINA9,  TNSFSF13B, TNFRSF10A, VCAN =</t>
  </si>
  <si>
    <t>Custom Focus Development Panel</t>
  </si>
  <si>
    <t xml:space="preserve">Custom panel developed for Octave Biosciences . More samples could have been run but I believe that was a different paper. It is a quantitative panel. </t>
  </si>
  <si>
    <t>Qureshi F, Hu W, Loh L, Patel H, DeGuzman M, Becich M, Rubio da Costa F, Gehman V, Zhang F, Foley J, Chitnis T.</t>
  </si>
  <si>
    <t>Proteomics Clin Appl. 2023 Feb 26:e2200018. doi: 10.1002/prca.202200018. Online ahead of print.</t>
  </si>
  <si>
    <t>Qureshi F</t>
  </si>
  <si>
    <t>10.1002/prca.202200018</t>
  </si>
  <si>
    <t>Prognostic value of circulating proteins in patients undergoing surgery for pancreatic cancer</t>
  </si>
  <si>
    <t xml:space="preserve">A different ELISA was used for CA19-9; Olink did not add value in prediction relative CA19-9. </t>
  </si>
  <si>
    <t>Lindgaard SC, Sztupinszki Z, Maag E, Hansen CP, Chen IM, Johansen AZ, Hasselby JP, Bojesen SE, Nielsen D, Johansen JS.</t>
  </si>
  <si>
    <t>Cancer Med. 2023 Feb;12(4):3972-3986. doi: 10.1002/cam4.5240. Epub 2022 Oct 17.</t>
  </si>
  <si>
    <t>Lindgaard SC</t>
  </si>
  <si>
    <t>Cancer Med</t>
  </si>
  <si>
    <t>PMC9972037</t>
  </si>
  <si>
    <t>10.1002/cam4.5240</t>
  </si>
  <si>
    <t>Multi-omics analysis uncovers tumor ecosystem dynamics during neoadjuvant toripalimab plus nab-paclitaxel and S-1 for esophageal squamous cell carcinoma: a single-center, open-label, single-arm phase 2 trial</t>
  </si>
  <si>
    <t>IFN-γ, Gal.1 and LAMP3, CD83, TNFRSF4, TNFSF14, VEGFR2, ADA, ARG1, and HO-1</t>
  </si>
  <si>
    <t>Target 96 Immuno-Oncology</t>
  </si>
  <si>
    <t xml:space="preserve">Used alongside mIF and IHC: Olink was not used in the follow up study on as a baseline </t>
  </si>
  <si>
    <t>Zhang G, Yuan J, Pan C, Xu Q, Cui X, Zhang J, Liu M, Song Z, Wu L, Wu D, Luo H, Hu Y, Jiao S, Yang B.</t>
  </si>
  <si>
    <t>EBioMedicine. 2023 Apr;90:104515. doi: 10.1016/j.ebiom.2023.104515. Epub 2023 Mar 13.</t>
  </si>
  <si>
    <t>Zhang G</t>
  </si>
  <si>
    <t>EBioMedicine</t>
  </si>
  <si>
    <t>PMC10024111</t>
  </si>
  <si>
    <t>10.1016/j.ebiom.2023.104515</t>
  </si>
  <si>
    <t>Obese asthma phenotypes display distinct plasma biomarker profiles</t>
  </si>
  <si>
    <t>Cardiometabolic, respiratory</t>
  </si>
  <si>
    <t>FGF21, IL-4, uPA</t>
  </si>
  <si>
    <t xml:space="preserve">Traget 96 Inflammation </t>
  </si>
  <si>
    <t xml:space="preserve"> Beta‐nerve growth factor (BetaNGF), interleukin 10 (IL‐10), and matrix metalloproteinase 10 (MMP10) were associated only with lean asthma while C‐C motif chemokine 20 (CCL20), fibroblast growth factor 19 (FGF19), interleukin 5 (IL‐5), leukemia inhibitory factor (LIF), tumor necrosis factor ligand superfamily member 9 (TNFRSF9), and urokinase‐type plasminogen activator (uPA) were associated only with overweight/obese asthma. Overweight/obesity modified the association between asthma and 3 of the proteins: fibroblast growth factor 21 (FGF21), interleukin 4 (IL‐4), and urokinase‐type plasminogen activator (uPA). In the overweight/obese group, interleukin‐6 (IL‐6) was associated with non‐allergic asthma but not allergic asthma.
</t>
  </si>
  <si>
    <t>Björkander S, Klevebro S, Hernandez-Pacheco N, Kere M, Ekström S, Sparreman Mikus M, van Hage M, James A, Kull I, Bergström A, Mjösberg J, Tibbitt CA, Melén E.</t>
  </si>
  <si>
    <t>Clin Transl Allergy. 2023 Mar;13(3):e12238. doi: 10.1002/clt2.12238.</t>
  </si>
  <si>
    <t>Björkander S</t>
  </si>
  <si>
    <t>Clin Transl Allergy</t>
  </si>
  <si>
    <t>PMC10032201</t>
  </si>
  <si>
    <t>10.1002/clt2.12238</t>
  </si>
  <si>
    <t>Multiomic Signatures of Chronic Beryllium Disease Bronchoalveolar Lavage Cells Relate to T-Cell Function and Innate Immunity</t>
  </si>
  <si>
    <t>Respriatory</t>
  </si>
  <si>
    <t>Target 96 Immune Response</t>
  </si>
  <si>
    <t xml:space="preserve">Protein component of the signature was now elaborated on </t>
  </si>
  <si>
    <t>Li L, Konigsberg IR, Bhargava M, Liu S, MacPhail K, Mayer A, Davidson EJ, Liao SY, Lei Z, Mroz PM, Fingerlin TE, Yang IV, Maier LA.</t>
  </si>
  <si>
    <t>Am J Respir Cell Mol Biol. 2022 Dec;67(6):632-640. doi: 10.1165/rcmb.2022-0077OC.</t>
  </si>
  <si>
    <t>Li L</t>
  </si>
  <si>
    <t>Am J Respir Cell Mol Biol</t>
  </si>
  <si>
    <t>PMC9743181</t>
  </si>
  <si>
    <t>10.1165/rcmb.2022-0077OC</t>
  </si>
  <si>
    <t>Proteomic Analysis of Mucosal and Systemic Responses to SARS-CoV-2 Antigen</t>
  </si>
  <si>
    <t>IL-10, IL-6, HBD4, MIG, TGF-B</t>
  </si>
  <si>
    <t xml:space="preserve">Target 96 Inflammation </t>
  </si>
  <si>
    <t>Used alongside Luminex for cytokines.  An increased pro-inflammatory proteomic profile was measured in the nasal compartment compared to plasma. However, IP-10 and MIG levels were higher in secretions than in nasal tissue, and the opposite was observed for TGF-β. Nasal anti-SARS-CoV-2 spike IgG correlated with mucosal MIG expression for all participants. A further positive correlation was found with IP-10 in BioNTech/Pfizer-vaccinated individuals. Systemic levels of anti-SARS-CoV-2 spike IgG elicited by this vaccine correlated with plasma IL-10, IL-6 and HBD4. Proteomic profiles measured in mucosal tissues and secretions using combined technologies could reveal correlates of protection at the mucosal portals of viral entry.</t>
  </si>
  <si>
    <t>Martinson N, Gordhan B, Petkov S, Pillay AD, Seiphetlo T, Singh N, Otwombe K, Lebina L, Fredolini C, Chiodi F, Fox J, Kana B, Herrera C.</t>
  </si>
  <si>
    <t>Vaccines (Basel). 2023 Feb 2;11(2):334. doi: 10.3390/vaccines11020334.</t>
  </si>
  <si>
    <t>Martinson N</t>
  </si>
  <si>
    <t>Vaccines (Basel)</t>
  </si>
  <si>
    <t>PMC9960779</t>
  </si>
  <si>
    <t>10.3390/vaccines11020334</t>
  </si>
  <si>
    <t>Development and validation of circulating protein signatures as diagnostic biomarkers for biliary tract cancer</t>
  </si>
  <si>
    <t>82,2</t>
  </si>
  <si>
    <t>CA19-9, CCL20</t>
  </si>
  <si>
    <t xml:space="preserve"> Sixteen protein signatures, including 2 to 82 proteins, were generated. All signatures included CA19-9 and chemokine C-C motif ligand 20. Signatures discriminated between patients with BTC vs. controls, with AUCs ranging from 0.95 to 0.99 in the discovery cohort and 0.94 to 0.97 in validation cohort 1. In validation cohort 2, AUCs ranged from 0.84 to 0.94. Nine signatures achieved a specificity of 82% to 84% while keeping a sensitivity of 100% in validation cohort 2. All signatures performed better than CA19-9, and signatures including &gt;15 proteins showed the best performance.</t>
  </si>
  <si>
    <t>Christensen TD, Maag E, Larsen O, Feltoft CL, Nielsen KR, Jensen LH, Leerhøy B, Hansen CP, Chen IM, Nielsen DL, Johansen JS.</t>
  </si>
  <si>
    <t>JHEP Rep. 2022 Dec 13;5(3):100648. doi: 10.1016/j.jhepr.2022.100648. eCollection 2023 Mar.</t>
  </si>
  <si>
    <t>JHEP Rep</t>
  </si>
  <si>
    <t>PMC9867981</t>
  </si>
  <si>
    <t>10.1016/j.jhepr.2022.100648</t>
  </si>
  <si>
    <t>Cardiorespiratory fitness and targeted proteomics involved in brain and cardiovascular health in children with overweight/obesity</t>
  </si>
  <si>
    <t>PLXNB3, sFRP3, CLEC1B, RSPO1, Gal8, CLEC10A, GCP5, MDGA1, CTSC, LAT, IL4RA, PRSS27, CXCL1, Gal9, MERTK, and GT</t>
  </si>
  <si>
    <t xml:space="preserve">Target 96 Cardiovascular, neurology </t>
  </si>
  <si>
    <t xml:space="preserve">no significant proteins were found but candidate markers were identified </t>
  </si>
  <si>
    <t>Plaza-Florido A, Rodriguez-Ayllon M, Altmäe S, Ortega FB, Esteban-Cornejo I.</t>
  </si>
  <si>
    <t>Eur J Sport Sci. 2023 Feb 23:1-10. doi: 10.1080/17461391.2023.2167237. Online ahead of print.</t>
  </si>
  <si>
    <t>Plaza-Florido A</t>
  </si>
  <si>
    <t>Eur J Sport Sci</t>
  </si>
  <si>
    <t>10.1080/17461391.2023.2167237</t>
  </si>
  <si>
    <t>Serum neurofilament light chain: a novel biomarker for early diabetic sensorimotor polyneuropathy</t>
  </si>
  <si>
    <t>NFL</t>
  </si>
  <si>
    <t>Target 96 Neurology Exploratory</t>
  </si>
  <si>
    <t xml:space="preserve"> Our findings in individuals recently diagnosed with diabetes provide new evidence associating higher serum NFL levels with DSPN and peripheral nerve dysfunction. The present study advocates NFL as a potential biomarker for DSPN.</t>
  </si>
  <si>
    <t>Maalmi H, Strom A, Petrera A, Hauck SM, Strassburger K, Kuss O, Zaharia OP, Bönhof GJ, Rathmann W, Trenkamp S, Burkart V, Szendroedi J, Ziegler D, Roden M, Herder C; GDS Group.</t>
  </si>
  <si>
    <t>Diabetologia. 2023 Mar;66(3):579-589. doi: 10.1007/s00125-022-05846-8. Epub 2022 Dec 6.</t>
  </si>
  <si>
    <t>Maalmi H</t>
  </si>
  <si>
    <t>Diabetologia</t>
  </si>
  <si>
    <t>PMC9892145</t>
  </si>
  <si>
    <t>10.1007/s00125-022-05846-8</t>
  </si>
  <si>
    <t>Plasma protein profiling analysis in patients with atrial fibrillation before and after three different ablation techniques</t>
  </si>
  <si>
    <t>42,46,43</t>
  </si>
  <si>
    <t>osteopontin, interleukin-6, interleukin-10, C-C motif ligand 8, and matrix metalloproteinase-1,</t>
  </si>
  <si>
    <t>Target 96 CVDIII, Inflmmation</t>
  </si>
  <si>
    <t>Plasma protein response after three different ablations in patients with AF mainly occurred on the first day. Radiofrequency balloon ablation shared similar alteration in protein profile as cryoballoon ablation compared with radiofrequency ablation, suggesting that lesion size rather than energy source is the determinant in pathophysiological responses to the ablation.</t>
  </si>
  <si>
    <t>Lin M, Bao Y, Du Z, Zhou Y, Zhang N, Lin C, Xie Y, Zhang R, Li Q, Quan J, Zhu T, Xie Y, Xu C, Xie Y, Wei Y, Luo Q, Pan W, Wang L, Ling T, Jin Q, Wu L, Yin T, Xie Y.</t>
  </si>
  <si>
    <t>Front Cardiovasc Med. 2023 Jan 10;9:1077992. doi: 10.3389/fcvm.2022.1077992. eCollection 2022.</t>
  </si>
  <si>
    <t>Lin M</t>
  </si>
  <si>
    <t>PMC9871787</t>
  </si>
  <si>
    <t>10.3389/fcvm.2022.1077992</t>
  </si>
  <si>
    <t>Three Adult Cases of STAT1 Gain-of-Function with Chronic Mucocutaneous Candidiasis Treated with JAK Inhibitors</t>
  </si>
  <si>
    <t>Other (fungal infection)</t>
  </si>
  <si>
    <t>CXCL10, annexin A1, granzyme B, granzyme H, and oncostatin M, INFy,FGF21</t>
  </si>
  <si>
    <t xml:space="preserve">Target 96 inflammation, immune response, oncology II </t>
  </si>
  <si>
    <t>Alterations in plasma biomarkers involved downregulation of cellular markers CXCL10, annexin A1, granzyme B, granzyme H, and oncostatin M, whereas FGF21 was the only upregulated marker after 7 weeks. After 3 months, IFN-ɣ and CXCL10 were downregulated.</t>
  </si>
  <si>
    <t>Borgström EW, Edvinsson M, Pérez LP, Norlin AC, Enoksson SL, Hansen S, Fasth A, Friman V, Kämpe O, Månsson R, Estupiñán HY, Wang Q, Ziyang T, Lakshmikanth T, Smith CIE, Brodin P, Bergman P.</t>
  </si>
  <si>
    <t>J Clin Immunol. 2023 Jan;43(1):136-150. doi: 10.1007/s10875-022-01351-0. Epub 2022 Sep 2.</t>
  </si>
  <si>
    <t>Borgström EW</t>
  </si>
  <si>
    <t>J Clin Immunol</t>
  </si>
  <si>
    <t>PMC9840596</t>
  </si>
  <si>
    <t>10.1007/s10875-022-01351-0</t>
  </si>
  <si>
    <t>Plasma TNFSF10 levels associated with acamprosate treatment response in patients with alcohol use disorder</t>
  </si>
  <si>
    <t>Other (alcohol use)</t>
  </si>
  <si>
    <t>TNFSF10</t>
  </si>
  <si>
    <t xml:space="preserve">Used alognside RNA seq; We performed plasma proteomics using the Olink target 96 inflammation panel and identified that baseline plasma TNF superfamily member 10 (TNFSF10) concentration was associated with alcohol craving intensity and variation in acamprosate treatment outcomes among AUD patients. </t>
  </si>
  <si>
    <t>Ho MF, Zhang C, Moon I, Coombes BJ, Biernacka J, Skime M, Choi DS, Croarkin PE, Frye MA, Ngo Q, Skillon C, Oesterle TS, Karpyak VM, Li H, Weinshilboum RM.</t>
  </si>
  <si>
    <t>Front Pharmacol. 2022 Sep 1;13:986238. doi: 10.3389/fphar.2022.986238. eCollection 2022.</t>
  </si>
  <si>
    <t>Ho MF</t>
  </si>
  <si>
    <t>Front Pharmacol</t>
  </si>
  <si>
    <t>PMC9475292</t>
  </si>
  <si>
    <t>10.3389/fphar.2022.986238</t>
  </si>
  <si>
    <t>Urine supernatant reveals a signature that predicts survival in clear-cell renal cell carcinoma</t>
  </si>
  <si>
    <t>We defined four novel biomarkers using proteomic and transcriptomic data that distinguish severity of prognosis in ccRCC. We showed that these biomarkers can be used in a model to predict 2-year and 5-year OS in ccRCC across different tumour stages. This type of analysis, if validated in the future, provides non-invasive prognostic information that could inform either management or surveillance strategies for patients.</t>
  </si>
  <si>
    <t>Daza J, Salomé B, Okhawere K, Bane O, Meilika KN, Korn TG, Qi J, Xe H, Patel M, Brody R, Kim-Schulze S, Sfakianos JP, Lewis S, Rich JM, Zuluaga L, Badani KK, Horowitz A.</t>
  </si>
  <si>
    <t>BJU Int. 2023 Feb 16. doi: 10.1111/bju.15989. Online ahead of print.</t>
  </si>
  <si>
    <t>Daza J</t>
  </si>
  <si>
    <t>BJU Int</t>
  </si>
  <si>
    <t>10.1111/bju.15989</t>
  </si>
  <si>
    <t>Interleukin-6 trans-signaling induced laminin switch contributes to reduced trans-endothelial migration of granulocytic cells</t>
  </si>
  <si>
    <t>IL-6</t>
  </si>
  <si>
    <t>Target 96 CVDIII, Inflammation</t>
  </si>
  <si>
    <t>Used alongside western blotting, ELISA, and IF stains. We showed that expression of endothelial laminin alpha chains is regulated by IL-6 trans-signaling and contributes to inhibition of trans-endothelial migration of granulocytic cells. Further, expression of laminin alpha chains is altered in human atherosclerotic plaques and is related to intra-plaque abundance of leukocyte subpopulations.</t>
  </si>
  <si>
    <t>Zegeye MM, Matic L, Lengquist M, Hayderi A, Grenegård M, Hedin U, Sirsjö A, Ljungberg LU, Kumawat AK.</t>
  </si>
  <si>
    <t>Atherosclerosis. 2023 Apr;371:41-53. doi: 10.1016/j.atherosclerosis.2023.03.010. Epub 2023 Mar 22.</t>
  </si>
  <si>
    <t>Zegeye MM</t>
  </si>
  <si>
    <t>Atherosclerosis</t>
  </si>
  <si>
    <t>10.1016/j.atherosclerosis.2023.03.010</t>
  </si>
  <si>
    <t>Identification of cerebral spinal fluid protein biomarkers in Niemann-Pick disease, type C1</t>
  </si>
  <si>
    <t>TNSF10 was measured with an ELISA as part of this study (TMO); No significant proteins for inflammation were found</t>
  </si>
  <si>
    <t>Campbell K, Cawley NX, Luke R, Scott KEJ, Johnson N, Farhat NY, Alexander D, Wassif CA, Li W, Cologna SM, Berry-Kravis E, Do AD, Dale RK, Porter FD.</t>
  </si>
  <si>
    <t>Biomark Res. 2023 Jan 31;11(1):14. doi: 10.1186/s40364-023-00448-x.</t>
  </si>
  <si>
    <t>Campbell K</t>
  </si>
  <si>
    <t>Biomark Res</t>
  </si>
  <si>
    <t>PMC9887810</t>
  </si>
  <si>
    <t>10.1186/s40364-023-00448-x</t>
  </si>
  <si>
    <t>OxLDL sensitizes platelets for increased formation of extracellular vesicles capable of finetuning macrophage gene expression</t>
  </si>
  <si>
    <t>HLA-DR and CD86, CD11c, other cytokines</t>
  </si>
  <si>
    <t>he inflammatory protein cargo differed between the PEVs from stimulated and unstimulated platelets. Both oxLDL+TC- and TC-induced PEVs enhanced macrophage HLA-DR and CD86 expression and decreased CD11c expression as well as secretion of several cytokines. Pathways related to cell cycle and regulation of gene expression, and immune system signaling were overrepresented in the differentially expressed genes between TC PEV -treated vs. control macrophages and oxLDL+TC PEV -treated vs. control macrophages, respectively</t>
  </si>
  <si>
    <t>Maaninka K, Neuvonen M, Kerkelä E, Hyvärinen K, Palviainen M, Kamali-Moghaddam M, Federico A, Greco D, Laitinen S, Öörni K, Siljander PR.</t>
  </si>
  <si>
    <t>Eur J Cell Biol. 2023 Mar 15;102(2):151311. doi: 10.1016/j.ejcb.2023.151311. Online ahead of print.</t>
  </si>
  <si>
    <t>Maaninka K</t>
  </si>
  <si>
    <t>Eur J Cell Biol</t>
  </si>
  <si>
    <t>10.1016/j.ejcb.2023.151311</t>
  </si>
  <si>
    <t>Protein Profiling in Presymptomatic Individuals Separates Myeloperoxidase-Antineutrophil Cytoplasmic Antibody and Proteinase 3-Antineutrophil Cytoplasmic Antibody Vasculitides</t>
  </si>
  <si>
    <t>5,6,7</t>
  </si>
  <si>
    <t>monocyte chemotactic protein 1 (MCP-1), fibroblast growth factor 19 (FGF-19), and CCL19, FLT-3L, CCL23, CXCL5, ENRAGE, and CCL19, vascular endothelial growth factor A [VEGF-A], transforming growth factor β1 [TGFβ1] proprotein, ENRAGE, and CCL19</t>
  </si>
  <si>
    <t>Of the 20 proteins with the lowest P values in the original cohort, 7 were replicated in the second cohort and 5 proteins were found to be significant between the groups in a meta-analysis. Eleven different pathways were identified in network enrichment analyses and were found to be significant in both cohorts. Stratification of samples obtained ≤5 years before symptom onset showed significant levels of CCL23, vascular endothelial growth factor A, and hepatocyte growth factor, which were also increased at borderline significant levels in the replication cohort (interleukin-6 was found to be significantly increased in the replication cohort). In presymptomatic AAV patients, 6 proteins were associated with MPO-ANCA positivity, and 7 proteins were associated with PR3-ANCA positivity.</t>
  </si>
  <si>
    <t>Brink M, Berglin E, Mohammad AJ, Lundquist A, Gjertsson I, Alexeyenko A, Lejon K, Rantapää-Dahlqvist S.</t>
  </si>
  <si>
    <t>Arthritis Rheumatol. 2022 Dec 19. doi: 10.1002/art.42425. Online ahead of print.</t>
  </si>
  <si>
    <t>Brink M</t>
  </si>
  <si>
    <t>Arthritis Rheumatol</t>
  </si>
  <si>
    <t>10.1002/art.42425</t>
  </si>
  <si>
    <t>Cerebrospinal fluid cytokines after autologous haematopoietic stem cell transplantation and intrathecal rituximab treatment for multiple sclerosis</t>
  </si>
  <si>
    <t>CCL3, IL-12B, CXCL10 and IL-8</t>
  </si>
  <si>
    <t>The CSF concentrations of CCL3, IL-12B and CXCL10 were decreased after autologous haematopoietic stem cell transplantation, whereas IL-8 appeared to be unaffected by this intervention. High concentrations of IL-8 were associated with worse outcome in both treatment groups. Overall, the results suggest a profound effect of autologous haematopoietic stem cell transplantation on the inflammatory milieu of the CSF in multiple sclerosis.</t>
  </si>
  <si>
    <t>Burman J, Zjukovskaja C, Svenningsson A, Freyhult E, Wiberg A, Kultima K.</t>
  </si>
  <si>
    <t>Brain Commun. 2023 Jan 20;5(1):fcad011. doi: 10.1093/braincomms/fcad011. eCollection 2023.</t>
  </si>
  <si>
    <t>Burman J</t>
  </si>
  <si>
    <t>Brain Commun</t>
  </si>
  <si>
    <t>PMC9901571</t>
  </si>
  <si>
    <t>10.1093/braincomms/fcad011</t>
  </si>
  <si>
    <t>Association of the inflammation-related proteome with dementia development at older age: results from a large, prospective, population-based cohort study</t>
  </si>
  <si>
    <t>Neurology, Immunology</t>
  </si>
  <si>
    <t>58,22,33</t>
  </si>
  <si>
    <t>CX3CL1, EN-RAGE, LAP TGF-beta-1, and VEGF-A</t>
  </si>
  <si>
    <t>We identified four biomarker clusters, among which the strongest representatives, CX3CL1, EN-RAGE, LAP TGF-beta-1, and VEGF-A, were significantly associated with dementia endpoints independently from other inflammation-related proteins. CX3CL1 (odds ratio [95% confidence interval] per 1 standard deviation increase: 1.41 [1.24–1.60]) and EN-RAGE (1.41 [1.25–1.60]) were associated with all-cause dementia incidence, EN-RAGE (1.51 [1.25–1.83]) and LAP TGF-beta-1 (1.46 [1.21–1.76]) with Alzheimer’s disease incidence, and VEGF-A (1.43 [1.20–1.70]) with vascular dementia incidence. All named associations were stronger among APOE ε4-negative subjects.</t>
  </si>
  <si>
    <t>Trares K, Bhardwaj M, Perna L, Stocker H, Petrera A, Hauck SM, Beyreuther K, Brenner H, Schöttker B.</t>
  </si>
  <si>
    <t>Alzheimers Res Ther. 2022 Sep 9;14(1):128. doi: 10.1186/s13195-022-01063-y.</t>
  </si>
  <si>
    <t>Trares K</t>
  </si>
  <si>
    <t>PMC9461133</t>
  </si>
  <si>
    <t>10.1186/s13195-022-01063-y</t>
  </si>
  <si>
    <t>Advanced Proteomics and Cluster Analysis for Identifying Novel Obstructive Sleep Apnea Subtypes before and after CPAP Therapy</t>
  </si>
  <si>
    <t>Other (Sleep Apnea)</t>
  </si>
  <si>
    <t>We identified three unique inflammatory clusters in OSA patients using plasma proteomics, with a differential response to CPAP by cluster. Our results are hypothesis-generating and require further investigation in larger longitudinal studies for enhanced cardiovascular risk-profiling in OSA.</t>
  </si>
  <si>
    <t>Kundel V, Cohen O, Khan S, Patel M, Kim-Schulze S, Kovacic J, Suárez-Fariñas M, Shah NA.</t>
  </si>
  <si>
    <t>Ann Am Thorac Soc. 2023 Feb 13. doi: 10.1513/AnnalsATS.202210-897OC. Online ahead of print.</t>
  </si>
  <si>
    <t>Kundel V</t>
  </si>
  <si>
    <t>Ann Am Thorac Soc</t>
  </si>
  <si>
    <t>10.1513/AnnalsATS.202210-897OC</t>
  </si>
  <si>
    <t>The Acute Cytokine Response to 30-Minute Exercise Bouts Before and After 8-Week Endurance Training in Individuals With Obesity</t>
  </si>
  <si>
    <t>OSM, TGFA, CXCL1 and 5, and TNFSF14</t>
  </si>
  <si>
    <t>two ELISAs were used for VEGFA andIL6 (R&amp;D systems)</t>
  </si>
  <si>
    <t>Goj T, Hoene M, Fritsche L, Schneeweiss P, Machann J, Petrera A, Hauck SM, Fritsche A, Birkenfeld AL, Peter A, Heni M, Niess AM, Moller A, Weigert C.</t>
  </si>
  <si>
    <t>J Clin Endocrinol Metab. 2023 Mar 10;108(4):865-875. doi: 10.1210/clinem/dgac623.</t>
  </si>
  <si>
    <t>Goj T</t>
  </si>
  <si>
    <t>J Clin Endocrinol Metab</t>
  </si>
  <si>
    <t>PMC9999360</t>
  </si>
  <si>
    <t>10.1210/clinem/dgac623</t>
  </si>
  <si>
    <t>Prognostic importance of biomarkers associated with haemostatic, vascular and endothelial disturbances in acute coronary syndrome patients in relation to kidney function</t>
  </si>
  <si>
    <t>Tissue factor, proteinase-activated receptor, soluble urokinase plasminogen activator surface receptor (suPAR), thrombomodulin, adrenomedullin, renin, and angiotensinogen</t>
  </si>
  <si>
    <t>Used alongside MRM spectrometry. Adrenomedullin, suPAR, and renin were associated with the composite outcome in all. Adrenomedullin, involved in endothelial protection, showed a significant interaction with renal function and outcome, and was associated with the composite outcome only in patients with preserved kidney function.</t>
  </si>
  <si>
    <t>Mörtberg J, Salzinger B, Lundwall K, Edfors R, Jacobson SH, Wallén HN, Jernberg T, Baron T, Erlinge D, Andell P, James S, Eggers KM, Hjort M, Kahan T, Lundman P, Tornvall P, Rezeli M, Marko-Varga G, Lindahl B, Spaak J.</t>
  </si>
  <si>
    <t>Int J Cardiol. 2023 Feb 15;373:64-71. doi: 10.1016/j.ijcard.2022.12.005. Epub 2022 Dec 5.</t>
  </si>
  <si>
    <t>Mörtberg J</t>
  </si>
  <si>
    <t>10.1016/j.ijcard.2022.12.005</t>
  </si>
  <si>
    <t>Plasma levels of CCL21, but not CCL19, independently predict future coronary events in a prospective population-based cohort</t>
  </si>
  <si>
    <t>CCL19, CCL21</t>
  </si>
  <si>
    <t xml:space="preserve">Target 96 Oncology I </t>
  </si>
  <si>
    <t>CCL21 was measured using an R&amp;D systems ELISA, but CCL19 was measured with Olink and found not to be significant. Even though CCL21 and CCL19 both signal through CCR7, these chemokines may not be interchangeable as disease predictors and CCL21 could be used for prediction of future coronary events in individuals without any previous coronary heart disease history.</t>
  </si>
  <si>
    <t>Katra P, Hennings V, Nilsson J, Engström G, Engelbertsen D, Bengtsson E, Björkbacka H.</t>
  </si>
  <si>
    <t>Atherosclerosis. 2023 Feb;366:1-7. doi: 10.1016/j.atherosclerosis.2023.01.004. Epub 2023 Jan 12.</t>
  </si>
  <si>
    <t>Katra P</t>
  </si>
  <si>
    <t>10.1016/j.atherosclerosis.2023.01.004</t>
  </si>
  <si>
    <t>Proteomic profiling of a patient with cutaneous melanoma metastasis regression following topical contact sensitizer diphencyprone and immune checkpoint inhibitor treatment</t>
  </si>
  <si>
    <t>PD-L1, PD-1, LAG3</t>
  </si>
  <si>
    <t xml:space="preserve">Tissue and serum samples studies. Particular attention was paid to programmed death-1 (PD-1), programmed death-ligand 1 (PD-L1), and lymphocyte-activation gene 3 (LAG-3) given they are all targeted by ICIs in clinical practice. These proteins were upregulated during the period of DPCP monotherapy, then downregulated during pembrolizumab monotherapy, and then robustly upregulated again during dual therapy. Although not exclusively, the induction of checkpoint inhibitor proteins in the presence of DPCP suggests potential synergy between this agent and ICIs in the treatment of cutaneous melanoma metastases. Large-scale investigation is warranted to further evaluate this potential novel combination therapeutic approach.
</t>
  </si>
  <si>
    <t>Han J, Agarwal A, Young JN, Owji S, Luu Y, Poplausky D, Yassky D, Estrada Y, Ungar J, Krueger JG, Gulati N.</t>
  </si>
  <si>
    <t>Sci Rep. 2022 Dec 26;12(1):22364. doi: 10.1038/s41598-022-27020-1.</t>
  </si>
  <si>
    <t>PMC9792448</t>
  </si>
  <si>
    <t>10.1038/s41598-022-27020-1</t>
  </si>
  <si>
    <t>Association between proteomic biomarkers and myocardial fibrosis measured by MRI: the multi-ethnic study of atherosclerosis</t>
  </si>
  <si>
    <t>Plasminogen activator inhibitor 1, Insulin-like growth factor-binding protein 1, and N-terminal pro-B-type natriuretic peptide</t>
  </si>
  <si>
    <t xml:space="preserve">After adjusting for false discovery, higher ECV was significantly associated with 17 proteins. Using BART, Plasminogen activator inhibitor 1, Insulin-like growth factor-binding protein 1, and N-terminal pro-B-type natriuretic peptide were associated with higher ECV after accounting for other proteins and traditional cardiovascular risk factors. In contrast, no circulating proteins were associated with replacement fibrosis.
</t>
  </si>
  <si>
    <t>Bakhshi H, Michelhaugh SA, Bruce SA, Seliger SL, Qian X, Ambale Venkatesh B, Varadarajan V, Bagchi P, Lima JAC, deFilippi C.</t>
  </si>
  <si>
    <t>EBioMedicine. 2023 Apr;90:104490. doi: 10.1016/j.ebiom.2023.104490. Epub 2023 Feb 28.</t>
  </si>
  <si>
    <t>Bakhshi H</t>
  </si>
  <si>
    <t>PMC10006438</t>
  </si>
  <si>
    <t>10.1016/j.ebiom.2023.104490</t>
  </si>
  <si>
    <t>Plasma levels of neurology-related proteins are associated with cognitive performance in an older population with overweight/obesity and metabolic syndrome</t>
  </si>
  <si>
    <t>Cardiometabolic, neurolgy</t>
  </si>
  <si>
    <t>6,13,12</t>
  </si>
  <si>
    <t>alpha-2-MRAP, HAGH, Siglec-9, MDGA1, IL12, and EDA2R,CLEC1b, LXN, LAT, PLXNB3, NMNAT1, gal-8, HAGH, NAAA, CTSS, EZR, KYNU, MANF,NMNAT1, HAGH, LXN, gal-8, alpha-2-MRAP, IL12, PDGF-R-alpha, NAAA, EDA2R, CLEC1B, and LAT</t>
  </si>
  <si>
    <t xml:space="preserve"> In summary, we identified several plasma proteins that were significantly associated with cognitive performance in older adults with obesity and metabolic syndrome, although further research is needed to replicate the results in larger samples and to include a predictive perspective.</t>
  </si>
  <si>
    <t>Llaurador-Coll M, Rios S, García-Gavilán JF, Babio N, Vilella E, Salas-Salvadó J.</t>
  </si>
  <si>
    <t>Geroscience. 2023 Mar 25. doi: 10.1007/s11357-023-00764-y. Online ahead of print.</t>
  </si>
  <si>
    <t>Llaurador-Coll M</t>
  </si>
  <si>
    <t>Geroscience</t>
  </si>
  <si>
    <t>10.1007/s11357-023-00764-y</t>
  </si>
  <si>
    <t>Growth Differentiation Factor 15 and Risk of Death in Haemodialysis Patients</t>
  </si>
  <si>
    <t>GDF-15</t>
  </si>
  <si>
    <t xml:space="preserve">Results validated using  Elecsys GDF-15; Plasma GDF-15 displays promising prognostic properties for the prediction of long-term survival beyond clinical parameters in patients on maintenance haemodialysis.
</t>
  </si>
  <si>
    <t>Calen C, Von Moos S, Cippà P, Mebazaa A, Arrigo M.</t>
  </si>
  <si>
    <t>Int J Nephrol. 2023 Mar 23;2023:5163548. doi: 10.1155/2023/5163548. eCollection 2023.</t>
  </si>
  <si>
    <t>Calen C</t>
  </si>
  <si>
    <t>Int J Nephrol</t>
  </si>
  <si>
    <t>PMC10063357</t>
  </si>
  <si>
    <t>10.1155/2023/5163548</t>
  </si>
  <si>
    <t>Cerebrospinal fluid and serum proteomic profiles accurately distinguish neuroaxonal dystrophy from cervical vertebral compressive myelopathy in horses</t>
  </si>
  <si>
    <t>Other (Horse Neurology)</t>
  </si>
  <si>
    <t>18, 30</t>
  </si>
  <si>
    <t>RSPO1, NEFL</t>
  </si>
  <si>
    <t xml:space="preserve">Explore Neurology </t>
  </si>
  <si>
    <t>Of the 368 proteins, 84 were detected in CSF and 146 in serum. Eighteen of 84 proteins in CSF and 30/146 in serum were differentially abundant among the 3 groups, after correction for multiple testing. Modeling indicated that a 2‐protein test using CSF had the highest accuracy for discriminating among all 3 groups. Cerebrospinal fluid R‐spondin 1 (RSPO1) and neurofilament‐light (NEFL), in parallel, predicted normal horses with an accuracy of 87.18%, CVCM with 84.62%, and eNAD/EDM with 73.5%.</t>
  </si>
  <si>
    <t>Donnelly CG, Johnson AL, Reed S, Finno CJ.</t>
  </si>
  <si>
    <t>J Vet Intern Med. 2023 Mar;37(2):689-696. doi: 10.1111/jvim.16660. Epub 2023 Mar 16.</t>
  </si>
  <si>
    <t>Donnelly CG</t>
  </si>
  <si>
    <t>J Vet Intern Med</t>
  </si>
  <si>
    <t>PMC10061172</t>
  </si>
  <si>
    <t>10.1111/jvim.16660</t>
  </si>
  <si>
    <t>Short and long-term associations between serum proteins linked to cardiovascular disease and particle exposure among constructions workers</t>
  </si>
  <si>
    <t>tissue factor, growth hormone, heme oxygenase-1, dickkopf-related protein-1, platelet-derived growth factor-B, stem cell factor, carcinoembryonic antigen-related cell adhesion molecule-8, hydroxyacid oxidase-1, tissue factor, carbonic anhydrase-5A, lectin-like oxidized LDL receptor-1</t>
  </si>
  <si>
    <t>Target 96 CVD</t>
  </si>
  <si>
    <t>Moderate exposure to particles in the construction industry is associated with both short- and long-term changes in circulating CVD-related proteins. Further studies are needed to evaluate if these changes are predictors of occupationally induced clinical CVD.</t>
  </si>
  <si>
    <t>Gliga AR, Grahn K, Gustavsson P, Ljungman P P, Albin M, Selander J, Broberg K.</t>
  </si>
  <si>
    <t>Scand J Work Environ Health. 2023 Mar 1;49(2):145-154. doi: 10.5271/sjweh.4071. Epub 2022 Nov 21.</t>
  </si>
  <si>
    <t>Gliga AR</t>
  </si>
  <si>
    <t>Scand J Work Environ Health</t>
  </si>
  <si>
    <t>10.5271/sjweh.4071</t>
  </si>
  <si>
    <t>Maternal circulating metabolic biomarkers and their prediction performance for gestational diabetes mellitus related macrosomia</t>
  </si>
  <si>
    <t>CLUL1 (Clusterin-like protein 1), VCAN (Versican core protein), FCRL1 (Fc receptor-like protein 1), RNASE3 (Eosinophil cationic protein)</t>
  </si>
  <si>
    <t xml:space="preserve">Target 96 Metabolism </t>
  </si>
  <si>
    <t xml:space="preserve">The Model included pre-pregnancy BMI, weight gain at 24 gw, parity, OGTT 2 h glucose at 24 gw, HDL and LDL at 24 gw, and plasma expression of CLUL1, VCAN and RNASE3 at 24 gw had good prediction performance for predicting macrosomia in women with GDM.
</t>
  </si>
  <si>
    <t>Yuan Y, Zhu Q, Yao X, Shi Z, Wen J.</t>
  </si>
  <si>
    <t>BMC Pregnancy Childbirth. 2023 Feb 14;23(1):113. doi: 10.1186/s12884-023-05440-9.</t>
  </si>
  <si>
    <t>Yuan Y</t>
  </si>
  <si>
    <t>BMC Pregnancy Childbirth</t>
  </si>
  <si>
    <t>PMC9926775</t>
  </si>
  <si>
    <t>10.1186/s12884-023-05440-9</t>
  </si>
  <si>
    <t>The inflammatory proteome, obesity, and medical weight loss and regain in humans</t>
  </si>
  <si>
    <t>10, 33</t>
  </si>
  <si>
    <t>Broad changes in the inflammatory proteome were observed among the study cohort (60% women, 35% African American) with initial weight loss of ≈8 kg from a median 94 kg at study entry (33/74 proteins; 7 increased; 26 decreased), many of which tracked with weight regain of median ≈2 kg over the next 30 months. Ten proteins were associated with different rates of weight regain, some specifying pathways of chemotaxis and innate immune responses. Several of the observed protein associations were also linked to prevalent obesity in the Framingham Heart Study.</t>
  </si>
  <si>
    <t>Perry AS, Tanriverdi K, Risitano A, Hwang SJ, Murthy VL, Nayor M, Zhao S, Levy D, Shah RV, Freedman JE.</t>
  </si>
  <si>
    <t>Obesity (Silver Spring). 2023 Jan;31(1):150-158. doi: 10.1002/oby.23587. Epub 2022 Nov 5.</t>
  </si>
  <si>
    <t>Perry AS</t>
  </si>
  <si>
    <t>Obesity (Silver Spring)</t>
  </si>
  <si>
    <t>PMC9923277</t>
  </si>
  <si>
    <t>NIHMS1836660</t>
  </si>
  <si>
    <t>10.1002/oby.23587</t>
  </si>
  <si>
    <t>Plasma proteomics identifies CRTAC1 as a biomarker for osteoarthritis severity and progression</t>
  </si>
  <si>
    <t>circulating cartilage acidic protein 1 (CRTAC1), cartilage oligomeric matrix protein (COMP), thrombospondin 4, IL-18 receptor 1 (IL-18R1) and TNF ligand superfamily member 14.</t>
  </si>
  <si>
    <t>Target 96  Inflammation,Cardiometabolic</t>
  </si>
  <si>
    <t>We identified several compelling biomarkers reflecting the overall OA burden and the increased risk for OA progression. CRTAC1 was the most compelling and robust biomarker for OA severity and progression. Such a biomarker may be used for disease monitoring.</t>
  </si>
  <si>
    <t>Szilagyi IA, Vallerga CL, Boer CG, Schiphof D, Ikram MA, Bierma-Zeinstra SMA, van Meurs JBJ.</t>
  </si>
  <si>
    <t>Rheumatology (Oxford). 2023 Mar 1;62(3):1286-1295. doi: 10.1093/rheumatology/keac415.</t>
  </si>
  <si>
    <t>Szilagyi IA</t>
  </si>
  <si>
    <t>PMC9977119</t>
  </si>
  <si>
    <t>10.1093/rheumatology/keac415</t>
  </si>
  <si>
    <t>Cardiovascular risk factors: The effects of ageing and smoking on the immune system, an observational clinical study</t>
  </si>
  <si>
    <t>IL-6, LAMP3, CCL11, TREM1</t>
  </si>
  <si>
    <t xml:space="preserve">Biolegend used for cytokines. These data show that ageing and smoking are associated with an inflammatory immunophenotype, and that heavy smokers or aged individuals may serve as potential populations for future clinical trials investigating immunomodulatory drugs targeted for cardiovascular disease.
</t>
  </si>
  <si>
    <t>Grievink HW, Smit V, Huisman BW, Gal P, Yavuz Y, Klerks C, Binder CJ, Bot I, Kuiper J, Foks AC, Moerland M.</t>
  </si>
  <si>
    <t>Front Immunol. 2022 Sep 15;13:968815. doi: 10.3389/fimmu.2022.968815. eCollection 2022.</t>
  </si>
  <si>
    <t>Grievink HW</t>
  </si>
  <si>
    <t>PMC9519851</t>
  </si>
  <si>
    <t>10.3389/fimmu.2022.968815</t>
  </si>
  <si>
    <t>Screening for Biomarkers Associated with Left Ventricular Function During Follow-up After Acute Coronary Syndrome</t>
  </si>
  <si>
    <t>Transferrin receptor protein 1 and NT-proBNP, sST2, osteopontin,Fatty-acid-binding protein and galectin 3</t>
  </si>
  <si>
    <t>Used alongside SomaLogic;  Biomarkers for energy metabolism and fibrosis were exclusively related to worse LV function by GLS. Studies on the functions of these proteins might add knowledge to the biological processes involved in heart failure in long term after ACS.</t>
  </si>
  <si>
    <t>Christersson C, Baron T, Flachskampf F, Lindhagen L, Lindahl B, Siegbahn A.</t>
  </si>
  <si>
    <t>J Cardiovasc Transl Res. 2023 Feb;16(1):244-254. doi: 10.1007/s12265-022-10285-2. Epub 2022 Jun 21.</t>
  </si>
  <si>
    <t>Christersson C</t>
  </si>
  <si>
    <t>J Cardiovasc Transl Res</t>
  </si>
  <si>
    <t>PMC9944718</t>
  </si>
  <si>
    <t>10.1007/s12265-022-10285-2</t>
  </si>
  <si>
    <t>Screening inflammatory protein biomarkers on premature infants with necrotizing enterocolitis</t>
  </si>
  <si>
    <t>IL-8, TRAIL, IL-24, MMP-10, CCL20, CXCL1, OPG, TSLP, MCP-4, TNFSF14 and LIF. A</t>
  </si>
  <si>
    <t>A combination of these 11 proteins could serve as differential diagnosis between NEC and control infants (AUC = 0.972), or between NEC and sepsis infants (AUC = 0.881). Furthermore, the combination of IL-8, OPG, MCP-4, IL-24, LIF and CCL20 could distinguish Stage II and III of NEC (AUC = 0.977). Further analysis showed the combination of IL-8, IL-24 and CCL20 have the best prediction value for NEC and control (AUC = 0.947), NEC and sepsis (AUC = 0.838) and different severity of NEC (AUC = 0.842).</t>
  </si>
  <si>
    <t>Dong H, Zhang L, Li B, Li J, Chen Y, Richard SA, Xu Y, Zhu C.</t>
  </si>
  <si>
    <t>Inflamm Res. 2023 Feb 18. doi: 10.1007/s00011-023-01702-6. Online ahead of print.</t>
  </si>
  <si>
    <t>Dong H</t>
  </si>
  <si>
    <t>Inflamm Res</t>
  </si>
  <si>
    <t>10.1007/s00011-023-01702-6</t>
  </si>
  <si>
    <t>Renin: Measurements, Correlates, and Associations With Long-Term Adverse Kidney Outcomes</t>
  </si>
  <si>
    <t>Renin</t>
  </si>
  <si>
    <t>Somascan and Olink compared.</t>
  </si>
  <si>
    <t>Blum MF, Chen J, Surapaneni A, Turner ST, Ballantyne CM, Welling PA, Köttgen A, Coresh J, Crews DC, Grams ME.</t>
  </si>
  <si>
    <t>Am J Hypertens. 2023 Jan 1;36(1):42-49. doi: 10.1093/ajh/hpac112.</t>
  </si>
  <si>
    <t>Blum MF</t>
  </si>
  <si>
    <t>Am J Hypertens</t>
  </si>
  <si>
    <t>PMC9793893</t>
  </si>
  <si>
    <t>10.1093/ajh/hpac112</t>
  </si>
  <si>
    <t>Discovery and replication of blood-based proteomic signature of PTSD in 9/11 responders</t>
  </si>
  <si>
    <t>SKR3, NCAN, BCAN, MSR1, PVR, TNFRSF21, DRAXIN, CLM6, and SCARB2</t>
  </si>
  <si>
    <t xml:space="preserve"> The multiprotein composite score substantially increased associations with PTSD symptom severity over individual proteins. If generalizable to other populations, the current findings may inform the development of PTSD biomarkers.</t>
  </si>
  <si>
    <t>Waszczuk MA, Kuan PF, Yang X, Miao J, Kotov R, Luft BJ.</t>
  </si>
  <si>
    <t>Transl Psychiatry. 2023 Jan 11;13(1):8. doi: 10.1038/s41398-022-02302-4.</t>
  </si>
  <si>
    <t>Waszczuk MA</t>
  </si>
  <si>
    <t>Transl Psychiatry</t>
  </si>
  <si>
    <t>PMC9834302</t>
  </si>
  <si>
    <t>10.1038/s41398-022-02302-4</t>
  </si>
  <si>
    <t>Proteomic profiling identifies novel independent relationships between inflammatory proteins and myocardial infarction</t>
  </si>
  <si>
    <t>CDCP1, CD6, IL1-8R1, IL-6, and CXCL1</t>
  </si>
  <si>
    <t xml:space="preserve">This study, demonstrating independent relationships between five inflammatory proteins and MI, provides important novel insights into the inflammatory hypothesis of MI and the potential utility of proteomic analyses in precision medicine.
</t>
  </si>
  <si>
    <t>Valdes-Marquez E, Clarke R, Hill M, Watkins H, Hopewell JC; PROCARDIS Consortium.</t>
  </si>
  <si>
    <t>Eur J Prev Cardiol. 2023 Jan 25:zwad020. doi: 10.1093/eurjpc/zwad020. Online ahead of print.</t>
  </si>
  <si>
    <t>Valdes-Marquez E</t>
  </si>
  <si>
    <t>Eur J Prev Cardiol</t>
  </si>
  <si>
    <t>10.1093/eurjpc/zwad020</t>
  </si>
  <si>
    <t>Inflammatory Blood Signature Related to Common Psychological Comorbidity in Chronic Pain</t>
  </si>
  <si>
    <t>Immunology, Neurology</t>
  </si>
  <si>
    <t>(PHQ-9): STAMBP, SIRT2, AXIN1, CASP-8, ADA, IL-7, CD40, CXCL1, CXCL5, and CD244.</t>
  </si>
  <si>
    <t>Target 96 Inflammtion</t>
  </si>
  <si>
    <t>This study further contributes to the increasing knowledge of the importance of inflammation in chronic pain conditions and indicates that specific inflammatory proteins may be related to psychological comorbidity.</t>
  </si>
  <si>
    <t>Karshikoff B, Wåhlén K, Åström J, Lekander M, Holmström L, Wicksell RK.</t>
  </si>
  <si>
    <t>Biomedicines. 2023 Feb 27;11(3):713. doi: 10.3390/biomedicines11030713.</t>
  </si>
  <si>
    <t>Karshikoff B</t>
  </si>
  <si>
    <t>PMC10045222</t>
  </si>
  <si>
    <t>10.3390/biomedicines11030713</t>
  </si>
  <si>
    <t>Plasma extracellular vesicles reveal early molecular differences in amyloid positive patients with early-onset mild cognitive impairment</t>
  </si>
  <si>
    <t>Target 96 Inflammation, Neurology</t>
  </si>
  <si>
    <t>Circulating exosomes may acquire a pathological protein signature of AD before raw plasma, becoming potential biomarkers for identifying subjects at the earliest stages of AD development.</t>
  </si>
  <si>
    <t>Cano A, Esteban-de-Antonio E, Bernuz M, Puerta R, García-González P, de Rojas I, Olivé C, Pérez-Cordón A, Montrreal L, Núñez-Llaves R, Sotolongo-Grau Ó, Alarcón-Martín E, Valero S, Alegret M, Martín E, Martino-Adami PV, Ettcheto M, Camins A, Vivas A, Gomez-Chiari M, Tejero MÁ, Orellana A, Tárraga L, Marquié M, Ramírez A, Martí M, Pividori MI, Boada M, Ruíz A.</t>
  </si>
  <si>
    <t>J Nanobiotechnology. 2023 Feb 14;21(1):54. doi: 10.1186/s12951-023-01793-7.</t>
  </si>
  <si>
    <t>Cano A</t>
  </si>
  <si>
    <t>J Nanobiotechnology</t>
  </si>
  <si>
    <t>PMC9930227</t>
  </si>
  <si>
    <t>10.1186/s12951-023-01793-7</t>
  </si>
  <si>
    <t>MAPK activated kinase 2 inhibition shifts the chemokine signature in arthritis synovial fluid mononuclear cells from CXCR3 to CXCR2</t>
  </si>
  <si>
    <t xml:space="preserve">CXCL9, HGF, CXCL11, TWEAK, IL-12B, CXCL5, CXCL6, TGFa, MCP3, LAP TGFB, </t>
  </si>
  <si>
    <t>Target 48 Cytokines</t>
  </si>
  <si>
    <t>This study reveals the downstream effects of MK2 inhibition on the secretory profile of SFMCs. Specifically, C-X-C motif chemokine receptors 3 (CXCR3) chemokines were decreased and CXCR2 chemokines were increased. This shift in the chemokine milieu may be one of the mechanisms behind the anti-inflammatory effects of MK2 inhibitors.</t>
  </si>
  <si>
    <t>Kragstrup TW, Sørensen AS, Brüner M, Lomholt S, Nielsen MA, Schafer P, Deleuran B.</t>
  </si>
  <si>
    <t>Int Immunopharmacol. 2022 Nov;112:109267. doi: 10.1016/j.intimp.2022.109267. Epub 2022 Sep 28.</t>
  </si>
  <si>
    <t>Kragstrup TW</t>
  </si>
  <si>
    <t>Int Immunopharmacol</t>
  </si>
  <si>
    <t>10.1016/j.intimp.2022.109267</t>
  </si>
  <si>
    <t>Circulating immune response proteins predict the outcome following disease progression of osimertinib treated epidermal growth factor receptor-positive non-small cell lung cancer patients</t>
  </si>
  <si>
    <t>CD27, CD70, CXCL13, FASLG, ICOSLG, LY9, NECTIN4</t>
  </si>
  <si>
    <t xml:space="preserve">Target 96 Oncology II </t>
  </si>
  <si>
    <t>In this study, we discover novel circulating biomarkers that can predict the OS after PD on osimertinib. These findings support the recent acknowledgement of the immune system's importance in osimertinib resistance.</t>
  </si>
  <si>
    <t>Maansson CT, Helstrup S, Ebert EBF, Meldgaard P, Sorensen BS.</t>
  </si>
  <si>
    <t>Transl Lung Cancer Res. 2023 Jan 31;12(1):14-26. doi: 10.21037/tlcr-22-577. Epub 2023 Jan 16.</t>
  </si>
  <si>
    <t>Maansson CT</t>
  </si>
  <si>
    <t>Transl Lung Cancer Res</t>
  </si>
  <si>
    <t>PMC9903085</t>
  </si>
  <si>
    <t>10.21037/tlcr-22-577</t>
  </si>
  <si>
    <t>Multiplex protein analysis and ensemble machine learning methods of fine needle aspirates from prostate cancer patients reveal potential diagnostic signatures associated with tumour grade</t>
  </si>
  <si>
    <t>vimentin [VIM], tissue factor pathway inhibitor 2 [TFPI-2], integrin beta-5 [ITGB5], R-spondin-3 [RSPO3], transforming growth factor β1 [TGFβ1], tumour necrosis factor receptor superfamily member 12A [TNFRSF12A], and TNFRSF21</t>
  </si>
  <si>
    <t>Target 96 Immuno-oncology, Oncology II</t>
  </si>
  <si>
    <t>Onboarding FNA with Olink Our pilot study represents a "proof of concept" and shows that multiplex profiling of potential diagnostic and predictive BM proteins is feasible on tumour material obtained by FNA sampling of prostate cancer. Moreover, our results demonstrate that an ensemble data analysis strategy may facilitate the identification of BM signatures in pilot studies when the patient cohort is limited.</t>
  </si>
  <si>
    <t>Röbeck P, Franzén B, Cantera-Ahlman R, Dragomir A, Auer G, Jorulf H, Jacobsson SP, Viktorsson K, Lewensohn R, Häggman M, Ladjevardi S.</t>
  </si>
  <si>
    <t>Cytopathology. 2023 Feb 24. doi: 10.1111/cyt.13226. Online ahead of print.</t>
  </si>
  <si>
    <t>Röbeck P</t>
  </si>
  <si>
    <t>Cytopathology</t>
  </si>
  <si>
    <t>10.1111/cyt.13226</t>
  </si>
  <si>
    <t>Breast density and estradiol are associated with distinct different expression patterns of metabolic proteins in normal human breast tissue in vivo</t>
  </si>
  <si>
    <t xml:space="preserve">29,37,17,32, </t>
  </si>
  <si>
    <t>pro-cathepsin H and galanin peptide</t>
  </si>
  <si>
    <t>We report that 29 proteins were upregulated in human breast cancer. In dense breasts 37 proteins were upregulated and 17 of these were similarly regulated as in breast cancer. 32 proteins correlated with LTF. In premenopausal breasts 19 proteins were up-regulated and 9 down-regulated. Of these, 27 correlated to estradiol, a result that was confirmed for most proteins in experimental breast cancer. Only two proteins, pro-cathepsin H and galanin peptide, were similarly regulated in breast cancer, dense- and estrogen exposed breasts.</t>
  </si>
  <si>
    <t>Ekstrand J, Abrahamsson A, Lundberg P, Dabrosin C.</t>
  </si>
  <si>
    <t>Front Oncol. 2023 Mar 29;13:1128318. doi: 10.3389/fonc.2023.1128318. eCollection 2023.</t>
  </si>
  <si>
    <t>Ekstrand J</t>
  </si>
  <si>
    <t>Front Oncol</t>
  </si>
  <si>
    <t>PMC10090464</t>
  </si>
  <si>
    <t>10.3389/fonc.2023.1128318</t>
  </si>
  <si>
    <t>Role of myeloid cells in system-level immunometabolic dysregulation during prolonged successful HIV-1 treatment</t>
  </si>
  <si>
    <t>CCL20 and CCL7</t>
  </si>
  <si>
    <t xml:space="preserve">Used alongside metabolon and flow cytometry, </t>
  </si>
  <si>
    <t>Svensson Akusjärvi S, Krishnan S, Ambikan AT, Mikaeloff F, Munusamy Ponnan S, Vesterbacka J, Lourda M, Nowak P, Sönnerborg A, Neogi U.</t>
  </si>
  <si>
    <t>AIDS. 2023 Feb 9. doi: 10.1097/QAD.0000000000003512. Online ahead of print.</t>
  </si>
  <si>
    <t>Svensson Akusjärvi S</t>
  </si>
  <si>
    <t>AIDS</t>
  </si>
  <si>
    <t>10.1097/QAD.0000000000003512</t>
  </si>
  <si>
    <t>Predicting dupilumab treatment outcome in patients with primary diffuse type 2 chronic rhinosinusitis</t>
  </si>
  <si>
    <t>Soyka MB, Ryser FS, Brühlmann C, Fehr D, Dülgeroglu J, Schmid-Grendelmeier P, Brüggen MC, Steiner UC.</t>
  </si>
  <si>
    <t>Allergy. 2023 Apr;78(4):1036-1046. doi: 10.1111/all.15532. Epub 2022 Oct 10.</t>
  </si>
  <si>
    <t>Soyka MB</t>
  </si>
  <si>
    <t>10.1111/all.15532</t>
  </si>
  <si>
    <t>Systemic proinflammatory-profibrotic response in aortic stenosis patients with diabetes and its relationship with myocardial remodeling and clinical outcome</t>
  </si>
  <si>
    <t>E-selectin, interleukin-1 receptor type 1, interleukin-1 receptor type 2, galectin-4, intercellular adhesion molecule 2, integrin beta-2, galectin-3, growth differentiation factor 15, and cathepsin D</t>
  </si>
  <si>
    <t>Plasma proteomic analyses indicate that diabetes potentiates the systemic proinflammatory-profibrotic milieu in AS patients. These systemic biological changes underlie the increase of myocardial fibrosis, diastolic dysfunction, and worse clinical outcomes in severe AS patients with concomitant diabetes.</t>
  </si>
  <si>
    <t>Lee HJ, Park CS, Lee S, Park JB, Kim HK, Park SJ, Kim YJ, Lee SP.</t>
  </si>
  <si>
    <t>Cardiovasc Diabetol. 2023 Feb 10;22(1):30. doi: 10.1186/s12933-023-01763-1.</t>
  </si>
  <si>
    <t>Lee HJ</t>
  </si>
  <si>
    <t>PMC9921197</t>
  </si>
  <si>
    <t>10.1186/s12933-023-01763-1</t>
  </si>
  <si>
    <t>Distinct blood protein profiles associated with the risk of short-term and mid/long-term clinical relapse in patients with Crohn's disease stopping infliximab: when the remission state hides different types of residual disease activity</t>
  </si>
  <si>
    <t>LAG3, SH2B3, SIT1, IL-10, HSD11B1, CDSN, CNTNAP2, CXADR, ITGA11, IL-6, IL12RB1,CLEC4A, CLEC4C, CLEC7A, LAMP3</t>
  </si>
  <si>
    <t>We identified distinct blood protein profiles associated with the risk of short-term and mid/long-term clinical relapse in patients with CD stopping infliximab. These findings constitute an advance for the development of non-invasive biomarkers guiding the decision of anti-TNFα withdrawal.</t>
  </si>
  <si>
    <t>Pierre N, Huynh-Thu VA, Marichal T, Allez M, Bouhnik Y, Laharie D, Bourreille A, Colombel JF, Meuwis MA, Louis E; GETAID (Groupe d’Etude Thérapeutique des Affections Inflammatoires du tube Digestif).</t>
  </si>
  <si>
    <t>Gut. 2023 Mar;72(3):443-450. doi: 10.1136/gutjnl-2022-327321. Epub 2022 Aug 25.</t>
  </si>
  <si>
    <t>Pierre N</t>
  </si>
  <si>
    <t>10.1136/gutjnl-2022-327321</t>
  </si>
  <si>
    <t>Circulatory proteins relate cardiovascular disease to cognitive performance: A mendelian randomisation study</t>
  </si>
  <si>
    <t>Cardiovascular, Neurology</t>
  </si>
  <si>
    <t>cathepsin D, CD40, CSF-1</t>
  </si>
  <si>
    <t>Target 96 CVDI</t>
  </si>
  <si>
    <t>Used Data from SCALLOP - no actual samples run. A higher concentration of genetically predicted circulatory myeloperoxidase (MPO) was nominally associated with better cognitive performance (p &lt; 0.05) using different selection criteria for genetic instruments. Particularly, brain-specific cis-eQTL predicted MPO, which accounts for protein-coding gene expression in brain tissues, was associated with general cognitive function (βWald = 0.22, PWald = 2.4 × 10−4). The posterior probability for colocalization (PP.H4) of MPO pQTL with the g Factor was 0.577. Findings for MPO were replicated using the Icelandic GWAS. Although we did not find evidence for colocalization, we found that higher genetically predicted concentrations of cathepsin D and CD40 were associated with better cognitive performance and a higher genetically predicted concentration of CSF-1 was associated with poorer cognitive performance.</t>
  </si>
  <si>
    <t>Huang J, Gill D, Zuber V, Matthews PM, Elliott P, Tzoulaki I, Dehghan A.</t>
  </si>
  <si>
    <t>Front Genet. 2023 Feb 17;14:1124431. doi: 10.3389/fgene.2023.1124431. eCollection 2023.</t>
  </si>
  <si>
    <t>Huang J</t>
  </si>
  <si>
    <t>Front Genet</t>
  </si>
  <si>
    <t>PMC9981660</t>
  </si>
  <si>
    <t>10.3389/fgene.2023.1124431</t>
  </si>
  <si>
    <t>Serum immuno-oncology markers carry independent prognostic information in patients with newly diagnosed metastatic breast cancer, from a prospective observational study</t>
  </si>
  <si>
    <t>IL-8, IL-10 and CAIX, ADA and CASP8, FASL, CSF-1, IL-6, MUC16, TFNSFR4 and CD24</t>
  </si>
  <si>
    <t>To conclude, we found six serum immuno-oncology markers that were significantly associated with OS and/or PFS in MBC patients, independently of other established prognostic factors including CTCs. Furthermore, an additional five serum immuno-oncology markers provided suggestive evidence for an independent association to survival. These findings highlight the relevance of immuno-oncology serum markers in MBC patients and support their usefulness for improved prognostication.</t>
  </si>
  <si>
    <t>Gunnarsdottir FB, Bendahl PO, Johansson A, Benfeitas R, Rydén L, Bergenfelz C, Larsson AM.</t>
  </si>
  <si>
    <t>Breast Cancer Res. 2023 Mar 21;25(1):29. doi: 10.1186/s13058-023-01631-6.</t>
  </si>
  <si>
    <t>Gunnarsdottir FB</t>
  </si>
  <si>
    <t>Breast Cancer Res</t>
  </si>
  <si>
    <t>PMC10031935</t>
  </si>
  <si>
    <t>10.1186/s13058-023-01631-6</t>
  </si>
  <si>
    <t>Inflammation Biomarker Response to Oral 2-Hydroxybenzylamine (2-HOBA) Acetate in Healthy Humans</t>
  </si>
  <si>
    <t>Exploratory (Inflammation)</t>
  </si>
  <si>
    <t xml:space="preserve"> CCL19, IL-12β, IL-20Rα, and TNFβ, TWEAK</t>
  </si>
  <si>
    <t>In conclusion, 2-HOBA significantly altered the protein biomarkers CCL19, IL-12β, IL-20Rα, TNFβ, and TWEAK, and these may be responsible for the protective effects of 2-HOBA against reactive electrophiles, such as IsoLGs, commonly expressed in conditions of excessive oxidative stress. 2-HOBA has a role as a IsoLG scavenger to proactively improve immune health in a variety of conditions.</t>
  </si>
  <si>
    <t>Rathmacher JA, Fuller JC Jr, Abumrad NN, Flynn CR.</t>
  </si>
  <si>
    <t>Inflammation. 2023 Mar 20:1-10. doi: 10.1007/s10753-023-01801-w. Online ahead of print.</t>
  </si>
  <si>
    <t>Rathmacher JA</t>
  </si>
  <si>
    <t>PMC10025056</t>
  </si>
  <si>
    <t>10.1007/s10753-023-01801-w</t>
  </si>
  <si>
    <t>Proteomic profiling for prediction of recurrent cardiovascular event in patients with acute coronary syndrome and obstructive sleep apnea: A post-hoc analysis from the ISAACC study</t>
  </si>
  <si>
    <t>STK4, TNFRSF10A, LTBR, TNF-RS, TNF-R1, Gal-3, CSTB, CXCL16, TFP1, CD4, IL2-RA, PCSK9</t>
  </si>
  <si>
    <t xml:space="preserve">Target 96, Inflammation, CVDII, CVDIII </t>
  </si>
  <si>
    <t>In ACS patients with severe OSA, a proteomic profile was associated with recurrent CVEs. This proteomic profile was correlated with specific OSA parameters from respiratory polygraphy. Proteomic profiling may provide an new direction for patient risk stratification and clinical management.</t>
  </si>
  <si>
    <t>Zapater A, Gracia-Lavedan E, Torres G, Mínguez O, Pascual L, Cortijo A, Martínez D, Benítez ID, De Batlle J, Henríquez-Beltrán M, Abad J, Duran-Cantolla J, Urrutia A, Mediano O, Masdeu MJ, Ordax-Carbajo E, Masa JF, De la Peña M, Mayos M, Coloma R, Montserrat JM, Chiner E, Barbé F, Sánchez-de-la-Torre M; Spanish Sleep Network.</t>
  </si>
  <si>
    <t>Biomed Pharmacother. 2023 Feb;158:114125. doi: 10.1016/j.biopha.2022.114125. Epub 2022 Dec 21.</t>
  </si>
  <si>
    <t>Zapater A</t>
  </si>
  <si>
    <t>Biomed Pharmacother</t>
  </si>
  <si>
    <t>10.1016/j.biopha.2022.114125</t>
  </si>
  <si>
    <t>Protein Signatures and Individual Circulating Proteins, including IL-6 and IL-15, Associated with Prognosis in Patients with Biliary Tract Cancer</t>
  </si>
  <si>
    <t>interleukin (IL)-6, IL-15, mucin 16, hepatocyte growth factor, programmed cell death ligand 1, and placental growth factor</t>
  </si>
  <si>
    <t xml:space="preserve">Using data from the first patient group, we tested if there was an association between survival and each of the proteins. We also tried to combine the results of several proteins into protein signatures. Afterwards, we validated our observation using data from the three other groups of patients. We identified an association between survival and several proteins, including interleukin 15, which has not been described before. The study also showed that protein signatures, combined with the results of several proteins, were better than individual proteins at identifying patients with short survival.
</t>
  </si>
  <si>
    <t>Christensen TD, Madsen K, Maag E, Larsen O, Jensen LH, Hansen CP, Markussen A, Høgdall DTS, Chen IM, Nielsen D, Johansen JS.</t>
  </si>
  <si>
    <t>Cancers (Basel). 2023 Feb 7;15(4):1062. doi: 10.3390/cancers15041062.</t>
  </si>
  <si>
    <t>PMC9953893</t>
  </si>
  <si>
    <t>10.3390/cancers15041062</t>
  </si>
  <si>
    <t>Combined therapy of prednisone and mTOR inhibitor sirolimus for treating retroperitoneal fibrosis</t>
  </si>
  <si>
    <t>Used alongside flow syto, clinical testing and imaging</t>
  </si>
  <si>
    <t>Gao H, Liu S, Mai Y, Wang Y, Zhang X, Zheng S, Luo C, Pan C.</t>
  </si>
  <si>
    <t>Ann Rheum Dis. 2023 May;82(5):688-697. doi: 10.1136/ard-2022-223736. Epub 2023 Jan 31.</t>
  </si>
  <si>
    <t>Gao H</t>
  </si>
  <si>
    <t>Ann Rheum Dis</t>
  </si>
  <si>
    <t>10.1136/ard-2022-223736</t>
  </si>
  <si>
    <t>Labour promotes systemic mobilisation of monocytes, T cell activation and local secretion of chemotactic factors in the intervillous space of the placenta</t>
  </si>
  <si>
    <t xml:space="preserve"> CCL2 and M-CSF; CXCL8 (IL-8), CCL2, and CCL20, the IL-6 family cytokines IL-6 and LIF, macrophage colony-stimulating factor (M-CSF, also termed CSF-1), the TGF-β-related protein glial cell-derived neurotrophic factor (GDNF), the acute phase protein pentraxin 3 (PTX3), and the co-inhibitory ligand PD-L1,growth differentiation factor 2 (GDF2), glyoxalase 1 (GLO1), and AXIN1</t>
  </si>
  <si>
    <t>Target 96 Inflammation, CVDII</t>
  </si>
  <si>
    <t>Used alongside flow cyto and cell staining; A proximity extension assay analysis of 168 proteins revealed that several proteins associated to myeloid cell migration and function, including CCL2 and M-CSF, were upregulated in IVB plasma in labouring women. Thus, the intervillous space could be a bridging site for the communication between the placenta and the periphery, which contribute to monocyte mobilisation and generation of inflammatory reactions during spontaneous labour.</t>
  </si>
  <si>
    <t>Vikberg S, Lindau R, Solders M, Raffetseder J, Budhwar S, Ernerudh J, Tiblad E, Kaipe H.</t>
  </si>
  <si>
    <t>Front Immunol. 2023 Mar 8;14:1129261. doi: 10.3389/fimmu.2023.1129261. eCollection 2023.</t>
  </si>
  <si>
    <t>Vikberg S</t>
  </si>
  <si>
    <t>PMC10030611</t>
  </si>
  <si>
    <t>10.3389/fimmu.2023.1129261</t>
  </si>
  <si>
    <t>Saliva and Saliva Extracellular Vesicles for Biomarker Candidate Identification-Assay Development and Pilot Study in Amyotrophic Lateral Sclerosis</t>
  </si>
  <si>
    <t>Methods Dev (Neurology, neuromuscular)</t>
  </si>
  <si>
    <t>Used alongside mass spec, ELISA. Although no proteins were significantly differentially expressed between the two groups, there was a trend for a downregulation of ZNF428 in ALS-saliva-EVs and an upregulation of IGLL1 in ALS saliva. In conclusion, we have developed a robust workflow for saliva and saliva-EV analysis and demonstrated its technical feasibility for biomarker discovery.</t>
  </si>
  <si>
    <t>Sjoqvist S, Otake K.</t>
  </si>
  <si>
    <t>Int J Mol Sci. 2023 Mar 9;24(6):5237. doi: 10.3390/ijms24065237.</t>
  </si>
  <si>
    <t>Sjoqvist S</t>
  </si>
  <si>
    <t>PMC10049503</t>
  </si>
  <si>
    <t>10.3390/ijms24065237</t>
  </si>
  <si>
    <t>Long COVID manifests with T cell dysregulation, inflammation, and an uncoordinated adaptive immune response to SARS-CoV-2</t>
  </si>
  <si>
    <t xml:space="preserve">LGALS9, CCL21, CCL22, TNF, CXCL10, CD48, IL1RN, CD22, IL-4, IL-5 </t>
  </si>
  <si>
    <t>Explore Inflammation</t>
  </si>
  <si>
    <t xml:space="preserve">Used alognside cytof, RNA seq and SOVID antibody titers,m, Overall, our findings suggest that LC is associated with unique, and likely complex, global immune dysregulation. </t>
  </si>
  <si>
    <t>Yin K, Peluso MJ, Thomas R, Shin MG, Neidleman J, Luo X, Hoh R, Anglin K, Huang B, Argueta U, Lopez M, Valdivieso D, Asare K, Ibrahim R, Ständker L, Lu S, Goldberg SA, Lee SA, Lynch KL, Kelly JD, Martin JN, Münch J, Deeks SG, Henrich TJ, Roan NR.</t>
  </si>
  <si>
    <t>bioRxiv. 2023 Feb 10:2023.02.09.527892. doi: 10.1101/2023.02.09.527892. Preprint.</t>
  </si>
  <si>
    <t>Yin K</t>
  </si>
  <si>
    <t>bioRxiv</t>
  </si>
  <si>
    <t>PMC9934605</t>
  </si>
  <si>
    <t>10.1101/2023.02.09.527892</t>
  </si>
  <si>
    <t>Development of sensitization to peanut and storage proteins and relation to markers of airway and systemic inflammation: A 24-year follow-up</t>
  </si>
  <si>
    <t>TNFRSF9, TNFRSF11, TSLP, MMP10</t>
  </si>
  <si>
    <t xml:space="preserve"> Storage protein sensitization was associated with elevated FENO, blood eosinophils and type 2 inflammation-related systemic proteins.</t>
  </si>
  <si>
    <t>Tedner SG, Klevebro S, Bergström A, Kull I, Andersson N, Borres MP, Ballardini N, Westman M, Konradsen JR, van Hage M, Nilsson C, Melén E, Asarnoj A.</t>
  </si>
  <si>
    <t>Allergy. 2023 Feb;78(2):488-499. doi: 10.1111/all.15568. Epub 2022 Nov 14.</t>
  </si>
  <si>
    <t>Tedner SG</t>
  </si>
  <si>
    <t>PMC10098493</t>
  </si>
  <si>
    <t>10.1111/all.15568</t>
  </si>
  <si>
    <t>Plasma Lipoprotein Lipase Is Associated with Risk of Future Major Adverse Cardiovascular Events in Patients Following Carotid Endarterectomy</t>
  </si>
  <si>
    <t xml:space="preserve"> lipoprotein lipase (LPL), PECAM1, JAM-A, DECR1, ITGB1BP2, IL1RL2</t>
  </si>
  <si>
    <t>Target 96 CVDII, CVDIII, cardiometabolic</t>
  </si>
  <si>
    <t>Six of 276 plasma proteins were found to be significantly associated with IPH, from which only lipoprotein lipase (LPL) was associated with the post-operative risk of MACE undergoing CEA</t>
  </si>
  <si>
    <t>Mekke JM, Verwer MC, Stroes ESG, Kroon J, Timmers L, Pasterkamp G, de Borst GJ, van der Laan SW, de Kleijn DPV.</t>
  </si>
  <si>
    <t>Eur J Vasc Endovasc Surg. 2023 Jan 26:S1078-5884(23)00069-2. doi: 10.1016/j.ejvs.2023.01.035. Online ahead of print.</t>
  </si>
  <si>
    <t>Mekke JM</t>
  </si>
  <si>
    <t>Eur J Vasc Endovasc Surg</t>
  </si>
  <si>
    <t>10.1016/j.ejvs.2023.01.035</t>
  </si>
  <si>
    <t>Serum immune profiling in pediatric Crohn's disease demonstrates stronger immune modulation with first-line infliximab than conventional therapy and pre-treatment profiles predict clinical response to both treatments</t>
  </si>
  <si>
    <t>including oncostatin-M, TNFSF14, HGF, TGF-α</t>
  </si>
  <si>
    <t xml:space="preserve"> FL-IFX leads to stronger reductions and modulates more immune proteins than CONV. Stratification on pre-treatment profiles of IFX-modulated proteins directly relates to maintenance of remission without treatment escalation.</t>
  </si>
  <si>
    <t>Jongsma MME, Costes LMM, Tindemans I, Cozijnsen MA, Raatgreep RHC, van Pieterson M, Li Y, Escher JC, de Ridder L, Samsom JN.</t>
  </si>
  <si>
    <t>J Crohns Colitis. 2023 Mar 19:jjad049. doi: 10.1093/ecco-jcc/jjad049. Online ahead of print.</t>
  </si>
  <si>
    <t>Jongsma MME</t>
  </si>
  <si>
    <t>J Crohns Colitis</t>
  </si>
  <si>
    <t>10.1093/ecco-jcc/jjad049</t>
  </si>
  <si>
    <t>Comparison of cardiovascular biomarker expression in extracellular vesicles, plasma and carotid plaque for the prediction of MACE in CEA patients</t>
  </si>
  <si>
    <t xml:space="preserve">comparing plaque, EVS and plasma. Looked at overall protein count in each sample type vs what the proteins were. </t>
  </si>
  <si>
    <t>Verwer MC, Mekke J, Timmerman N, Waissi F, Boltjes A, Pasterkamp G, de Borst GJ, de Kleijn DPV.</t>
  </si>
  <si>
    <t>Sci Rep. 2023 Jan 18;13(1):1010. doi: 10.1038/s41598-023-27916-6.</t>
  </si>
  <si>
    <t>Verwer MC</t>
  </si>
  <si>
    <t>PMC9849473</t>
  </si>
  <si>
    <t>10.1038/s41598-023-27916-6</t>
  </si>
  <si>
    <t>Comparison of the Inflammatory Circuits in Psoriasis Vulgaris, Non‒Pustular Palmoplantar Psoriasis, and Palmoplantar Pustular Psoriasis</t>
  </si>
  <si>
    <t>Target 96 CVDIII, inflammation, CVDII</t>
  </si>
  <si>
    <t>Do alongside MSD, RNA Seq,</t>
  </si>
  <si>
    <t>Wang CQ, Haxhinasto S, Garcet S, Kunjravia N, Cueto I, Gonzalez J, Rambhia D, Harari O, Sleeman MA, Hamilton JD, Lim WK, Freudenberg J, Kalliolias GD, Thakker P, Bissonnette R, Krueger JG.</t>
  </si>
  <si>
    <t>J Invest Dermatol. 2023 Jan;143(1):87-97.e14. doi: 10.1016/j.jid.2022.05.1094. Epub 2022 Aug 5.</t>
  </si>
  <si>
    <t>Wang CQ</t>
  </si>
  <si>
    <t>J Invest Dermatol</t>
  </si>
  <si>
    <t>10.1016/j.jid.2022.05.1094</t>
  </si>
  <si>
    <t>Proteomic Analysis of Hepatic Fibrosis in Human Immunodeficiency Virus-Associated Nonalcoholic Fatty Liver Disease Demonstrates Up-regulation of Immune Response and Tissue Repair Pathways</t>
  </si>
  <si>
    <t>Infectious disease, metabolic (NASH)</t>
  </si>
  <si>
    <t xml:space="preserve">insulin-like growth factor-binding protein 7 , collagen α1(I) chain, </t>
  </si>
  <si>
    <t>Target 96 CVDIII, Immuno-oncology</t>
  </si>
  <si>
    <t xml:space="preserve">Twenty proteins were up-regulated at baseline among participants with fibrosis stages 2-3 versus 0-1. Proteins most differentially expressed included matrix metalloproteinase 2 (P &lt; .001), insulin-like growth factor-binding protein 7 (P = .001), and collagen α1(I) chain (P = .001). Proteins were enriched within pathways including response to tumor necrosis factor and aminopeptidase activity. Key proteins correlated directly with visceral adiposity and glucose intolerance and inversely with CD4+ T-cell count. Within the placebo-treated arm, 11 proteins differentially increased among individuals with hepatic fibrosis progression over a 12-month period (P &lt; .05).
</t>
  </si>
  <si>
    <t>Fourman LT, Stanley TL, Ockene MW, McClure CM, Toribio M, Corey KE, Chung RT, Torriani M, Kleiner DE, Hadigan CM, Grinspoon SK.</t>
  </si>
  <si>
    <t>J Infect Dis. 2023 Feb 14;227(4):565-576. doi: 10.1093/infdis/jiac475.</t>
  </si>
  <si>
    <t>Fourman LT</t>
  </si>
  <si>
    <t>10.1093/infdis/jiac475</t>
  </si>
  <si>
    <t>Plasma levels of multiple cardiovascular- and inflammation-related proteins analysed for associations with disease activity and anti-cyclic citrullinated peptide status in active early rheumatoid arthritis</t>
  </si>
  <si>
    <t>CHIT1, SHPS-1 TIMP-4, IL2-RA, E-selectin, and CCL16</t>
  </si>
  <si>
    <t xml:space="preserve">In active and early RA, the findings regarding CHIT1, SHPS-1 TIMP-4, IL2-RA, E-selectin, and CCL16 differed between the two anti-CCP groups. In addition, we identified two patient clusters that were independent of the anti-CCP status.
</t>
  </si>
  <si>
    <t>Mašić D, Stengaard-Pedersen K, Bridal Løgstrup B, Hørslev-Petersen K, Hetland ML, Junker P, Østergaard M, Nielsen CH, Kruhøffer M, Bøgebjerg ME, Röttger R, Christensen R, Ellingsen T.</t>
  </si>
  <si>
    <t>Clin Exp Rheumatol. 2023 Mar 16. doi: 10.55563/clinexprheumatol/hrjqdm. Online ahead of print.</t>
  </si>
  <si>
    <t>Mašić D</t>
  </si>
  <si>
    <t>Clin Exp Rheumatol</t>
  </si>
  <si>
    <t>10.55563/clinexprheumatol/hrjqdm</t>
  </si>
  <si>
    <t>Cartilage Acidic Protein 1 in Plasma Associates With Prevalent Osteoarthritis and Predicts Future Risk as Well as Progression to Joint Replacements: Results From the UK Biobank Resource</t>
  </si>
  <si>
    <t>CRTAC1, ACAN, NELL2, IGFBP1, NCAN, DCXR, MASP1</t>
  </si>
  <si>
    <t xml:space="preserve">Explore Cardiometabolic, Inflammation, Neurology, Oncology </t>
  </si>
  <si>
    <t>Bio bank analysis project;  Plasma CRTAC1 is a specific biomarker for OA and a predictor of OA risk and progression to joint replacement. Adding ACAN and NCAN protein levels to the CRTAC1 model improved the prediction of OA.</t>
  </si>
  <si>
    <t>Styrkarsdottir U, Lund SH, Thorleifsson G, Saevarsdottir S, Gudbjartsson DF, Thorsteinsdottir U, Stefansson K.</t>
  </si>
  <si>
    <t>Arthritis Rheumatol. 2023 Apr;75(4):544-552. doi: 10.1002/art.42376. Epub 2022 Dec 28.</t>
  </si>
  <si>
    <t>Styrkarsdottir U</t>
  </si>
  <si>
    <t>10.1002/art.42376</t>
  </si>
  <si>
    <t>Modulation of Dietary Fatty Acids in an Open-Label Study Improves Psoriasis and Dampens the Inflammatory Activation Status</t>
  </si>
  <si>
    <t>13, 14</t>
  </si>
  <si>
    <t xml:space="preserve">CD6, CST5, IL-18, IL-18R, ENRAGE and CASP8, IL-7, TGFb, IL-6, IL-18, CCL19, IL-10RB, IL-18R1 and INFγ </t>
  </si>
  <si>
    <t>Saalbach A, Seitz AT, Kohlmann J, Kalweit L, Vogt L, Selig L, Engel KM, Simon JC.</t>
  </si>
  <si>
    <t>Nutrients. 2023 Mar 30;15(7):1698. doi: 10.3390/nu15071698.</t>
  </si>
  <si>
    <t>Saalbach A</t>
  </si>
  <si>
    <t>Nutrients</t>
  </si>
  <si>
    <t>PMC10097201</t>
  </si>
  <si>
    <t>10.3390/nu15071698</t>
  </si>
  <si>
    <t>Loco-Regional Control and Sustained Difference in Serum Immune Protein Expression in Patients Treated for p16-Positive and p16-Negative Head and Neck Squamous Cell Carcinoma</t>
  </si>
  <si>
    <t>IL12RB1, CD28, CCL3, and GZMA</t>
  </si>
  <si>
    <t>The serum immune protein expression profiles, using the Olink® immunoassay, of 132 patients with p16+ and p16- tumours were compared before treatment and one year after treatment. A significant difference in the serum immune protein expression profile was observed both before and one year after treatment. In the p16- group, a low expression of four proteins: IL12RB1, CD28, CCL3, and GZMA before treatment conferred a higher rate of failure. Based on the sustained difference between serum immune proteins, we hypothesise that the immunological system is still adapted to the tumour p16 status one year after tumour eradication or that a fundamental difference exists in the immunological system between patients with p16+ and p16- tumours.</t>
  </si>
  <si>
    <t>Sandström K, Ehrsson YT, Sellberg F, Johansson H, Laurell G.</t>
  </si>
  <si>
    <t>Int J Mol Sci. 2023 Feb 14;24(4):3838. doi: 10.3390/ijms24043838.</t>
  </si>
  <si>
    <t>Sandström K</t>
  </si>
  <si>
    <t>PMC9961007</t>
  </si>
  <si>
    <t>10.3390/ijms24043838</t>
  </si>
  <si>
    <t>Pull</t>
  </si>
  <si>
    <t>Company</t>
  </si>
  <si>
    <t>Olink</t>
  </si>
  <si>
    <t>Q3 '22 - Q1 '23</t>
  </si>
  <si>
    <t>Head-to-head comparison of 10 plasma phospho-tau assays in prodromal Alzheimer's disease</t>
  </si>
  <si>
    <t>Characterization of pre-analytical sample handling effects on a panel of Alzheimer's disease-related blood-based biomarkers: Results from the Standardization of Alzheimer's Blood Biomarkers (SABB) working group</t>
  </si>
  <si>
    <t>Neurology, Methods Development</t>
  </si>
  <si>
    <t>Plasma biomarkers and genetics in the diagnosis and prediction of Alzheimer's disease</t>
  </si>
  <si>
    <t>Persistent Circulating Severe Acute Respiratory Syndrome Coronavirus 2 Spike Is Associated With Post-acute Coronavirus Disease 2019 Sequelae</t>
  </si>
  <si>
    <t>Validity and Performance of Blood Biomarkers for Alzheimer Disease to Predict Dementia Risk in a Large Clinic-Based Cohort</t>
  </si>
  <si>
    <t>Tau and neurofilament light-chain as fluid biomarkers in spinocerebellar ataxia type 3</t>
  </si>
  <si>
    <t>Ultrasensitive Troponin I and Incident Cardiovascular Disease</t>
  </si>
  <si>
    <t>Cardio</t>
  </si>
  <si>
    <t>Predicting amyloid PET and tau PET stages with plasma biomarkers</t>
  </si>
  <si>
    <t>Association of Phosphorylated Tau Biomarkers With Amyloid Positron Emission Tomography vs Tau Positron Emission Tomography</t>
  </si>
  <si>
    <t>Diagnostic value of plasma p-tau181, NfL, and GFAP in a clinical setting cohort of prevalent neurodegenerative dementias</t>
  </si>
  <si>
    <t>Variability of Primary Sjögren's Syndrome Is Driven by Interferon-α and Interferon-α Blood Levels Are Associated With the Class II HLA-DQ Locus</t>
  </si>
  <si>
    <t>Development of a sensitive trial-ready poly(GP) CSF biomarker assay for C9orf72-associated frontotemporal dementia and amyotrophic lateral sclerosis</t>
  </si>
  <si>
    <t>Sensitivity and performance of three novel quantitative assays of SARS-CoV-2 nucleoprotein in blood</t>
  </si>
  <si>
    <t xml:space="preserve"> </t>
  </si>
  <si>
    <t>Methods dev</t>
  </si>
  <si>
    <t>Ella versus Simoa Serum Neurofilament Assessment to Monitor Treatment Response in Highly Active Multiple Sclerosis Patients</t>
  </si>
  <si>
    <t>Neurofilament-light chain quantification by Simoa and Ella in plasma from patients with dementia: a comparative study</t>
  </si>
  <si>
    <t>Methods Dec</t>
  </si>
  <si>
    <t>Serum neurofilament levels in patients with multiple sclerosis: A comparison of SIMOA and high sensitivity ELISA assays and contributing factors to ELISA levels</t>
  </si>
  <si>
    <t>Relationship of serum beta-synuclein with blood biomarkers and brain atrophy</t>
  </si>
  <si>
    <t>Severe Acute Respiratory Syndrome Coronavirus 2 Messenger RNA Vaccines in Allogeneic Hematopoietic Stem Cell Transplant Recipients: Immunogenicity and Reactogenicity</t>
  </si>
  <si>
    <t>[Blood Based Biomarker for Optimization of Early and Differential Diagnosis of Alzheimer's Dementia]</t>
  </si>
  <si>
    <t>P-tau subgroups in AD relate to distinct amyloid production and synaptic integrity profiles</t>
  </si>
  <si>
    <t>Association of serum neurofilament light chain and glial fibrillary acidic protein levels with cognitive decline in Parkinson's disease</t>
  </si>
  <si>
    <t>Comparison of plasma and CSF biomarkers in predicting cognitive decline</t>
  </si>
  <si>
    <t>N-terminal and mid-region tau fragments as fluid biomarkers in neurological diseases</t>
  </si>
  <si>
    <t>Quantitation of neurofilament light chain protein in serum and cerebrospinal fluid from patients with multiple sclerosis using the MSD R-PLEX NfL assay</t>
  </si>
  <si>
    <t>Musculoskeletal</t>
  </si>
  <si>
    <t>Decipher potential biomarkers of diagnosis and disease activity for NMOSD with AQP4 using LC-MS/MS and Simoa</t>
  </si>
  <si>
    <t>Conserved YKL-40 changes in mice and humans after postoperative delirium</t>
  </si>
  <si>
    <t>Plasma phosphorylated tau181 predicts cognitive and functional decline</t>
  </si>
  <si>
    <t>Methadone use is associated with increased levels of sCD14, immune activation, and inflammation during suppressed HIV infection</t>
  </si>
  <si>
    <t>Inflammation, Infectious disease</t>
  </si>
  <si>
    <t>Oligoclonal M bands unveil occult inflammation in multiple sclerosis</t>
  </si>
  <si>
    <t>The relationship between serum neurofilament light chain and glial fibrillary acidic protein with the REM sleep behavior disorder subtype of Parkinson's disease</t>
  </si>
  <si>
    <t>Serum GFAP - reference interval and preanalytical properties in Danish adults</t>
  </si>
  <si>
    <t>Evaluation of plasma levels of NFL, GFAP, UCHL1 and tau as Parkinson's disease biomarkers using multiplexed single molecule counting</t>
  </si>
  <si>
    <t>Lower White Matter Volume and Worse Executive Functioning Reflected in Higher Levels of Plasma GFAP among Older Adults with and Without Cognitive Impairment</t>
  </si>
  <si>
    <t>Serum SARS-CoV-2 Antigens for the Determination of COVID-19 Severity</t>
  </si>
  <si>
    <t>Plasma P-Tau181 for the Discrimination of Alzheimer's Disease from Other Primary Dementing and/or Movement Disorders</t>
  </si>
  <si>
    <t>Serum neurofilament light chain levels in Covid-19 patients without major neurological manifestations</t>
  </si>
  <si>
    <t>Association of APOE ε4/ε4 with fluid biomarkers in patients from the PUMCH dementia cohort</t>
  </si>
  <si>
    <t>A population-based meta-analysis of circulating GFAP for cognition and dementia risk</t>
  </si>
  <si>
    <t>Short-term biological variation of serum glial fibrillary acidic protein</t>
  </si>
  <si>
    <t>Head-to-Head Comparison of Different Blood Collecting Tubes for Quantification of Alzheimer's Disease Biomarkers in Plasma</t>
  </si>
  <si>
    <t>No serological evidence for neuronal damage or reactive gliosis in neuro-COVID-19 patients with long-term persistent headache</t>
  </si>
  <si>
    <t>Neurology, Infectious Disease</t>
  </si>
  <si>
    <t>Hepatic and renal function impact concentrations of plasma biomarkers of neuropathology</t>
  </si>
  <si>
    <t>Single-molecule array assay reveals the prognostic impact of plasma LRIG1 in ovarian carcinoma</t>
  </si>
  <si>
    <t>Plasma p-tau181/Aβ(1-42) ratio predicts Aβ-PET status and correlates with CSF-p-tau181/Aβ(1-42) and future cognitive decline</t>
  </si>
  <si>
    <t>The relationship between plasma biomarkers and amyloid PET in dementia with Lewy bodies</t>
  </si>
  <si>
    <t xml:space="preserve">Neurology </t>
  </si>
  <si>
    <t>LPS-Induced Coagulation and Neuronal Damage in a Mice Model Is Attenuated by Enoxaparin</t>
  </si>
  <si>
    <t>Plasma neurofilament light chain protein is not increased in treatment-resistant schizophrenia and first-degree relatives</t>
  </si>
  <si>
    <t>Plasma neurofilament light chain (NfL) reference interval determination in an Age-stratified cognitively unimpaired cohort</t>
  </si>
  <si>
    <t>Neurology Methods dev</t>
  </si>
  <si>
    <t>Plasma p-tau(181) shows stronger network association to Alzheimer's disease dementia than neurofilament light and total tau</t>
  </si>
  <si>
    <t>Association of Plasma and Electroencephalography Markers With Motor Subtypes of Parkinson's Disease</t>
  </si>
  <si>
    <t>Quantitative susceptibility mapping and blood neurofilament light chain differentiate between parkinsonian disorders</t>
  </si>
  <si>
    <t>Accumulation of pTau231 at the Postsynaptic Density in Early Alzheimer's Disease</t>
  </si>
  <si>
    <t>Real-world applicability of glial fibrillary acidic protein and neurofilament light chain in Alzheimer's disease</t>
  </si>
  <si>
    <t>Serum glial fibrillary acidic protein and neurofilament light chain in patients with early treated phenylketonuria</t>
  </si>
  <si>
    <t>Associations between neurofilament light chain levels, disease activity and brain atrophy in progressive multiple sclerosis</t>
  </si>
  <si>
    <t>Neuromuscular, Neurology</t>
  </si>
  <si>
    <t>Validation of Plasma and CSF Neurofilament Light Chain as an Early Marker for Sporadic Creutzfeldt-Jakob Disease</t>
  </si>
  <si>
    <t>Dynamics of Inflammatory and Neurodegenerative Biomarkers after Autologous Hematopoietic Stem Cell Transplantation in Multiple Sclerosis</t>
  </si>
  <si>
    <t xml:space="preserve">Immunology, neuromuscular </t>
  </si>
  <si>
    <t>Repeated neurofilament light chain measurements did not capture Riluzole therapeutic effect in amyotrophic lateral sclerosis patients</t>
  </si>
  <si>
    <t>Ultrasensitive monitoring of SARS-CoV-2-specific antibody responses based on a digital approach reveals one week of IgG seroconversion</t>
  </si>
  <si>
    <t>Comparative Analysis of Antibody Titers against the Spike Protein of SARS-CoV-2 Variants in Infected Patient Cohorts and Diverse Vaccination Regimes</t>
  </si>
  <si>
    <t>Systematic assessment of plasma biomarkers in spinocerebellar ataxia</t>
  </si>
  <si>
    <t>sNFL applicability as additional monitoring tool in natalizumab extended interval dosing regimen for RRMS patients</t>
  </si>
  <si>
    <t>Serum total TDP-43 levels are decreased in frontotemporal dementia patients with C9orf72 repeat expansion or concomitant motoneuron disease phenotype</t>
  </si>
  <si>
    <t>Plasma glial fibrillary acidic protein and neurofilament light chain in relation to disability worsening in multiple sclerosis</t>
  </si>
  <si>
    <t>Lower cerebral arterial blood flow is associated with greater serum neurofilament light chain levels in multiple sclerosis patients</t>
  </si>
  <si>
    <t>Plasma Neurofilament Light and Glial Fibrillary Acidic Protein Levels over Thirty Days in a Porcine Model of Traumatic Brain Injury</t>
  </si>
  <si>
    <t>Association of cognitive function with Neurofilament light chain in the aqueous humor of human eye</t>
  </si>
  <si>
    <t>Evaluation of Severe Acute Respiratory Syndrome Coronavirus 2 Nucleocapsid Antigen in the Blood as a Diagnostic Test for Infection and Infectious Viral Shedding</t>
  </si>
  <si>
    <t>Plasma GFAP in Parkinson's disease with cognitive impairment and its potential to predict conversion to dementia</t>
  </si>
  <si>
    <t>A Longitudinal Study of Plasma pTau181 in Mild Cognitive Impairment with Lewy Bodies and Alzheimer's Disease</t>
  </si>
  <si>
    <t xml:space="preserve">Neurology, Exploratory </t>
  </si>
  <si>
    <t>Pathological (Dis)Similarities in Neuronal Exosome-Derived Synaptic and Organellar Marker Levels Between Alzheimer's Disease and Frontotemporal Dementia</t>
  </si>
  <si>
    <t>Plasma and cerebrospinal fluid glial fibrillary acidic protein levels in adults with Down syndrome: a longitudinal cohort study</t>
  </si>
  <si>
    <t>Brain-derived neurotrophic factor and neurofilament light chain in cerebrospinal fluid are inversely correlated with cognition in Multiple Sclerosis at the time of diagnosis</t>
  </si>
  <si>
    <t>Neurofilament light chain and S100B serum levels are associated with disease severity and outcome in patients with aneurysmal subarachnoid hemorrhage</t>
  </si>
  <si>
    <t>Plasma β-amyloid, tau, neurodegeneration biomarkers and inflammatory factors of probable Alzheimer's disease dementia in Chinese individuals</t>
  </si>
  <si>
    <t>Transient Changes in the Plasma of Astrocytic and Neuronal Injury Biomarkers in COVID-19 Patients without Neurological Syndromes</t>
  </si>
  <si>
    <t>Infectious Disease, Neurology</t>
  </si>
  <si>
    <t>Prospective evaluation of plasma phosphorylated tau in a real-life memory clinic in Thailand</t>
  </si>
  <si>
    <t>Interferon and interferon-induced cytokines as markers of impending clinical progression in ANA(+) individuals without a systemic autoimmune rheumatic disease diagnosis</t>
  </si>
  <si>
    <t>Plasma Neurofilament Light Chain (NF-L) Is a Prognostic Biomarker for Cortical Damage Evolution but Not for Cognitive Impairment or Epileptogenesis Following Experimental TBI</t>
  </si>
  <si>
    <t>Effect of Race on Prediction of Brain Amyloidosis by Plasma Aβ42/Aβ40, Phosphorylated Tau, and Neurofilament Light</t>
  </si>
  <si>
    <t>Plasma tau, NfL, GFAP and UCHL1 as candidate biomarkers of alcohol withdrawal-associated brain damage: A pilot study</t>
  </si>
  <si>
    <t xml:space="preserve">General Health (alcohol withdrawals) </t>
  </si>
  <si>
    <t>Serum neurofilament light-chain levels in children with monophasic myelin oligodendrocyte glycoprotein-associated disease, multiple sclerosis, and other acquired demyelinating syndrome</t>
  </si>
  <si>
    <t>Associations of potential ADRD plasma biomarkers in cognitively normal volunteers</t>
  </si>
  <si>
    <t>Serum IFNα2 levels are associated with disease activity and outperform IFN-I gene signature in a longitudinal childhood-onset SLE cohort</t>
  </si>
  <si>
    <t>Plasma neurofilament light chain in children with relapsing MS receiving teriflunomide or placebo: A post hoc analysis of the randomized TERIKIDS trial</t>
  </si>
  <si>
    <t>Sarm1 knockout modifies biomarkers of neurodegeneration and spinal cord circuitry but not disease progression in the mSOD1(G93A) mouse model of ALS</t>
  </si>
  <si>
    <t>Serum neurofilament light chain levels are correlated with the infarct volume in patients with acute ischemic stroke</t>
  </si>
  <si>
    <t>Visinin-like protein 1 levels in blood and CSF as emerging markers for Alzheimer's and other neurodegenerative diseases</t>
  </si>
  <si>
    <t>Plasma neurofilament light significantly decreases following treatment in Lyme neuroborreliosis and is not associated with persistent symptoms</t>
  </si>
  <si>
    <t xml:space="preserve">Neurology, infectious disease </t>
  </si>
  <si>
    <t>Association of cardiovascular risk factors and blood biomarkers with cognition: The HABS-HD study</t>
  </si>
  <si>
    <t>Brain-specific biomarkers in urine as a non-invasive approach to monitor neuronal and glial damage</t>
  </si>
  <si>
    <t>Evaluation of cerebrospinal fluid neurofilament light chain levels in multiple sclerosis and non-demyelinating diseases of the central nervous system: clinical and biochemical perspective</t>
  </si>
  <si>
    <t>Characterization of Blood Mucosal-Associated Invariant T Cells in Patients With Axial Spondyloarthritis and of Resident Mucosal-Associated Invariant T Cells From the Axial Entheses of Non-Axial Spondyloarthritis Control Patients</t>
  </si>
  <si>
    <t>Serum levels of glial fibrillary acidic protein in patients with amyotrophic lateral sclerosis</t>
  </si>
  <si>
    <t>Associations of plasma phosphorylated tau181 and neurofilament light chain with brain amyloid burden and cognition in objectively defined subtle cognitive decline patients</t>
  </si>
  <si>
    <t>Association between Serum Neurofilament Light and Glial Fibrillary Acidic Protein Levels and Head Impact Burden in Women's Collegiate Water Polo</t>
  </si>
  <si>
    <t>Serum Neurofilament Light Chain and Glial Fibrillary Acidic Protein as Biomarkers in Primary Progressive Multiple Sclerosis and Hereditary Spastic Paraplegia Type 4</t>
  </si>
  <si>
    <t>Plasma Aβ42/40 ratio, p-tau181, GFAP, and NfL across the Alzheimer's disease continuum: A cross-sectional and longitudinal study in the AIBL cohort</t>
  </si>
  <si>
    <t>Serum Levels of CXCL13 Are Associated With Teriflunomide Response in Patients With Multiple Sclerosis</t>
  </si>
  <si>
    <t>Astrocyte reactivity influences the association of amyloid-β and tau biomarkers in preclinical Alzheimer's disease</t>
  </si>
  <si>
    <t>Feasibility and preliminary effects of exercise interventions on plasma biomarkers of Alzheimer's disease in the FIT-AD trial: a randomized pilot study in older adults with Alzheimer's dementia</t>
  </si>
  <si>
    <t>Head-to-head comparison of 6 plasma biomarkers in early multiple system atrophy</t>
  </si>
  <si>
    <t>Neurology, neuromuscular</t>
  </si>
  <si>
    <t>Neurofilament light (NfL) as biomarker in serum and CSF in status epilepticus</t>
  </si>
  <si>
    <t>Blood neurofilament light chain levels are associated with disease progression in a transgenic SCA3 mouse model</t>
  </si>
  <si>
    <t>Neurofilament Light Chain Levels Are Predictive of Clinical Conversion in Radiologically Isolated Syndrome</t>
  </si>
  <si>
    <t>Serum and cerebrospinal fluid BDNF concentrations are associated with neurological and cognitive improvement in multiple sclerosis: A pilot study</t>
  </si>
  <si>
    <t>Assessing the commutability of candidate reference materials for the harmonization of neurofilament light measurements in blood</t>
  </si>
  <si>
    <t>Neurofilament Light Chain serum levels after Hypoxia-Ischemia in a newborn piglet model</t>
  </si>
  <si>
    <t>A Longitudinal Investigation of Blood Neurofilament Light Chain Levels in Chronic Cocaine Users</t>
  </si>
  <si>
    <t xml:space="preserve">General Health (cocain + neurology) </t>
  </si>
  <si>
    <t>Seed amplification and neurodegeneration marker trajectories in individuals at risk of prion disease</t>
  </si>
  <si>
    <t xml:space="preserve">Infectious Disease, Neurology </t>
  </si>
  <si>
    <t>Effect of renal function on the diagnostic performance of plasma biomarkers for Alzheimer's disease</t>
  </si>
  <si>
    <t xml:space="preserve">Metabolic, Neurology </t>
  </si>
  <si>
    <t>Quantitative performance of digital ELISA for the highly sensitive quantification of viral proteins and influenza virus</t>
  </si>
  <si>
    <t>Infectious Disease Methods Dev</t>
  </si>
  <si>
    <t>Assessment of Plasma and Cerebrospinal Fluid Biomarkers in Different Stages of Alzheimer's Disease and Frontotemporal Dementia</t>
  </si>
  <si>
    <t>High serum neurofilament light chain levels correlate with brain atrophy and physical disability in multiple sclerosis</t>
  </si>
  <si>
    <t>High cholesterol levels change the association of biomarkers of neurodegenerative diseases with dementia risk: Findings from a population-based cohort</t>
  </si>
  <si>
    <t>Development of a digital anti-Müllerian hormone immunoassay: ultrasensitive, accurate and practical strategy for reduced ovarian reserve monitoring and assessment</t>
  </si>
  <si>
    <t>Longitudinal decline of plasma neurofilament light levels after antiretroviral initiation in people living with HIV</t>
  </si>
  <si>
    <t>Neurofilament light is associated with clinical outcome and hemorrhagic transformation in moderate to severe ischemic stroke</t>
  </si>
  <si>
    <t>Serum Neurofilament Light Chain as Biomarker for Cladribine-Treated Multiple Sclerosis Patients in a Real-World Setting</t>
  </si>
  <si>
    <t>Plasma Glial Fibrillary Acidic Protein Is Associated with 18F-SMBT-1 PET: Two Putative Astrocyte Reactivity Biomarkers for Alzheimer's Disease</t>
  </si>
  <si>
    <t>Neurofilament light chains in serum as biomarkers of axonal damage in early MS lesions: a histological-serological correlative study</t>
  </si>
  <si>
    <t>Neuromuscular</t>
  </si>
  <si>
    <t>The endogenous calpain inhibitor calpastatin attenuates axon degeneration in murine Guillain-Barré syndrome</t>
  </si>
  <si>
    <t xml:space="preserve">Exploratory </t>
  </si>
  <si>
    <t>Novel serum biomarkers for predicting neurological outcomes in postcardiac arrest patients treated with targeted temperature management</t>
  </si>
  <si>
    <t>Elevated serum levels of glial fibrillary acidic protein are associated with covert hepatic encephalopathy in patients with cirrhosis</t>
  </si>
  <si>
    <t>Clinical performance and head-to-head comparison of CSF p-tau235 with p-tau181, p-tau217 and p-tau231 in two memory clinic cohorts</t>
  </si>
  <si>
    <t>Blood biomarkers in mild cognitive impairment patients: Relationship between analytes and progression to Alzheimer disease dementia</t>
  </si>
  <si>
    <t>Clinical and Blood Biomarker Trajectories after Concussion: New Insights from a Longitudinal Pilot Study of Professional Flat-Track Jockeys</t>
  </si>
  <si>
    <t>Brain-derived neurotrophic factor, neurofilament light and glial fibrillary acidic protein do not change in response to aerobic training in people with MS-related fatigue - a secondary analysis of a randomized controlled trial</t>
  </si>
  <si>
    <t>Serum assessment of traumatic axonal injury: the correlation of GFAP, t-Tau, UCH-L1, and NfL levels with diffusion tensor imaging metrics and its prognosis utility</t>
  </si>
  <si>
    <t>Plasma Core Alzheimer's Disease Biomarkers Predict Amyloid Deposition Burden by Positron Emission Tomography in Chinese Individuals with Cognitive Decline</t>
  </si>
  <si>
    <t>Comparison of ultrasensitive and mass spectrometry quantification of blood-based amyloid biomarkers for Alzheimer's disease diagnosis in a memory clinic cohort</t>
  </si>
  <si>
    <t>Plasma Biomarkers of Alzheimer's Disease Are Associated with Physical Functioning Outcomes Among Cognitively Normal Adults in the Multiethnic HABS-HD Cohort</t>
  </si>
  <si>
    <t>Serum glial fibrillary acidic protein and neurofilament light chain as biomarkers of retinal neurodysfunction in early diabetic retinopathy: results of the EUROCONDOR study</t>
  </si>
  <si>
    <t xml:space="preserve">Neurology, metabolic </t>
  </si>
  <si>
    <t>Diagnostic performance of Glial Fibrillary Acidic Protein and Prehospital Stroke Scale for identification of stroke and stroke subtypes in an unselected patient cohort with symptom onset &lt; 4.5 h</t>
  </si>
  <si>
    <t>Serum glial fibrillary acidic protein is sensitive to acute but not chronic tissue damage in cerebral small vessel disease</t>
  </si>
  <si>
    <t>Cerebral Aβ deposition precedes reduced cerebrospinal fluid and serum Aβ42/Aβ40 ratios in the App(NL-F/NL-F) knock-in mouse model of Alzheimer's disease</t>
  </si>
  <si>
    <t>Serum Neurofilament Light Chain and Glial Fibrillary Acidic Protein as Potential Diagnostic Biomarkers in Autism Spectrum Disorders: A Preliminary Study</t>
  </si>
  <si>
    <t>Association of CSF and Serum Neurofilament Light and Glial Fibrillary Acidic Protein, Injury Severity, and Outcome in Spinal Cord Injury</t>
  </si>
  <si>
    <t>Preclinical and randomized clinical evaluation of the p38α kinase inhibitor neflamapimod for basal forebrain cholinergic degeneration</t>
  </si>
  <si>
    <t>Genetic Risk for Alzheimer Disease and Plasma Tau Are Associated With Accelerated Parietal Cortex Thickness Change in Middle-Aged Adults</t>
  </si>
  <si>
    <t>Changes in CSF sPDGFRβ level and their association with blood-brain barrier breakdown in Alzheimer's disease with or without small cerebrovascular lesions</t>
  </si>
  <si>
    <t>Synaptic biomarkers in the cerebrospinal fluid associate differentially with classical neuronal biomarkers in patients with Alzheimer's disease and frontotemporal dementia</t>
  </si>
  <si>
    <t>Methods Dev, Neurology</t>
  </si>
  <si>
    <t>Serum Glial Fibrillary Acidic Protein Compared With Neurofilament Light Chain as a Biomarker for Disease Progression in Multiple Sclerosis</t>
  </si>
  <si>
    <t>Neurolgoy methods dev</t>
  </si>
  <si>
    <t>ptau181</t>
  </si>
  <si>
    <t xml:space="preserve">The results further indicate that the highest performing assays have performance metrics that rival the gold standards of Aβ-PET and CSF. If further validated, our findings will have significant impacts in diagnosis, screening and treatment for Alzheimer's dementia in the future.
</t>
  </si>
  <si>
    <t>Janelidze S, Bali D, Ashton NJ, Barthélemy NR, Vanbrabant J, Stoops E, Vanmechelen E, He Y, Dolado AO, Triana-Baltzer G, Pontecorvo MJ, Zetterberg H, Kolb H, Vandijck M, Blennow K, Bateman RJ, Hansson O.</t>
  </si>
  <si>
    <t>Brain. 2022 Sep 10:awac333. doi: 10.1093/brain/awac333. Online ahead of print.</t>
  </si>
  <si>
    <t>Janelidze S</t>
  </si>
  <si>
    <t>Brain</t>
  </si>
  <si>
    <t>10.1093/brain/awac333</t>
  </si>
  <si>
    <t>10.1089/neu.2020.7352</t>
  </si>
  <si>
    <t>AB40,AB42, NfL, GFAP, Ttau</t>
  </si>
  <si>
    <t>Neurology 4 Plex, Neurology 3 plex</t>
  </si>
  <si>
    <t xml:space="preserve">Large neurology comparisons paper </t>
  </si>
  <si>
    <t>Verberk IMW, Misdorp EO, Koelewijn J, Ball AJ, Blennow K, Dage JL, Fandos N, Hansson O, Hirtz C, Janelidze S, Kang S, Kirmess K, Kindermans J, Lee R, Meyer MR, Shan D, Shaw LM, Waligorska T, West T, Zetterberg H, Edelmayer RM, Teunissen CE.</t>
  </si>
  <si>
    <t>Alzheimers Dement. 2022 Aug;18(8):1484-1497. doi: 10.1002/alz.12510. Epub 2021 Nov 29.</t>
  </si>
  <si>
    <t>Verberk IMW</t>
  </si>
  <si>
    <t>Alzheimers Dement</t>
  </si>
  <si>
    <t>PMC9148379</t>
  </si>
  <si>
    <t>NIHMS1747148</t>
  </si>
  <si>
    <t>10.1002/alz.12510</t>
  </si>
  <si>
    <t>10.1111/jnc.15128</t>
  </si>
  <si>
    <t>Ptau181, AB40, AB42, NFL, GFAP</t>
  </si>
  <si>
    <t>Ptau181. Neurology 4 Plex</t>
  </si>
  <si>
    <t>Disease prediction modelling by the combination of all biomarkers indicates that the variance attributed to P-tau181 is mostly captured by APOE-ε4, whereas Aβ40, Aβ42, GFAP and NfL biomarkers explain additional variation over and above APOE. We identified novel plausible genome wide-significant genes associated with Aβ42/Aβ40 ratio in a sample which is 50 times smaller than current genome-wide association studies in Alzheimer’s disease.</t>
  </si>
  <si>
    <t>Stevenson-Hoare J, Heslegrave A, Leonenko G, Fathalla D, Bellou E, Luckcuck L, Marshall R, Sims R, Morgan BP, Hardy J, de Strooper B, Williams J, Zetterberg H, Escott-Price V.</t>
  </si>
  <si>
    <t>Brain. 2023 Feb 13;146(2):690-699. doi: 10.1093/brain/awac128.</t>
  </si>
  <si>
    <t>Stevenson-Hoare J</t>
  </si>
  <si>
    <t>PMC9924904</t>
  </si>
  <si>
    <t>10.1093/brain/awac128</t>
  </si>
  <si>
    <t>10.1007/s11427-020-1830-8</t>
  </si>
  <si>
    <t>interferon-γ, interleukin 1β (IL-1β), IL-4, IL-5, IL-6, IL-8, IL-10, IL-12p70, IL-22, and tumor necrosis facto-α,</t>
  </si>
  <si>
    <t xml:space="preserve">Custom COVID and core-plex cytokine panel </t>
  </si>
  <si>
    <t>Swank Z, Senussi Y, Manickas-Hill Z, Yu XG, Li JZ, Alter G, Walt DR.</t>
  </si>
  <si>
    <t>Clin Infect Dis. 2023 Feb 8;76(3):e487-e490. doi: 10.1093/cid/ciac722.</t>
  </si>
  <si>
    <t>Swank Z</t>
  </si>
  <si>
    <t>Clin Infect Dis</t>
  </si>
  <si>
    <t>10.1093/cid/ciac722</t>
  </si>
  <si>
    <t>10.1007/s10620-020-06683-8</t>
  </si>
  <si>
    <t>AB40,AB42, NFL, Ptau-181, Ttau</t>
  </si>
  <si>
    <t>Neorology 3 Plex, NFL and pTau</t>
  </si>
  <si>
    <t xml:space="preserve">HD-X instrument; blood Ptau 181 was the best marker but CFS AB40/42 also had utility </t>
  </si>
  <si>
    <t>Planche V, Bouteloup V, Pellegrin I, Mangin JF, Dubois B, Ousset PJ, Pasquier F, Blanc F, Paquet C, Hanon O, Bennys K, Ceccaldi M, Annweiler C, Krolak-Salmon P, Godefroy O, Wallon D, Sauvee M, Boutoleau-Bretonnière C, Bourdel-Marchasson I, Jalenques I, Chene G, Dufouil C; MEMENTO Study Group.</t>
  </si>
  <si>
    <t>Neurology. 2023 Jan 31;100(5):e473-e484. doi: 10.1212/WNL.0000000000201479. Epub 2022 Oct 19.</t>
  </si>
  <si>
    <t>Planche V</t>
  </si>
  <si>
    <t>PMC9931079</t>
  </si>
  <si>
    <t>10.1212/WNL.0000000000201479</t>
  </si>
  <si>
    <t>10.1001/jamaneurol.2021.2293</t>
  </si>
  <si>
    <t>NFL,tTau,GFAP, UCHL</t>
  </si>
  <si>
    <t xml:space="preserve">For CSF and Ptau1818 a separate ELISA was used; HD1 Platform </t>
  </si>
  <si>
    <t>Garcia-Moreno H, Prudencio M, Thomas-Black G, Solanky N, Jansen-West KR, Hanna Al-Shaikh R, Heslegrave A, Zetterberg H, Santana MM, Pereira de Almeida L, Vasconcelos-Ferreira A, Januário C, Infante J, Faber J, Klockgether T, Reetz K, Raposo M, Ferreira AF, Lima M, Schöls L, Synofzik M, Hübener-Schmid J, Puschmann A, Gorcenco S, Wszolek ZK, Petrucelli L, Giunti P.</t>
  </si>
  <si>
    <t>Eur J Neurol. 2022 Aug;29(8):2439-2452. doi: 10.1111/ene.15373. Epub 2022 May 26.</t>
  </si>
  <si>
    <t>Garcia-Moreno H</t>
  </si>
  <si>
    <t>Eur J Neurol</t>
  </si>
  <si>
    <t>PMC9543545</t>
  </si>
  <si>
    <t>NIHMS1838989</t>
  </si>
  <si>
    <t>10.1111/ene.15373</t>
  </si>
  <si>
    <t>10.1038/s41586-021-03791-x</t>
  </si>
  <si>
    <t>Troponin-1</t>
  </si>
  <si>
    <t>Tropoinin-1 2 kit</t>
  </si>
  <si>
    <t>Empana JP, Lerner I, Perier MC, Guibout C, Jabre P, Bailly K, Andrieu M, Climie R, van Sloten T, Vedie B, Geromin D, Marijon E, Thomas F, Danchin N, Boutouyrie P, Jouven X.</t>
  </si>
  <si>
    <t>Arterioscler Thromb Vasc Biol. 2022 Dec;42(12):1471-1481. doi: 10.1161/ATVBAHA.122.317961. Epub 2022 Nov 3.</t>
  </si>
  <si>
    <t>Empana JP</t>
  </si>
  <si>
    <t>Arterioscler Thromb Vasc Biol</t>
  </si>
  <si>
    <t>10.1161/ATVBAHA.122.317961</t>
  </si>
  <si>
    <t>10.1021/acsami.1c08174</t>
  </si>
  <si>
    <t>AB40/AB42,GFAP, NFL, Ptau181</t>
  </si>
  <si>
    <t>HD-X; Neurology 4 plex, Ptau kit</t>
  </si>
  <si>
    <t>Ptau was also assessed with a lilly developed MSD panel, multiplexxed assays performed better</t>
  </si>
  <si>
    <t>Jack CR, Wiste HJ, Algeciras-Schimnich A, Figdore DJ, Schwarz CG, Lowe VJ, Ramanan VK, Vemuri P, Mielke MM, Knopman DS, Graff-Radford J, Boeve BF, Kantarci K, Cogswell PM, Senjem ML, Gunter JL, Therneau TM, Petersen RC.</t>
  </si>
  <si>
    <t>Brain. 2023 Feb 15:awad042. doi: 10.1093/brain/awad042. Online ahead of print.</t>
  </si>
  <si>
    <t>Jack CR</t>
  </si>
  <si>
    <t>10.1093/brain/awad042</t>
  </si>
  <si>
    <t>10.3389/fnagi.2021.717930</t>
  </si>
  <si>
    <t>p-tau181, p-tau217, p-tau231, p-tau235</t>
  </si>
  <si>
    <t>Ptau specific assays</t>
  </si>
  <si>
    <t>Therriault J, Vermeiren M, Servaes S, Tissot C, Ashton NJ, Benedet AL, Karikari TK, Lantero-Rodriguez J, Brum WS, Lussier FZ, Bezgin G, Stevenson J, Rahmouni N, Kunach P, Wang YT, Fernandez-Arias J, Socualaya KQ, Macedo AC, Ferrari-Souza JP, Ferreira PCL, Bellaver B, Leffa DT, Zimmer ER, Vitali P, Soucy JP, Triana-Baltzer G, Kolb HC, Pascoal TA, Saha-Chaudhuri P, Gauthier S, Zetterberg H, Blennow K, Rosa-Neto P.</t>
  </si>
  <si>
    <t>JAMA Neurol. 2023 Feb 1;80(2):188-199. doi: 10.1001/jamaneurol.2022.4485.</t>
  </si>
  <si>
    <t>Therriault J</t>
  </si>
  <si>
    <t>JAMA Neurol</t>
  </si>
  <si>
    <t>PMC9856704</t>
  </si>
  <si>
    <t>10.1001/jamaneurol.2022.4485</t>
  </si>
  <si>
    <t>10.1007/s12026-021-09220-5</t>
  </si>
  <si>
    <t>Ptau181,NFL,GFAP</t>
  </si>
  <si>
    <t>SRX, 3 singple plex assays</t>
  </si>
  <si>
    <t xml:space="preserve">Large CV noticed, quanterix was only used for plasma samples and LEISAs were used for CSF </t>
  </si>
  <si>
    <t>Baiardi S, Quadalti C, Mammana A, Dellavalle S, Zenesini C, Sambati L, Pantieri R, Polischi B, Romano L, Suffritti M, Bentivenga GM, Randi V, Stanzani-Maserati M, Capellari S, Parchi P.</t>
  </si>
  <si>
    <t>Alzheimers Res Ther. 2022 Oct 12;14(1):153. doi: 10.1186/s13195-022-01093-6.</t>
  </si>
  <si>
    <t>Baiardi S</t>
  </si>
  <si>
    <t>PMC9555092</t>
  </si>
  <si>
    <t>10.1186/s13195-022-01093-6</t>
  </si>
  <si>
    <t>10.1016/j.msard.2021.103280</t>
  </si>
  <si>
    <t>INFa, INFy</t>
  </si>
  <si>
    <t>Homebrew</t>
  </si>
  <si>
    <t xml:space="preserve">used to verift transcriptomic findings </t>
  </si>
  <si>
    <t>Trutschel D, Bost P, Mariette X, Bondet V, Llibre A, Posseme C, Charbit B, Thorball CW, Jonsson R, Lessard CJ, Felten R, Ng WF, Chatenoud L, Dumortier H, Sibilia J, Fellay J, Brokstad KA, Appel S, Tarn JR, Quintana-Murci L, Mingueneau M, Meyer N, Duffy D, Schwikowski B, Gottenberg JE; Milieu Intérieur Consortium, ASSESS study investigators, and NECESSITY Consortium.</t>
  </si>
  <si>
    <t>Arthritis Rheumatol. 2022 Dec;74(12):1991-2002. doi: 10.1002/art.42265. Epub 2022 Nov 2.</t>
  </si>
  <si>
    <t>Trutschel D</t>
  </si>
  <si>
    <t>PMC10092541</t>
  </si>
  <si>
    <t>10.1002/art.42265</t>
  </si>
  <si>
    <t>10.1007/s12035-021-02562-z</t>
  </si>
  <si>
    <t>NFL, GP32, GP8,</t>
  </si>
  <si>
    <t>Neurology 4 plex HD-1; Home brew assays agaunst GP antigens</t>
  </si>
  <si>
    <t>Other proteins measured by the intent was to measure NFL</t>
  </si>
  <si>
    <t>Wilson KM, Katona E, Glaria I, Carcolé M, Swift IJ, Sogorb-Esteve A, Heller C, Bouzigues A, Heslegrave AJ, Keshavan A, Knowles K, Patil S, Mohapatra S, Liu Y, Goyal J, Sanchez-Valle R, Laforce RJ, Synofzik M, Rowe JB, Finger E, Vandenberghe R, Butler CR, Gerhard A, Van Swieten JC, Seelaar H, Borroni B, Galimberti D, de Mendonça A, Masellis M, Tartaglia MC, Otto M, Graff C, Ducharme S, Schott JM, Malaspina A, Zetterberg H, Boyanapalli R, Rohrer JD, Isaacs AM; Genetic FTD Initiative (GENFI).</t>
  </si>
  <si>
    <t>J Neurol Neurosurg Psychiatry. 2022 Jul;93(7):761-771. doi: 10.1136/jnnp-2021-328710. Epub 2022 Apr 4.</t>
  </si>
  <si>
    <t>Wilson KM</t>
  </si>
  <si>
    <t>J Neurol Neurosurg Psychiatry</t>
  </si>
  <si>
    <t>PMC9279742</t>
  </si>
  <si>
    <t>10.1136/jnnp-2021-328710</t>
  </si>
  <si>
    <t>10.2217/bmm-2020-0770</t>
  </si>
  <si>
    <t>SARS-COV-N</t>
  </si>
  <si>
    <t>SD-X</t>
  </si>
  <si>
    <t>poor agreeability between assays tested</t>
  </si>
  <si>
    <t>Hillig T, Kristensen JR, Brasen CL, Brandslund I, Olsen DA, Davidsen C, Madsen JS, Jensen CA, Hansen YBL, Friis-Hansen L.</t>
  </si>
  <si>
    <t>Sci Rep. 2023 Feb 17;13(1):2868. doi: 10.1038/s41598-023-29973-3.</t>
  </si>
  <si>
    <t>Hillig T</t>
  </si>
  <si>
    <t>PMC9937528</t>
  </si>
  <si>
    <t>10.1038/s41598-023-29973-3</t>
  </si>
  <si>
    <t>10.1111/jvim.16184</t>
  </si>
  <si>
    <t>HDX NFL advantage</t>
  </si>
  <si>
    <t>Simoa vs Ella; Here, we show that despite the fact that Ella measures around 24% higher values than Simoa, both are equally suitable for longitudinal sNfL monitoring.</t>
  </si>
  <si>
    <t>Nötzel M, Werder LI, Ziemssen T, Akgün K.</t>
  </si>
  <si>
    <t>Int J Mol Sci. 2022 Oct 15;23(20):12361. doi: 10.3390/ijms232012361.</t>
  </si>
  <si>
    <t>Nötzel M</t>
  </si>
  <si>
    <t>PMC9604350</t>
  </si>
  <si>
    <t>10.3390/ijms232012361</t>
  </si>
  <si>
    <t>10.1007/s00415-021-10517-6</t>
  </si>
  <si>
    <t xml:space="preserve">SRX  NFL advantage </t>
  </si>
  <si>
    <t>Simoa vs Ella; HElla returned plasmatic NfL levels significantly higher than SiMoA, however the results were strongly correlated (r = 0.94), and a proportional coefficient of 0.58 between the two assays was calculated. Both assays detected higher plasma NfL levels in patients with dementia than in the control group (p &lt; 0.0001) and allowed their discrimination with excellent diagnostic performance (AUC &gt; 0.95). No difference was found between Alzheimer’s and Frontotemporal dementia either using SiMoA or Ella. In conclusion, both the analytical platforms resulted effective in analysing plasma levels of NfL. However, the correct interpretation of results requires the precise knowledge of the assay used.</t>
  </si>
  <si>
    <t>Truffi M, Garofalo M, Ricciardi A, Cotta Ramusino M, Perini G, Scaranzin S, Gastaldi M, Albasini S, Costa A, Chiavetta V, Corsi F, Morasso C, Gagliardi S.</t>
  </si>
  <si>
    <t>Sci Rep. 2023 Mar 10;13(1):4041. doi: 10.1038/s41598-023-29704-8.</t>
  </si>
  <si>
    <t>Truffi M</t>
  </si>
  <si>
    <t>PMC10006166</t>
  </si>
  <si>
    <t>10.1038/s41598-023-29704-8</t>
  </si>
  <si>
    <t>10.1038/s41467-021-24319-x</t>
  </si>
  <si>
    <t>NFL, NFH</t>
  </si>
  <si>
    <t>HD platform, NFL, NFH kits</t>
  </si>
  <si>
    <t xml:space="preserve">SIMOA vs hsELISA (both uman?) </t>
  </si>
  <si>
    <t>Revendova KZ, Zeman D, Bunganic R, Karasova K, Volny O, Bar M, Kusnierova P.</t>
  </si>
  <si>
    <t>Mult Scler Relat Disord. 2022 Nov;67:104177. doi: 10.1016/j.msard.2022.104177. Epub 2022 Sep 11.</t>
  </si>
  <si>
    <t>Revendova KZ</t>
  </si>
  <si>
    <t>Mult Scler Relat Disord</t>
  </si>
  <si>
    <t>10.1016/j.msard.2022.104177</t>
  </si>
  <si>
    <t>10.1186/s13075-021-02556-1</t>
  </si>
  <si>
    <t xml:space="preserve">Ptau181 advantage </t>
  </si>
  <si>
    <t>3 platforms used for 3 different targets</t>
  </si>
  <si>
    <t>Oeckl P, Anderl-Straub S, Danek A, Diehl-Schmid J, Fassbender K, Fliessbach K, Halbgebauer S, Huppertz HJ, Jahn H, Kassubek J, Kornhuber J, Landwehrmeyer B, Lauer M, Prudlo J, Schneider A, Schroeter ML, Steinacker P, Volk AE, Wagner M, Winkelmann J, Wiltfang J, Ludolph AC, Otto M; FTLD Consortium.</t>
  </si>
  <si>
    <t>Alzheimers Dement. 2023 Apr;19(4):1358-1371. doi: 10.1002/alz.12790. Epub 2022 Sep 21.</t>
  </si>
  <si>
    <t>Oeckl P</t>
  </si>
  <si>
    <t>10.1002/alz.12790</t>
  </si>
  <si>
    <t>10.1186/s13195-021-00864-x</t>
  </si>
  <si>
    <t>COVID S, N. anti-s, RBD</t>
  </si>
  <si>
    <t>Elecsys comparison; Findings showed that 75.0% (by Simoa assay) or 80.0% (by Roche assay) of the HSCT cohort had a positive antibody response on series completion, compared with 100% in the healthy cohort.</t>
  </si>
  <si>
    <t>Sherman AC, Desjardins M, Cheng CA, Bausk B, Izaguirre N, Zhou G, Krauss J, Tolan N, Walt DR, Soiffer R, Ho VT, Issa NC, Baden LR.</t>
  </si>
  <si>
    <t>Clin Infect Dis. 2022 Aug 24;75(1):e920-e923. doi: 10.1093/cid/ciab930.</t>
  </si>
  <si>
    <t>Sherman AC</t>
  </si>
  <si>
    <t>PMC8689898</t>
  </si>
  <si>
    <t>10.1093/cid/ciab930</t>
  </si>
  <si>
    <t>10.1212/NXI.0000000000001003</t>
  </si>
  <si>
    <t>NFL, ptau181, ptau271,GFAP, AB40,AB42</t>
  </si>
  <si>
    <t>likely a neurology 4 plex and Ptau assays</t>
  </si>
  <si>
    <t>Hansen N, Rauter C, Wiltfang J.</t>
  </si>
  <si>
    <t>Fortschr Neurol Psychiatr. 2022 Jul;90(7-08):326-335. doi: 10.1055/a-1839-6237. Epub 2022 Jul 20.</t>
  </si>
  <si>
    <t>Hansen N</t>
  </si>
  <si>
    <t>Fortschr Neurol Psychiatr</t>
  </si>
  <si>
    <t>10.1055/a-1839-6237</t>
  </si>
  <si>
    <t>10.1007/s00415-021-10714-3</t>
  </si>
  <si>
    <t>VAMP2</t>
  </si>
  <si>
    <t xml:space="preserve">Custom Adx panel </t>
  </si>
  <si>
    <t xml:space="preserve">Custom panel from Adx, but there were several assays and platforms used across markers. </t>
  </si>
  <si>
    <t>Wesenhagen KEJ, Tijms BM, Boonkamp L, Hoede PL, Goossens J, Dewit N, Scheltens P, Vanmechelen E, Visser PJ, Teunissen CE.</t>
  </si>
  <si>
    <t>Alzheimers Res Ther. 2022 Jul 15;14(1):95. doi: 10.1186/s13195-022-01038-z.</t>
  </si>
  <si>
    <t>Wesenhagen KEJ</t>
  </si>
  <si>
    <t>PMC9288016</t>
  </si>
  <si>
    <t>10.1186/s13195-022-01038-z</t>
  </si>
  <si>
    <t>10.1016/j.immuni.2021.09.002</t>
  </si>
  <si>
    <t>NFL, GFAP</t>
  </si>
  <si>
    <t>likely Neurology 3 plex</t>
  </si>
  <si>
    <t>Mao S, Teng X, Li Z, Zu J, Zhang T, Xu C, Cui G.</t>
  </si>
  <si>
    <t>Brain Res. 2023 Apr 15;1805:148271. doi: 10.1016/j.brainres.2023.148271. Epub 2023 Feb 7.</t>
  </si>
  <si>
    <t>Mao S</t>
  </si>
  <si>
    <t>Brain Res</t>
  </si>
  <si>
    <t>10.1016/j.brainres.2023.148271</t>
  </si>
  <si>
    <t>10.1007/s00702-021-02423-y</t>
  </si>
  <si>
    <t>Many platforms used for repeated measurements</t>
  </si>
  <si>
    <t>Aschenbrenner AJ, Li Y, Henson RL, Volluz K, Hassenstab J, Verghese P, West T, Meyer MR, Kirmess KM, Fagan AM, Xiong C, Holtzman D, Morris JC, Bateman RJ, Schindler SE.</t>
  </si>
  <si>
    <t>Ann Clin Transl Neurol. 2022 Nov;9(11):1739-1751. doi: 10.1002/acn3.51670. Epub 2022 Oct 2.</t>
  </si>
  <si>
    <t>Aschenbrenner AJ</t>
  </si>
  <si>
    <t>Ann Clin Transl Neurol</t>
  </si>
  <si>
    <t>PMC9639639</t>
  </si>
  <si>
    <t>10.1002/acn3.51670</t>
  </si>
  <si>
    <t>10.1016/S1474-4422(21)00214-3</t>
  </si>
  <si>
    <t xml:space="preserve">Ttau, NpTau217,Nptau181, </t>
  </si>
  <si>
    <t>Neurology 3plex, Ttau, 2 custom assays</t>
  </si>
  <si>
    <t>Ttau from quanterix was a poor performer, other assays and analytes worked better</t>
  </si>
  <si>
    <t>Snellman A, Lantero-Rodriguez J, Emeršič A, Vrillon A, Karikari TK, Ashton NJ, Gregorič Kramberger M, Čučnik S, Paquet C, Rot U, Zetterberg H, Blennow K.</t>
  </si>
  <si>
    <t>Brain. 2022 Aug 27;145(8):2834-2848. doi: 10.1093/brain/awab481.</t>
  </si>
  <si>
    <t>Snellman A</t>
  </si>
  <si>
    <t>PMC9420020</t>
  </si>
  <si>
    <t>10.1093/brain/awab481</t>
  </si>
  <si>
    <t>10.1212/WNL.0000000000012513</t>
  </si>
  <si>
    <t>Mostly an MSD paper but NFL was compared on both platforms</t>
  </si>
  <si>
    <t>Ulndreaj A, Sohaei D, Thebault S, Pons-Belda OD, Fernandez-Uriarte A, Campbell C, Cheo D, Stengelin M, Sigal G, Freedman MS, Scarisbrick IA, Prassas I, Diamandis EP.</t>
  </si>
  <si>
    <t>Diagnosis (Berl). 2023 Feb 15. doi: 10.1515/dx-2022-0125. Online ahead of print.</t>
  </si>
  <si>
    <t>Ulndreaj A</t>
  </si>
  <si>
    <t>Diagnosis (Berl)</t>
  </si>
  <si>
    <t>10.1515/dx-2022-0125</t>
  </si>
  <si>
    <t>10.1002/alz.12332</t>
  </si>
  <si>
    <t xml:space="preserve">Neurology 4 plex </t>
  </si>
  <si>
    <t>Run alongside MS, animal models</t>
  </si>
  <si>
    <t>Wang J, Wang J, Xie W, Liu J, Feng J, Wei W, Li M, Wu L, Wang C, Li R.</t>
  </si>
  <si>
    <t>Int Immunopharmacol. 2023 Mar;116:109761. doi: 10.1016/j.intimp.2023.109761. Epub 2023 Jan 27.</t>
  </si>
  <si>
    <t>Wang J</t>
  </si>
  <si>
    <t>10.1016/j.intimp.2023.109761</t>
  </si>
  <si>
    <t>10.1016/j.chroma.2021.462299</t>
  </si>
  <si>
    <t>NFL advantage</t>
  </si>
  <si>
    <t>Only used for the animal study portion</t>
  </si>
  <si>
    <t>David-Bercholz J, Acker L, Caceres AI, Wu PY, Goenka S, Franklin NO, Rodriguiz RM, Wetsel WC, Devinney M, Wright MC, Zetterberg H, Yang T, Berger M, Terrando N.</t>
  </si>
  <si>
    <t>Brain Behav Immun Health. 2022 Nov 17;26:100555. doi: 10.1016/j.bbih.2022.100555. eCollection 2022 Dec.</t>
  </si>
  <si>
    <t>David-Bercholz J</t>
  </si>
  <si>
    <t>Brain Behav Immun Health</t>
  </si>
  <si>
    <t>PMC9706140</t>
  </si>
  <si>
    <t>10.1016/j.bbih.2022.100555</t>
  </si>
  <si>
    <t>10.1016/j.msard.2021.103090</t>
  </si>
  <si>
    <t>Ptau 181 kit</t>
  </si>
  <si>
    <t xml:space="preserve">Historically had looked at other simoa panels; coorelates with AD vs NC status </t>
  </si>
  <si>
    <t>Tropea TF, Waligorska T, Xie SX, Nasrallah IM, Cousins KAQ, Trojanowski JQ, Grossman M, Irwin DJ, Weintraub D, Lee EB, Wolk DA, Chen-Plotkin AS, Shaw LM; Alzheimer's Disease Neuroimaging Initiative.</t>
  </si>
  <si>
    <t>Ann Clin Transl Neurol. 2023 Jan;10(1):18-31. doi: 10.1002/acn3.51695. Epub 2022 Dec 14.</t>
  </si>
  <si>
    <t>Tropea TF</t>
  </si>
  <si>
    <t>PMC9852389</t>
  </si>
  <si>
    <t>10.1002/acn3.51695</t>
  </si>
  <si>
    <t>10.1016/j.medj.2021.08.004</t>
  </si>
  <si>
    <t>Luminex and ELISAs used for other targets</t>
  </si>
  <si>
    <t>Azzoni L, Giron LB, Vadrevu S, Zhao L, Lalley-Chareczko L, Hiserodt E, Fair M, Lynn K, Trooskin S, Mounzer K, Abdel-Mohsen M, Montaner LJ.</t>
  </si>
  <si>
    <t>J Leukoc Biol. 2022 Oct;112(4):733-744. doi: 10.1002/JLB.4A1221-678RR. Epub 2022 Aug 2.</t>
  </si>
  <si>
    <t>Azzoni L</t>
  </si>
  <si>
    <t>J Leukoc Biol</t>
  </si>
  <si>
    <t>10.1002/JLB.4A1221-678RR</t>
  </si>
  <si>
    <t>10.1007/s00216-021-03435-z</t>
  </si>
  <si>
    <t xml:space="preserve"> In absence of overt inflammatory activity, pwMS and OCMB exhibit higher s-NFL levels, and a greater age-related increase. Thus, OCMB may portray an underlying inflammatory process not detected by conventional MRI studies and may explain the poorer prognosis of these patients.</t>
  </si>
  <si>
    <t>Casanova B, Castillo J, Quintanilla-Bordás C, Sanz MT, Fernández-Velasco JI, Alcalá C, Carratalá S, Gasque R, Rubio A, Cubas L, Villar LM, Pérez-Miralles F.</t>
  </si>
  <si>
    <t>Mult Scler Relat Disord. 2022 Dec;68:104118. doi: 10.1016/j.msard.2022.104118. Epub 2022 Aug 15.</t>
  </si>
  <si>
    <t>Casanova B</t>
  </si>
  <si>
    <t>10.1016/j.msard.2022.104118</t>
  </si>
  <si>
    <t>10.1016/j.jpsychires.2021.09.012</t>
  </si>
  <si>
    <t>The combination of NFL and GFAP showed good performance in identifying PD-RBD patients from PD-nRBD. After considering potential confounding factors such as age, and disease duration, serum NFL and GFAP emerged as independent risk factors for RBD. Serum NFL and GFAP were related to RBD in PD patients. Concludingly, serum NFL and GFAP might serve as promising biomarkers for the RBD subtype of PD.</t>
  </si>
  <si>
    <t>Teng X, Mao S, Wu H, Shao Q, Zu J, Zhang W, Zhou S, Zhang T, Zhu J, Cui G, Xu C.</t>
  </si>
  <si>
    <t>J Neurochem. 2023 Apr;165(2):268-276. doi: 10.1111/jnc.15780. Epub 2023 Feb 24.</t>
  </si>
  <si>
    <t>Teng X</t>
  </si>
  <si>
    <t>J Neurochem</t>
  </si>
  <si>
    <t>10.1111/jnc.15780</t>
  </si>
  <si>
    <t>10.1136/jnnp-2021-326914</t>
  </si>
  <si>
    <t>GFAP</t>
  </si>
  <si>
    <t>Likely single GFAP assay</t>
  </si>
  <si>
    <t>Tybirk L, Hviid CVB, Knudsen CS, Parkner T.</t>
  </si>
  <si>
    <t>Clin Chem Lab Med. 2022 Sep 8;60(11):1830-1838. doi: 10.1515/cclm-2022-0646. Print 2022 Oct 26.</t>
  </si>
  <si>
    <t>Tybirk L</t>
  </si>
  <si>
    <t>10.1515/cclm-2022-0646</t>
  </si>
  <si>
    <t>10.1016/j.parkreldis.2021.07.028</t>
  </si>
  <si>
    <t>Neurology 4 plex ; HD-x</t>
  </si>
  <si>
    <t xml:space="preserve"> In conclusion, plasma was determined to be most suitable blood-based matrix for multiplexing the neurology 4-plex-A panel. Given their correlation with motor features of PD, NFL and GFAP appear to be promising disease state biomarker candidates and further longitudinal validation of these two proteins as blood-based biomarkers for PD progression is warranted.</t>
  </si>
  <si>
    <t>Youssef P, Hughes L, Kim WS, Halliday GM, Lewis SJG, Cooper A, Dzamko N.</t>
  </si>
  <si>
    <t>Sci Rep. 2023 Mar 30;13(1):5217. doi: 10.1038/s41598-023-32480-0.</t>
  </si>
  <si>
    <t>Youssef P</t>
  </si>
  <si>
    <t>PMC10063670</t>
  </si>
  <si>
    <t>10.1038/s41598-023-32480-0</t>
  </si>
  <si>
    <t>10.1016/j.jve.2021.100056</t>
  </si>
  <si>
    <t>GFAP, NFL</t>
  </si>
  <si>
    <t>Neurology 4 Plex</t>
  </si>
  <si>
    <t>Plasma GFAP may be more sensitive to white matter and cognitive changes than plasma NfL. Biomarkers reflecting astroglial pathophysiology may capture complex dynamics of aging and neurodegenerative disease.</t>
  </si>
  <si>
    <t>Asken BM, VandeVrede L, Rojas JC, Fonseca C, Staffaroni AM, Elahi FM, Lindbergh CA, Apple AC, You M, Weiner-Light S, Brathaban N, Fernandes N, Boxer AL, Miller BL, Rosen HJ, Kramer JH, Casaletto KB.</t>
  </si>
  <si>
    <t>J Int Neuropsychol Soc. 2022 Jul;28(6):588-599. doi: 10.1017/S1355617721000813. Epub 2021 Jun 22.</t>
  </si>
  <si>
    <t>Asken BM</t>
  </si>
  <si>
    <t>J Int Neuropsychol Soc</t>
  </si>
  <si>
    <t>PMC8692495</t>
  </si>
  <si>
    <t>NIHMS1707674</t>
  </si>
  <si>
    <t>10.1017/S1355617721000813</t>
  </si>
  <si>
    <t>10.1016/j.expneurol.2021.113698</t>
  </si>
  <si>
    <t>Favresse J, Bayart JL, David C, Gillot C, Wieërs G, Roussel G, Sondag G, Elsen M, Eucher C, Dogné JM, Douxfils J.</t>
  </si>
  <si>
    <t>Viruses. 2022 Jul 28;14(8):1653. doi: 10.3390/v14081653.</t>
  </si>
  <si>
    <t>Favresse J</t>
  </si>
  <si>
    <t>Viruses</t>
  </si>
  <si>
    <t>PMC9415151</t>
  </si>
  <si>
    <t>10.3390/v14081653</t>
  </si>
  <si>
    <t>10.1002/ijc.33724</t>
  </si>
  <si>
    <t>Ptau181</t>
  </si>
  <si>
    <t>Ptau181 advantage; HD-X</t>
  </si>
  <si>
    <t xml:space="preserve">Plasma Ptau181 perfromed better than serum </t>
  </si>
  <si>
    <t>Tzartos JS, Boufidou F, Stergiou C, Kuhle J, Willemse E, Palaiodimou L, Tsantzali I, Sideri E, Bonakis A, Giannopoulos S, Voumvourakis KI, Tsivgoulis G, Tzartos SJ, Kapaki E, Paraskevas GP.</t>
  </si>
  <si>
    <t>Biomolecules. 2022 Aug 10;12(8):1099. doi: 10.3390/biom12081099.</t>
  </si>
  <si>
    <t>Tzartos JS</t>
  </si>
  <si>
    <t>Biomolecules</t>
  </si>
  <si>
    <t>PMC9405977</t>
  </si>
  <si>
    <t>10.3390/biom12081099</t>
  </si>
  <si>
    <t>10.1007/s00415-021-10722-3</t>
  </si>
  <si>
    <t>NFL Advantage; SRx</t>
  </si>
  <si>
    <t xml:space="preserve">NFL was asscociated with but did not have the ability to pedict disease serverity </t>
  </si>
  <si>
    <t>Verde F, Milone I, Bulgarelli I, Peverelli S, Colombrita C, Maranzano A, Calcagno N, Ticozzi N, Perego GB, Parati G, Torresani E, Ratti A, Silani V.</t>
  </si>
  <si>
    <t>J Neurol. 2022 Nov;269(11):5691-5701. doi: 10.1007/s00415-022-11233-5. Epub 2022 Jul 4.</t>
  </si>
  <si>
    <t>Verde F</t>
  </si>
  <si>
    <t>J Neurol</t>
  </si>
  <si>
    <t>PMC9252542</t>
  </si>
  <si>
    <t>10.1007/s00415-022-11233-5</t>
  </si>
  <si>
    <t>10.1093/clinchem/hvab128</t>
  </si>
  <si>
    <t>NFL, AB40, AB42, GFAP, Ptau181</t>
  </si>
  <si>
    <t>Neurology 4 plex, Ptau181; HD-x</t>
  </si>
  <si>
    <t xml:space="preserve">Fujire Bio was used for CSF markers, which were found to be significant and not plasma markers  Only CSF Aβ42 was shown to be decreased in APOE ε4/ε4 carriers than in non-carriers for patients with AD (p = 0.024). Furthermore, we did not find any associations of APOE ε4 with plasma biomarkers of AD and non-AD. Interestingly, we found that in non-AD patients, APOE ε4 carriers had lower CSF Aβ42 (p = 0.018) and higher T-tau/Aβ42 ratios (p &lt; 0.001) and P-tau181/Aβ42 ratios (p = 0.002) than non-carriers.
</t>
  </si>
  <si>
    <t>Shang L, Dong L, Huang X, Wang T, Mao C, Li J, Wang J, Liu C, Gao J.</t>
  </si>
  <si>
    <t>Front Aging Neurosci. 2023 Mar 31;15:1119070. doi: 10.3389/fnagi.2023.1119070. eCollection 2023.</t>
  </si>
  <si>
    <t>Shang L</t>
  </si>
  <si>
    <t>Front Aging Neurosci</t>
  </si>
  <si>
    <t>PMC10103647</t>
  </si>
  <si>
    <t>10.3389/fnagi.2023.1119070</t>
  </si>
  <si>
    <t>10.1016/j.jad.2021.12.122</t>
  </si>
  <si>
    <t>Neurology 4 plex,HD-1</t>
  </si>
  <si>
    <t>Results support the potential role of circulating GFAP levels for aiding dementia risk prediction and improving clinical trial stratification in community settings.</t>
  </si>
  <si>
    <t>Gonzales MM, Wiedner C, Wang CP, Liu Q, Bis JC, Li Z, Himali JJ, Ghosh S, Thomas EA, Parent DM, Kautz TF, Pase MP, Aparicio HJ, Djoussé L, Mukamal KJ, Psaty BM, Longstreth WT Jr, Mosley TH Jr, Gudnason V, Mbangdadji D, Lopez OL, Yaffe K, Sidney S, Bryan RN, Nasrallah IM, DeCarli CS, Beiser AS, Launer LJ, Fornage M, Tracy RP, Seshadri S, Satizabal CL.</t>
  </si>
  <si>
    <t>Ann Clin Transl Neurol. 2022 Oct;9(10):1574-1585. doi: 10.1002/acn3.51652. Epub 2022 Sep 3.</t>
  </si>
  <si>
    <t>Gonzales MM</t>
  </si>
  <si>
    <t>PMC9539381</t>
  </si>
  <si>
    <t>10.1002/acn3.51652</t>
  </si>
  <si>
    <t>10.1080/19336896.2021.1917289</t>
  </si>
  <si>
    <t>Serum GFAP exhibits a relatively low CVI but a considerable CVG and a marked semidiurnal variation. This implies caution on the timing of blood sampling and when interpreting GFAP in relation to reference intervals, especially in conditions where only small GFAP differences are observed.</t>
  </si>
  <si>
    <t>Christensen SH, Hviid CVB, Madsen AT, Parkner T, Winther-Larsen A.</t>
  </si>
  <si>
    <t>Clin Chem Lab Med. 2022 Aug 15;60(11):1813-1819. doi: 10.1515/cclm-2022-0480. Print 2022 Oct 26.</t>
  </si>
  <si>
    <t>Christensen SH</t>
  </si>
  <si>
    <t>10.1515/cclm-2022-0480</t>
  </si>
  <si>
    <t>10.3389/fimmu.2021.735866</t>
  </si>
  <si>
    <t>AB40,tau,AB42,Ptau181</t>
  </si>
  <si>
    <t>Neurology 3 plex, Ptau181 advantage</t>
  </si>
  <si>
    <t>We found that plasma collected in Li-Hep and Na-Hep tubes yielded significantly higher tau and p-tau181 levels compared to plasma collected in K2-EDTA tubes from the same person, but there was no difference in the measured values of the Aβ40, Aβ42, and Aβ42/40 ratio. Therefore, the type of blood collecting tubes should be considered when planning studies that measure plasma tau.</t>
  </si>
  <si>
    <t>Jiang L, Ding X, Wang W, Yang X, Li T, Lei P.</t>
  </si>
  <si>
    <t>Biomolecules. 2022 Aug 28;12(9):1194. doi: 10.3390/biom12091194.</t>
  </si>
  <si>
    <t>Jiang L</t>
  </si>
  <si>
    <t>PMC9496121</t>
  </si>
  <si>
    <t>10.3390/biom12091194</t>
  </si>
  <si>
    <t>10.1007/s10549-021-06474-3</t>
  </si>
  <si>
    <t>Levels of neurofilament light chain and glial fibrillary astrocytic protein, i.e. markers of neuronal damage and reactive astrogliosis, were lower in blood from patients with persistent Post-COVID-19 headache compared to patients with severe COVID-19. Hence, our pilot serological study indicates that long-term Post-COVID-19 headache may not be a sign of underlying neuronal damage or neuroinflammation.</t>
  </si>
  <si>
    <t>de Boni L, Odainic A, Gancarczyk N, Kaluza L, Strassburg CP, Kersting XAK, Johnson JM, Wüllner U, Schmidt SV, Nattermann J, Petzold GC.</t>
  </si>
  <si>
    <t>Neurol Res Pract. 2022 Oct 31;4(1):53. doi: 10.1186/s42466-022-00217-5.</t>
  </si>
  <si>
    <t>de Boni L</t>
  </si>
  <si>
    <t>Neurol Res Pract</t>
  </si>
  <si>
    <t>PMC9618412</t>
  </si>
  <si>
    <t>10.1186/s42466-022-00217-5</t>
  </si>
  <si>
    <t>Ptau181, NFL, GFAP,  UCHL</t>
  </si>
  <si>
    <t>Neurology 4 plex, Ptau181</t>
  </si>
  <si>
    <t xml:space="preserve"> Elevated p-tau181, NfL, and t-tau in cirrhosis were associated with renal impairment and hypoalbuminemia, suggesting that hepatorenal function may be important when interpreting plasma biomarkers of neuropathology.</t>
  </si>
  <si>
    <t>Berry K, Asken BM, Grab JD, Chan B, Lario Lago A, Wong R, Seetharaman S, LaHue SC, Possin KL, Rojas JC, Kramer JH, Boxer AL, Lai JC, VandeVrede L.</t>
  </si>
  <si>
    <t>Alzheimers Dement (Amst). 2022 Jul 12;14(1):e12321. doi: 10.1002/dad2.12321. eCollection 2022.</t>
  </si>
  <si>
    <t>Berry K</t>
  </si>
  <si>
    <t>Alzheimers Dement (Amst)</t>
  </si>
  <si>
    <t>PMC9274803</t>
  </si>
  <si>
    <t>10.1002/dad2.12321</t>
  </si>
  <si>
    <t>10.3389/fpsyt.2021.754969</t>
  </si>
  <si>
    <t>LRIG1</t>
  </si>
  <si>
    <t>Custom Assay</t>
  </si>
  <si>
    <t>LRIG1 plasma levels were elevated in patients with ovarian carcinoma, and high levels were associated with poor prognosis, suggesting that LRIG1 might be an etiologic factor and a potentially useful biomarker in ovarian carcinoma.</t>
  </si>
  <si>
    <t>de Melo ALL, Linder A, Sundfeldt K, Lindquist D, Hedman H.</t>
  </si>
  <si>
    <t>Acta Oncol. 2022 Nov;61(11):1425-1433. doi: 10.1080/0284186X.2022.2140016. Epub 2022 Nov 3.</t>
  </si>
  <si>
    <t>de Melo ALL</t>
  </si>
  <si>
    <t>Acta Oncol</t>
  </si>
  <si>
    <t>10.1080/0284186X.2022.2140016</t>
  </si>
  <si>
    <t>10.3233/JPD-212866</t>
  </si>
  <si>
    <t>AB40, AB42, Ptau181</t>
  </si>
  <si>
    <t xml:space="preserve">Homebrew assays </t>
  </si>
  <si>
    <t xml:space="preserve">CSF was performed using a the roche elecsys. Compared to imaging </t>
  </si>
  <si>
    <t>Fowler CJ, Stoops E, Rainey-Smith SR, Vanmechelen E, Vanbrabant J, Dewit N, Mauroo K, Maruff P, Rowe CC, Fripp J, Li QX, Bourgeat P, Collins SJ, Martins RN, Masters CL, Doecke JD.</t>
  </si>
  <si>
    <t>Alzheimers Dement (Amst). 2022 Nov 25;14(1):e12375. doi: 10.1002/dad2.12375. eCollection 2022.</t>
  </si>
  <si>
    <t>Fowler CJ</t>
  </si>
  <si>
    <t>PMC9695763</t>
  </si>
  <si>
    <t>10.1002/dad2.12375</t>
  </si>
  <si>
    <t>10.3233/JAD-215096</t>
  </si>
  <si>
    <t>AB40/AB42, GFAP, NFL, pTau181</t>
  </si>
  <si>
    <t>Neurology 4 plex, ptau 181; HD-1</t>
  </si>
  <si>
    <t>All biomarkers combined gave the best results</t>
  </si>
  <si>
    <t>Donaghy PC, Firbank M, Petrides G, Lloyd J, Barnett N, Olsen K, Heslegrave A, Zetterberg H, Thomas AJ, O'Brien JT.</t>
  </si>
  <si>
    <t>Parkinsonism Relat Disord. 2022 Aug;101:111-116. doi: 10.1016/j.parkreldis.2022.07.008. Epub 2022 Jul 19.</t>
  </si>
  <si>
    <t>Donaghy PC</t>
  </si>
  <si>
    <t>Parkinsonism Relat Disord</t>
  </si>
  <si>
    <t>10.1016/j.parkreldis.2022.07.008</t>
  </si>
  <si>
    <t>10.1007/s00787-020-01657-7</t>
  </si>
  <si>
    <t>NFL, TNFa</t>
  </si>
  <si>
    <t>SR-x; NFLA and TNFA singple plex</t>
  </si>
  <si>
    <t>Berkowitz S, Gofrit SG, Aharoni SA, Golderman V, Qassim L, Goldberg Z, Dori A, Maggio N, Chapman J, Shavit-Stein E.</t>
  </si>
  <si>
    <t>Int J Mol Sci. 2022 Sep 9;23(18):10472. doi: 10.3390/ijms231810472.</t>
  </si>
  <si>
    <t>Berkowitz S</t>
  </si>
  <si>
    <t>PMC9499496</t>
  </si>
  <si>
    <t>10.3390/ijms231810472</t>
  </si>
  <si>
    <t>10.1136/bmjno-2021-000192</t>
  </si>
  <si>
    <t xml:space="preserve">NFL single plex likely </t>
  </si>
  <si>
    <t xml:space="preserve">Treatment-resistant schizophrenia does not appear to be associated with neuronal, particularly axonal degeneration. Further studies are warranted to investigate the utility of NfL to differentiate treatment-resistant schizophrenia from neurodegenerative disorders such as behavioural variant frontotemporal dementia, and to explore NfL in other stages of schizophrenia such as the prodome and first episode.
</t>
  </si>
  <si>
    <t>Eratne D, Janelidze S, Malpas CB, Loi S, Walterfang M, Merritt A, Diouf I, Blennow K, Zetterberg H, Cilia B, Wannan C, Bousman C, Everall I, Zalesky A, Jayaram M, Thomas N, Berkovic SF, Hansson O, Velakoulis D, Pantelis C, Santillo A; MiND Study Group.</t>
  </si>
  <si>
    <t>Aust N Z J Psychiatry. 2022 Oct;56(10):1295-1305. doi: 10.1177/00048674211058684. Epub 2021 Nov 17.</t>
  </si>
  <si>
    <t>Eratne D</t>
  </si>
  <si>
    <t>Aust N Z J Psychiatry</t>
  </si>
  <si>
    <t>10.1177/00048674211058684</t>
  </si>
  <si>
    <t>10.1002/mds.28847</t>
  </si>
  <si>
    <t>Bornhorst JA, Figdore D, Campbell MR, Pazdernik VK, Mielke MM, Petersen RC, Algeciras-Schimnich A.</t>
  </si>
  <si>
    <t>Clin Chim Acta. 2022 Aug 27;535:153-156. doi: 10.1016/j.cca.2022.08.017. Online ahead of print.</t>
  </si>
  <si>
    <t>Bornhorst JA</t>
  </si>
  <si>
    <t>Clin Chim Acta</t>
  </si>
  <si>
    <t>10.1016/j.cca.2022.08.017</t>
  </si>
  <si>
    <t>10.1007/s13365-021-01026-3</t>
  </si>
  <si>
    <t>NFL, ptau181, ttau</t>
  </si>
  <si>
    <t>HD-X; Tau2 kit, NFL advantage and ptau kit custom</t>
  </si>
  <si>
    <t>Frank B, Ally M, Brekke B, Zetterberg H, Blennow K, Sugarman MA, Ashton NJ, Karikari TK, Tripodis Y, Martin B, Palmisano JN, Steinberg EG, Simkina I, Turk KW, Budson AE, O'Connor MK, Au R, Goldstein LE, Jun GR, Kowall NW, Stein TD, McKee AC, Killiany R, Qiu WQ, Stern RA, Mez J, Alosco ML.</t>
  </si>
  <si>
    <t>Alzheimers Dement. 2022 Aug;18(8):1523-1536. doi: 10.1002/alz.12508. Epub 2021 Dec 2.</t>
  </si>
  <si>
    <t>Frank B</t>
  </si>
  <si>
    <t>PMC9160800</t>
  </si>
  <si>
    <t>NIHMS1789784</t>
  </si>
  <si>
    <t>10.1002/alz.12508</t>
  </si>
  <si>
    <t>10.1186/s13195-021-00944-y</t>
  </si>
  <si>
    <t>AB40/42, NFL, A-syn, ttau</t>
  </si>
  <si>
    <t xml:space="preserve">neurology 3 plex, NFL advantage </t>
  </si>
  <si>
    <t xml:space="preserve">biomarkers + imaging helped diagnosis and subtyping </t>
  </si>
  <si>
    <t>Yang X, Li Z, Bai L, Shen X, Wang F, Han X, Zhang R, Li Z, Zhang J, Dong M, Wang Y, Cao T, Zhao S, Chu C, Liu C, Zhu X.</t>
  </si>
  <si>
    <t>Front Aging Neurosci. 2022 Jul 12;14:911221. doi: 10.3389/fnagi.2022.911221. eCollection 2022.</t>
  </si>
  <si>
    <t>Yang X</t>
  </si>
  <si>
    <t>PMC9314775</t>
  </si>
  <si>
    <t>10.3389/fnagi.2022.911221</t>
  </si>
  <si>
    <t>10.1038/s41598-021-99807-7</t>
  </si>
  <si>
    <t xml:space="preserve">HD-x; NFL advantage </t>
  </si>
  <si>
    <t xml:space="preserve"> Combining QSM values with NfL levels may be a promising biomarker for distinguishing PSP from PD, whereas plasma NfL may be a reliable biomarker for differentiating MSA from PD. QSM and NfL measures appeared to have low accuracy for separating PD from controls.</t>
  </si>
  <si>
    <t>Zhang P, Chen J, Cai T, He C, Li Y, Li X, Chen Z, Wang L, Zhang Y.</t>
  </si>
  <si>
    <t>Front Aging Neurosci. 2022 Aug 5;14:909552. doi: 10.3389/fnagi.2022.909552. eCollection 2022.</t>
  </si>
  <si>
    <t>Zhang P</t>
  </si>
  <si>
    <t>PMC9389149</t>
  </si>
  <si>
    <t>10.3389/fnagi.2022.909552</t>
  </si>
  <si>
    <t>Ttau, ptau231</t>
  </si>
  <si>
    <t>HD-x; Ttau and ptau231</t>
  </si>
  <si>
    <t xml:space="preserve">run alongside regular ELISAs and spatial transcriptomics (NSTG) </t>
  </si>
  <si>
    <t>Lilek J, Ajroud K, Feldman AZ, Krishnamachari S, Ghourchian S, Gefen T, Spencer CL, Kawles A, Mao Q, Tranovich JF, Jack CR, Mesulam MM, Reichard RR, Zhang H, Murray ME, Knopman D, Dickson DW, Petersen RC, Smith B, Ashe KH, Mielke MM, Nelson KM, Flanagan ME.</t>
  </si>
  <si>
    <t>J Alzheimers Dis. 2023;92(1):241-260. doi: 10.3233/JAD-220848.</t>
  </si>
  <si>
    <t>Lilek J</t>
  </si>
  <si>
    <t>J Alzheimers Dis</t>
  </si>
  <si>
    <t>PMC10041451</t>
  </si>
  <si>
    <t>10.3233/JAD-220848</t>
  </si>
  <si>
    <t>10.3389/fneur.2021.632749</t>
  </si>
  <si>
    <t>Neurology 2 plex B</t>
  </si>
  <si>
    <t>used alongside ELISAs for CSF markers (AB40/42, ptau181)</t>
  </si>
  <si>
    <t>Parvizi T, König T, Wurm R, Silvaieh S, Altmann P, Klotz S, Rommer PS, Furtner J, Regelsberger G, Lehrner J, Traub-Weidinger T, Gelpi E, Stögmann E.</t>
  </si>
  <si>
    <t>Front Aging Neurosci. 2022 Aug 22;14:887498. doi: 10.3389/fnagi.2022.887498. eCollection 2022.</t>
  </si>
  <si>
    <t>Parvizi T</t>
  </si>
  <si>
    <t>PMC9441692</t>
  </si>
  <si>
    <t>10.3389/fnagi.2022.887498</t>
  </si>
  <si>
    <t>10.1177/11772719211053449</t>
  </si>
  <si>
    <t>HD-X &amp; HD-1; NFL 2 and 4 -plex</t>
  </si>
  <si>
    <t>These pilot results encourage multicenter longitudinal studies to further investigate serum GFAP as a complementary tool to better understand and monitor neurological disease progression in ETPKU. Follow-up investigations on aging ETPKU patients are required to elucidate the potential of serum NfL as biomarker.</t>
  </si>
  <si>
    <t>Lotz-Havla AS, Katzdobler S, Nuscher B, Weiß K, Levin J, Havla J, Maier EM.</t>
  </si>
  <si>
    <t>Front Neurol. 2022 Sep 29;13:1011470. doi: 10.3389/fneur.2022.1011470. eCollection 2022.</t>
  </si>
  <si>
    <t>Lotz-Havla AS</t>
  </si>
  <si>
    <t>Front Neurol</t>
  </si>
  <si>
    <t>PMC9559705</t>
  </si>
  <si>
    <t>10.3389/fneur.2022.1011470</t>
  </si>
  <si>
    <t>10.4155/bio-2021-0186</t>
  </si>
  <si>
    <t xml:space="preserve">NFL comapred current MS disease progress tracking </t>
  </si>
  <si>
    <t>Szilasiova J, Mikula P, Rosenberger J, Fedicova M, Urban P, Frigova L, Vitkova M, Gdovinova Z, Hanes J, Stevens E.</t>
  </si>
  <si>
    <t>Biomed Pap Med Fac Univ Palacky Olomouc Czech Repub. 2022 Sep;166(3):304-311. doi: 10.5507/bp.2021.034. Epub 2021 Jun 1.</t>
  </si>
  <si>
    <t>Szilasiova J</t>
  </si>
  <si>
    <t>Biomed Pap Med Fac Univ Palacky Olomouc Czech Repub</t>
  </si>
  <si>
    <t>10.5507/bp.2021.034</t>
  </si>
  <si>
    <t>10.1093/rheumatology/keab116</t>
  </si>
  <si>
    <t>plasma and serum measurements</t>
  </si>
  <si>
    <t>Schmitz M, Canaslan S, Espinosa JC, Fernández-Borges N, Villar-Piqué A, Llorens F, Varges D, Maass F, Torres JM, Hermann P, Zerr I.</t>
  </si>
  <si>
    <t>Mol Neurobiol. 2022 Sep;59(9):1-9. doi: 10.1007/s12035-022-02891-7. Epub 2022 Jun 18.</t>
  </si>
  <si>
    <t>Schmitz M</t>
  </si>
  <si>
    <t>Mol Neurobiol</t>
  </si>
  <si>
    <t>10.1007/s12035-022-02891-7</t>
  </si>
  <si>
    <t>10.1021/acssensors.1c02232</t>
  </si>
  <si>
    <t>HD-x, Neurology 2 plex</t>
  </si>
  <si>
    <t xml:space="preserve">run over 9 timepoints (7 plasma 2 CSF); Other ELISAs used </t>
  </si>
  <si>
    <t>Ruder J, Dinner G, Maceski A, Berenjeno-Correa E, Müller AM, Jelcic I, Kuhle J, Martin R.</t>
  </si>
  <si>
    <t>Int J Mol Sci. 2022 Sep 19;23(18):10946. doi: 10.3390/ijms231810946.</t>
  </si>
  <si>
    <t>Ruder J</t>
  </si>
  <si>
    <t>PMC9503241</t>
  </si>
  <si>
    <t>10.3390/ijms231810946</t>
  </si>
  <si>
    <t>10.1186/s12974-021-02281-1</t>
  </si>
  <si>
    <t>Esselin F, De la Cruz E, Hirtz C, Tiers L, Alphandery S, Baudesson L, Taieb G, Camu W, Lehmann S.</t>
  </si>
  <si>
    <t>CNS Neurosci Ther. 2022 Oct;28(10):1532-1538. doi: 10.1111/cns.13894. Epub 2022 Jun 25.</t>
  </si>
  <si>
    <t>Esselin F</t>
  </si>
  <si>
    <t>CNS Neurosci Ther</t>
  </si>
  <si>
    <t>PMC9437233</t>
  </si>
  <si>
    <t>10.1111/cns.13894</t>
  </si>
  <si>
    <t>10.3390/cells10123514</t>
  </si>
  <si>
    <t>COVID RBD, COVID S</t>
  </si>
  <si>
    <t xml:space="preserve">Custom assay for S COVID antigen </t>
  </si>
  <si>
    <t xml:space="preserve"> The sensitivities of UIM-COVID-19 assays are 100–10,000 times higher than those of conventional flow cytometry, which is a relatively sensitive detection method at present. For the established UIM-COVID-19 assay using RBD as a probe, the IgG and IgM seroconversion times after vaccination were 7.5 and 8.6 days vs. 21.4 and 24 days for the flow cytometry assay, respectively. In addition, using S2-78 as a probe, the UIM-COVID-19 assay could differentiate COVID-19 patients (convalescents) from healthy people and patients with other diseases, with AUCs ranging from 0.85–0.95. In summary, the UIM-COVID-19 we developed here is a promising ultrasensitive biodetection strategy that has the potential to be applied for both immunological studies and diagnostics.
</t>
  </si>
  <si>
    <t>Ou F, Lai D, Kuang X, He P, Li Y, Jiang HW, Liu W, Wei H, Gu H, Ji YQ, Xu H, Tao SC.</t>
  </si>
  <si>
    <t>Biosens Bioelectron. 2022 Dec 1;217:114710. doi: 10.1016/j.bios.2022.114710. Epub 2022 Sep 15.</t>
  </si>
  <si>
    <t>Ou F</t>
  </si>
  <si>
    <t>Biosens Bioelectron</t>
  </si>
  <si>
    <t>PMC9476360</t>
  </si>
  <si>
    <t>10.1016/j.bios.2022.114710</t>
  </si>
  <si>
    <t>10.3389/fphar.2021.746491</t>
  </si>
  <si>
    <t xml:space="preserve">IFNγ, IL1β, IL4, IL5, IL6, IL8, IL10, IL12p70, IL22 and TNFα, AB40, AB42, GFAP, NFL </t>
  </si>
  <si>
    <t>Cytokine 10  panel 1, nuerology 4 plex</t>
  </si>
  <si>
    <t>MSD was used for the primary measurement of antibody titers, neutralization; estimated samples hard to tell what was included and what was not</t>
  </si>
  <si>
    <t>Odainic A, Spitzer J, Szlapa JB, Schade S, Krämer TJ, Neuberger J, Bode C, Steinhagen F, Schmithausen RM, Wilbring G, Sib E, Mutters NT, Rabenschlag F, Kettel L, Woznitza M, van Bremen K, Peers T, Medinger G, Kudaliyanage A, Kreutzenbeck M, Strube U, Johnson JM, Mattoon D, Ball AJ, Scory S, McGuire R, Putensen C, Abdullah Z, Latz C, Schmidt SV.</t>
  </si>
  <si>
    <t>Int J Mol Sci. 2022 Oct 13;23(20):12231. doi: 10.3390/ijms232012231.</t>
  </si>
  <si>
    <t>Odainic A</t>
  </si>
  <si>
    <t>PMC9602709</t>
  </si>
  <si>
    <t>10.3390/ijms232012231</t>
  </si>
  <si>
    <t>10.1155/2021/5662550</t>
  </si>
  <si>
    <t>NFL, GFAP, AB40/42, pTau181</t>
  </si>
  <si>
    <t>Neurology 4 plex, pTau181</t>
  </si>
  <si>
    <t>Plasma NfL may serve as a sensitive biomarker for SCA, and its level is elevated in the pre-ataxic stage. The different performance of NfL and GFAP indicates differences in the underlying neuropathology of SCA and MSA-C. Moreover, amyloid markers may be useful for detecting memory dysfunction and other non-motor symptoms in SCA.</t>
  </si>
  <si>
    <t>Shen XN, Wu KM, Huang YY, Guo Y, Huang SY, Zhang YR, Chen SF, Wang HF, Zhang W, Cheng W, Cui M, Dong Q, Yu JT.</t>
  </si>
  <si>
    <t>Neurobiol Dis. 2023 Mar 30;181:106112. doi: 10.1016/j.nbd.2023.106112. Online ahead of print.</t>
  </si>
  <si>
    <t>Shen XN</t>
  </si>
  <si>
    <t>Neurobiol Dis</t>
  </si>
  <si>
    <t>10.1016/j.nbd.2023.106112</t>
  </si>
  <si>
    <t>10.1016/j.jpsychires.2021.10.031</t>
  </si>
  <si>
    <t xml:space="preserve">Likely NFL advantage </t>
  </si>
  <si>
    <t>Valentino P, Malucchi S, Martire S, Bava CI, Capobianco MA, Bertolotto A.</t>
  </si>
  <si>
    <t>Mult Scler Relat Disord. 2022 Nov;67:104176. doi: 10.1016/j.msard.2022.104176. Epub 2022 Sep 14.</t>
  </si>
  <si>
    <t>Valentino P</t>
  </si>
  <si>
    <t>10.1016/j.msard.2022.104176</t>
  </si>
  <si>
    <t>10.1001/jamaneurol.2021.3671</t>
  </si>
  <si>
    <t>TDP432</t>
  </si>
  <si>
    <t>TPD43 Advantage, HD-1</t>
  </si>
  <si>
    <t>Our results indicate that the total levels of TDP-43 in the serum are decreased especially in FTD patients with the C9orf72 repeat expansion or FTD-MND phenotype, both subtypes strongly associated with TDP-43 type B brain pathology. Serum-based measurement of TDP-43 could represent a useful tool in indicating C9orf72 repeat expansion and FTD-MND-related TDP-43 neuropathology for future diagnostics and intervention studies.</t>
  </si>
  <si>
    <t>Katisko K, Huber N, Kokkola T, Hartikainen P, Krüger J, Heikkinen AL, Paananen V, Leinonen V, Korhonen VE, Helisalmi S, Herukka SK, Cantoni V, Gadola Y, Archetti S, Remes AM, Haapasalo A, Borroni B, Solje E.</t>
  </si>
  <si>
    <t>Alzheimers Res Ther. 2022 Oct 11;14(1):151. doi: 10.1186/s13195-022-01091-8.</t>
  </si>
  <si>
    <t>Katisko K</t>
  </si>
  <si>
    <t>PMC9552448</t>
  </si>
  <si>
    <t>10.1186/s13195-022-01091-8</t>
  </si>
  <si>
    <t>10.3389/fneur.2021.779890</t>
  </si>
  <si>
    <r>
      <t> </t>
    </r>
    <r>
      <rPr>
        <sz val="11"/>
        <color rgb="FF212121"/>
        <rFont val="Roboto"/>
      </rPr>
      <t>p-NfL emerged as a significant explanatory variable for worsening in Cox regression analysis, and p-GFAP did not. Both p-GFAP and p-NfL were related to worsening based on ROC curves.</t>
    </r>
  </si>
  <si>
    <t>Pauwels A, Van Schependom J, Devolder L, Van Remoortel A, Nagels G, Bjerke M, D'hooghe MB.</t>
  </si>
  <si>
    <t>Mult Scler. 2022 Oct;28(11):1685-1696. doi: 10.1177/13524585221094224. Epub 2022 May 21.</t>
  </si>
  <si>
    <t>Pauwels A</t>
  </si>
  <si>
    <t>Mult Scler</t>
  </si>
  <si>
    <t>10.1177/13524585221094224</t>
  </si>
  <si>
    <t>10.18632/aging.203790</t>
  </si>
  <si>
    <t>Lower CABF is associated with increased sNfL in MS patients, highlighting the relationship between cerebral hypoperfusion and axonal pathology</t>
  </si>
  <si>
    <t>Jakimovski D, Gibney BL, Marr K, Ramasamy DP, Dwyer MG, Bergsland N, Weinstock-Guttman B, Ramanathan M, Zivadinov R.</t>
  </si>
  <si>
    <t>Eur J Neurol. 2022 Aug;29(8):2299-2308. doi: 10.1111/ene.15374. Epub 2022 May 6.</t>
  </si>
  <si>
    <t>Jakimovski D</t>
  </si>
  <si>
    <t>10.1111/ene.15374</t>
  </si>
  <si>
    <t>10.1080/15622975.2021.1907709</t>
  </si>
  <si>
    <t xml:space="preserve">Used as a measure in an animal study </t>
  </si>
  <si>
    <t>Shin SS, Hefti MM, Mazandi VM, Issadore DA, Meaney DF, Schneider ALC, Diaz-Arrastia R, Kilbaugh TJ.</t>
  </si>
  <si>
    <t>J Neurotrauma. 2022 Jul;39(13-14):935-943. doi: 10.1089/neu.2022.0070.</t>
  </si>
  <si>
    <t>Shin SS</t>
  </si>
  <si>
    <t>J Neurotrauma</t>
  </si>
  <si>
    <t>PMC9836679</t>
  </si>
  <si>
    <t>10.1089/neu.2022.0070</t>
  </si>
  <si>
    <t>10.1177/1352458520986956</t>
  </si>
  <si>
    <t>AB40/42, NFL, GFAP, ptau181</t>
  </si>
  <si>
    <t>Likely neurology 3 plex &amp; ptau181 advantage</t>
  </si>
  <si>
    <t>The examination of AD-related biomarkers in human AH and OCTA may improve the ocular-based AD detection methods and contribute to forestalling the progression of preclinical AD.</t>
  </si>
  <si>
    <t>Bai J, Wan Z, Wang M, Wu X, Wang T, Zhang Y, Xue Y, Xu H, Peng Q.</t>
  </si>
  <si>
    <t>Front Aging Neurosci. 2022 Nov 3;14:1027705. doi: 10.3389/fnagi.2022.1027705. eCollection 2022.</t>
  </si>
  <si>
    <t>Bai J</t>
  </si>
  <si>
    <t>PMC9671656</t>
  </si>
  <si>
    <t>10.3389/fnagi.2022.1027705</t>
  </si>
  <si>
    <t>COVID N</t>
  </si>
  <si>
    <t xml:space="preserve">SARS-COV2_N </t>
  </si>
  <si>
    <t>We found that this SARS-CoV-2 N-antigen test was highly sensitive for detecting early but not late infectious viral shedding, making it a viable screening test for community-dwelling individuals to inform isolation practices.</t>
  </si>
  <si>
    <t>Mathur S, Davidson MC, Anglin K, Lu S, Goldberg SA, Garcia-Knight M, Tassetto M, Zhang A, Romero M, Pineda-Ramirez J, Diaz-Sanchez R, Rugart P, Chen JY, Donohue K, Shak JR, Chenna A, Winslow JW, Petropoulos CJ, Yee BC, Lambert J, Glidden DV, Rutherford GW, Deeks SG, Peluso MJ, Andino R, Martin JN, Kelly JD.</t>
  </si>
  <si>
    <t>Open Forum Infect Dis. 2022 Oct 22;9(11):ofac563. doi: 10.1093/ofid/ofac563. eCollection 2022 Nov.</t>
  </si>
  <si>
    <t>Mathur S</t>
  </si>
  <si>
    <t>Open Forum Infect Dis</t>
  </si>
  <si>
    <t>PMC9620332</t>
  </si>
  <si>
    <t>10.1093/ofid/ofac563</t>
  </si>
  <si>
    <t>10.15252/emmm.202115098</t>
  </si>
  <si>
    <t>GFAP, NFL, Tau, pTau181</t>
  </si>
  <si>
    <t xml:space="preserve">Neurology 4plex, HD-x, Ptau advantage </t>
  </si>
  <si>
    <t>Plasma GFAP predicted MCI-to-dementia conversion with an AUC of 0.90, higher than NfL, Tau and pTau181. Our results support that plasma GFAP has potential value for distinguishing patients with PDD, and predicting MCI-to-dementia conversion in PD.</t>
  </si>
  <si>
    <t>Tang Y, Han L, Li S, Hu T, Xu Z, Fan Y, Liang X, Yu H, Wu J, Wang J.</t>
  </si>
  <si>
    <t>NPJ Parkinsons Dis. 2023 Feb 9;9(1):23. doi: 10.1038/s41531-023-00447-7.</t>
  </si>
  <si>
    <t>Tang Y</t>
  </si>
  <si>
    <t>NPJ Parkinsons Dis</t>
  </si>
  <si>
    <t>PMC9911758</t>
  </si>
  <si>
    <t>10.1038/s41531-023-00447-7</t>
  </si>
  <si>
    <t>10.3389/fnagi.2021.749649</t>
  </si>
  <si>
    <t>NFL, tTau, AB40/42</t>
  </si>
  <si>
    <t xml:space="preserve">Baseline comparison study </t>
  </si>
  <si>
    <t>Thomas AJ, Hamilton CA, Heslegrave A, Barker S, Durcan R, Lawley S, Barnett N, Lett D, Firbank M, Roberts G, Taylor JP, Donaghy PC, Zetterberg H, O'Brien J.</t>
  </si>
  <si>
    <t>Mov Disord. 2022 Jul;37(7):1495-1504. doi: 10.1002/mds.28994. Epub 2022 Mar 23.</t>
  </si>
  <si>
    <t>Thomas AJ</t>
  </si>
  <si>
    <t>PMC9540809</t>
  </si>
  <si>
    <t>10.1002/mds.28994</t>
  </si>
  <si>
    <t>10.2217/bmm-2021-0219</t>
  </si>
  <si>
    <t>pTau181</t>
  </si>
  <si>
    <t xml:space="preserve">ptau181 advantage </t>
  </si>
  <si>
    <t>done alongside MS and Bio-Techne Ella for other analytes</t>
  </si>
  <si>
    <t>Krishna G, Santhoshkumar R, Sivakumar PT, Alladi S, Mahadevan A, Dahale AB, Arshad F, Subramanian S.</t>
  </si>
  <si>
    <t>J Alzheimers Dis. 2022 Nov 1. doi: 10.3233/JAD-220829. Online ahead of print.</t>
  </si>
  <si>
    <t>Krishna G</t>
  </si>
  <si>
    <t>10.3233/JAD-220829</t>
  </si>
  <si>
    <t>10.1093/clinchem/hvab192</t>
  </si>
  <si>
    <t>NFL, GFAP, Pta181</t>
  </si>
  <si>
    <t xml:space="preserve">Likely a neurology 4 plex </t>
  </si>
  <si>
    <t>Our findings support the utility of plasma GFAP as a biomarker of Alzheimer's disease in adults with Down syndrome, with possible applications in clinical practice and clinical trials.</t>
  </si>
  <si>
    <t>Montoliu-Gaya L, Alcolea D, Ashton NJ, Pegueroles J, Levin J, Bosch B, Lantero-Rodriguez J, Carmona-Iragui M, Wagemann O, Balasa M, Kac PR, Barroeta I, Lladó A, Brum WS, Videla L, Gonzalez-Ortiz F, Benejam B, Arranz Martínez JJ, Karikari TK, Nübling G, Bejanin A, Benedet AL, Blesa R, Lleó A, Blennow K, Sánchez-Valle R, Zetterberg H, Fortea J.</t>
  </si>
  <si>
    <t>EBioMedicine. 2023 Apr;90:104547. doi: 10.1016/j.ebiom.2023.104547. Epub 2023 Mar 30.</t>
  </si>
  <si>
    <t>Montoliu-Gaya L</t>
  </si>
  <si>
    <t>PMC10070083</t>
  </si>
  <si>
    <t>10.1016/j.ebiom.2023.104547</t>
  </si>
  <si>
    <t>NFL, BDNF</t>
  </si>
  <si>
    <t>run in serum and csf, both analytes</t>
  </si>
  <si>
    <t>Yalachkov Y, Anschütz V, Jakob J, Schaller-Paule MA, Schäfer JH, Reiländer A, Friedauer L, Behrens M, Steffen F, Bittner S, Foerch C.</t>
  </si>
  <si>
    <t>Mult Scler Relat Disord. 2022 Jul;63:103822. doi: 10.1016/j.msard.2022.103822. Epub 2022 Apr 23.</t>
  </si>
  <si>
    <t>Yalachkov Y</t>
  </si>
  <si>
    <t>10.1016/j.msard.2022.103822</t>
  </si>
  <si>
    <t xml:space="preserve">HD-1 NFL Advantage </t>
  </si>
  <si>
    <t>used alongside ELISA for s100B</t>
  </si>
  <si>
    <t>Zhou Z, Zeng J, Yu S, Zhao Y, Yang X, Zhou Y, Liang Q.</t>
  </si>
  <si>
    <t>Front Neurol. 2022 Aug 3;13:956043. doi: 10.3389/fneur.2022.956043. eCollection 2022.</t>
  </si>
  <si>
    <t>Zhou Z</t>
  </si>
  <si>
    <t>PMC9381989</t>
  </si>
  <si>
    <t>10.3389/fneur.2022.956043</t>
  </si>
  <si>
    <t>Aβ40, Aβ42, tau, p-tau181, IL-1β, IL-6, IL-8, TNF-α, NFL</t>
  </si>
  <si>
    <t>HD-x; Neurology 3 plex, ptau181 advantage, NFL, Il-6, IL-8, IL-1B, TNFA kits</t>
  </si>
  <si>
    <t>The levels of plasma ATN biomarkers (Aβ42/Aβ40 ratio, p-tua181, and NfL) were significantly changed in clinically diagnosed AD patients and they all associated with different domains of cognitive impairment. Plasma ATN biomarkers better differentiate mild-to-moderate AD dementia from NC when they are incorporated into diagnostic models together rather than individually. Plasma ATN biomarkers have the potential to be a screening tool for AD. However, the expression of inflammatory factors in AD patients requires further research.</t>
  </si>
  <si>
    <t>Sun Q, Ni J, Wei M, Long S, Li T, Fan D, Lu T, Shi J, Tian J.</t>
  </si>
  <si>
    <t>Front Aging Neurosci. 2022 Aug 18;14:963845. doi: 10.3389/fnagi.2022.963845. eCollection 2022.</t>
  </si>
  <si>
    <t>Sun Q</t>
  </si>
  <si>
    <t>PMC9433929</t>
  </si>
  <si>
    <t>10.3389/fnagi.2022.963845</t>
  </si>
  <si>
    <t>GFAP, tTau, NFL</t>
  </si>
  <si>
    <t>Neurology 4 plex</t>
  </si>
  <si>
    <t>ACE2 wsa measured via western blotting; Our study demonstrated altered plasma GFAP, NfL and T-tau levels in COVID-19 patients without substantial neurological manifestation at the acute phase of the disease, providing a suitable indication of CNS vulnerability; but these biomarkers fail to predict the occurrence of delayed minor neurological symptoms.</t>
  </si>
  <si>
    <t>Lennol MP, Ashton NJ, Moreno-Pérez O, García-Ayllón MS, Ramos-Rincon JM, Andrés M, León-Ramírez JM, Boix V, Gil J, Blennow K, Merino E, Zetterberg H, Sáez-Valero J.</t>
  </si>
  <si>
    <t>Int J Mol Sci. 2023 Feb 1;24(3):2715. doi: 10.3390/ijms24032715.</t>
  </si>
  <si>
    <t>Lennol MP</t>
  </si>
  <si>
    <t>PMC9917569</t>
  </si>
  <si>
    <t>10.3390/ijms24032715</t>
  </si>
  <si>
    <t>10.1186/s13195-021-00942-0</t>
  </si>
  <si>
    <t xml:space="preserve">pTau181 advantage </t>
  </si>
  <si>
    <t>Plasma p-tau181 also performed well in real-life memory clinic settings and its role in clinical practice is supported.</t>
  </si>
  <si>
    <t>Thanapornsangsuth P, Booncharoen K, Luechaipanit W, Supharatpariyakorn T, Sarutikriangkri Y, Tangnimitchok S, Likitjaroen Y, Sukprakun C, Tepmongkol S, Hemachudha T.</t>
  </si>
  <si>
    <t>Alzheimers Dement. 2023 Mar 16. doi: 10.1002/alz.13022. Online ahead of print.</t>
  </si>
  <si>
    <t>Thanapornsangsuth P</t>
  </si>
  <si>
    <t>10.1002/alz.13022</t>
  </si>
  <si>
    <t>10.1016/j.jaut.2022.102796</t>
  </si>
  <si>
    <t>INFa</t>
  </si>
  <si>
    <t>HD-1 INFa advantage</t>
  </si>
  <si>
    <t>other assays used, bio-plex, other ELISAs, quantikine; Easily performed ELISA assays for CXCL-10 and IFN-α can be used to predict ANA+ individuals at high risk of imminent symptomatic progression.</t>
  </si>
  <si>
    <t>Kim ST, Muñoz-Grajales C, Dunn SE, Schneider R, Johnson SR, Touma Z, Ahmad Z, Bonilla D, Atenafu EG, Hiraki LT, Bookman A, Wither J.</t>
  </si>
  <si>
    <t>Arthritis Res Ther. 2023 Feb 10;25(1):21. doi: 10.1186/s13075-023-02997-w.</t>
  </si>
  <si>
    <t>Kim ST</t>
  </si>
  <si>
    <t>Arthritis Res Ther</t>
  </si>
  <si>
    <t>PMC9912609</t>
  </si>
  <si>
    <t>10.1186/s13075-023-02997-w</t>
  </si>
  <si>
    <t>10.1002/acn3.51524</t>
  </si>
  <si>
    <t>NFL advantage HD-1</t>
  </si>
  <si>
    <t>Plasma NF-L increases on D2 or D9 were associated with the cortical lesion extent in histologic sections at 6 months post-injury (ρ = 0.437 for D2; ρ = 0.393 for D9, p &lt; 0.05). Plasma NF-L levels, however, did not predict somatomotor recovery, cognitive decline, or epileptogenesis (p &gt; 0.05). Plasma NF-L levels represent a promising noninvasive translational diagnostic biomarker for acute TBI and a prognostic biomarker for post-injury somatomotor impairment and long-term structural brain damage.</t>
  </si>
  <si>
    <t>Heiskanen M, Jääskeläinen O, Manninen E, Das Gupta S, Andrade P, Ciszek R, Gröhn O, Herukka SK, Puhakka N, Pitkänen A.</t>
  </si>
  <si>
    <t>Int J Mol Sci. 2022 Dec 2;23(23):15208. doi: 10.3390/ijms232315208.</t>
  </si>
  <si>
    <t>Heiskanen M</t>
  </si>
  <si>
    <t>PMC9736117</t>
  </si>
  <si>
    <t>10.3390/ijms232315208</t>
  </si>
  <si>
    <t>10.1515/cclm-2020-1276</t>
  </si>
  <si>
    <t xml:space="preserve"> NFL, pTau181, pTau231</t>
  </si>
  <si>
    <t xml:space="preserve">HD-X in house single plex assays </t>
  </si>
  <si>
    <t xml:space="preserve">Ab40/42 plasma and CSF were measured by different methods. Interesting, blood based assays showed a race impact </t>
  </si>
  <si>
    <t>Schindler SE, Karikari TK, Ashton NJ, Henson RL, Yarasheski KE, West T, Meyer MR, Kirmess KM, Li Y, Saef B, Moulder KL, Bradford D, Fagan AM, Gordon BA, Benzinger TLS, Balls-Berry J, Bateman RJ, Xiong C, Zetterberg H, Blennow K, Morris JC.</t>
  </si>
  <si>
    <t>Neurology. 2022 Jul 19;99(3):e245-e257. doi: 10.1212/WNL.0000000000200358. Epub 2022 Apr 21.</t>
  </si>
  <si>
    <t>Schindler SE</t>
  </si>
  <si>
    <t>PMC9302933</t>
  </si>
  <si>
    <t>10.1212/WNL.0000000000200358</t>
  </si>
  <si>
    <t>10.1007/s10072-021-05838-3</t>
  </si>
  <si>
    <t>NFL, GFAP, tTau, UCHL1</t>
  </si>
  <si>
    <t>plasma tau, NfL and UCHL1 are potential biomarkers of brain suffering during alcohol withdrawal.</t>
  </si>
  <si>
    <t>Clergue-Duval V, Vrillon A, Jeanblanc J, Questel F, Azuar J, Fouquet G, Mouton-Liger F, Rollet D, Hispard E, Bouaziz-Amar E, Bloch V, Dereux A, Cognat E, Marie-Claire C, Laplanche JL, Bellivier F, Paquet C, Naassila M, Vorspan F.</t>
  </si>
  <si>
    <t>Addict Biol. 2022 Nov;27(6):e13232. doi: 10.1111/adb.13232.</t>
  </si>
  <si>
    <t>Clergue-Duval V</t>
  </si>
  <si>
    <t>Addict Biol</t>
  </si>
  <si>
    <t>10.1111/adb.13232</t>
  </si>
  <si>
    <t>10.14283/jpad.2021.70</t>
  </si>
  <si>
    <t>sNfL levels are significantly elevated in all three studied pediatric ADS subtypes indicating neuroaxonal injury. In pediatric MS high levels of sNfL are associated with risk factors for disease progression.</t>
  </si>
  <si>
    <t>Wendel EM, Bertolini A, Kousoulos L, Rauchenzauner M, Schanda K, Wegener-Panzer A, Baumann M, Reindl M, Otto M, Rostásy K.</t>
  </si>
  <si>
    <t>Mult Scler. 2022 Sep;28(10):1553-1561. doi: 10.1177/13524585221081090. Epub 2022 Mar 14.</t>
  </si>
  <si>
    <t>Wendel EM</t>
  </si>
  <si>
    <t>10.1177/13524585221081090</t>
  </si>
  <si>
    <t>10.1016/j.parkreldis.2022.01.024</t>
  </si>
  <si>
    <t>Estepp TG, Charnigo RJ, Abner EL, Jicha GA, Sudduth TL, Fardo DW, Wilcock DM.</t>
  </si>
  <si>
    <t>Alzheimers Dement. 2023 Feb 25. doi: 10.1002/alz.13000. Online ahead of print.</t>
  </si>
  <si>
    <t>Estepp TG</t>
  </si>
  <si>
    <t>10.1002/alz.13000</t>
  </si>
  <si>
    <t>10.3233/ADR-210048</t>
  </si>
  <si>
    <t>INFa (INFA2)</t>
  </si>
  <si>
    <t>In the linear mixed model, serum IFNα2 levels were significantly associated with both cSELENA-SLEDAI and BILAG-2004, while the IGS did not show this association. Both IFN-I assays were able to characterize LLDAS and disease flare in ROC analysis.</t>
  </si>
  <si>
    <t>Wahadat MJ, Qi H, van Helden-Meeuwsen CG, Huijser E, van den Berg L, van Dijk-Hummelman A, Göpfert JC, Heine A, Verkaaik M, Schreurs MWJ, Dik WA, Kamphuis S, Versnel MA.</t>
  </si>
  <si>
    <t>Rheumatology (Oxford). 2022 Dec 14:keac698. doi: 10.1093/rheumatology/keac698. Online ahead of print.</t>
  </si>
  <si>
    <t>Wahadat MJ</t>
  </si>
  <si>
    <t>10.1093/rheumatology/keac698</t>
  </si>
  <si>
    <t>10.1212/WNL.0000000000200257</t>
  </si>
  <si>
    <t>NFL light HD-x</t>
  </si>
  <si>
    <t xml:space="preserve">Teriflunomide treatment was associated with significantly reduced pNfL levels in children with RMS. Used as an outcome measurement in the trial </t>
  </si>
  <si>
    <t>Kuhle J, Chitnis T, Banwell B, Tardieu M, Arnold DL, Rawlings AM, Geertsen SS, Lublin AL, Saubadu S, Truffinet P, Kappos L.</t>
  </si>
  <si>
    <t>Mult Scler. 2023 Mar;29(3):385-394. doi: 10.1177/13524585221144742. Epub 2023 Jan 12.</t>
  </si>
  <si>
    <t>Kuhle J</t>
  </si>
  <si>
    <t>PMC9972233</t>
  </si>
  <si>
    <t>10.1177/13524585221144742</t>
  </si>
  <si>
    <t>10.3389/fneur.2022.781031</t>
  </si>
  <si>
    <t>NFL, GFAP, Tau,</t>
  </si>
  <si>
    <t>Collins JM, Atkinson RAK, Matthews LM, Murray IC, Perry SE, King AE.</t>
  </si>
  <si>
    <t>Neurobiol Dis. 2022 Oct 1;172:105821. doi: 10.1016/j.nbd.2022.105821. Epub 2022 Jul 18.</t>
  </si>
  <si>
    <t>Collins JM</t>
  </si>
  <si>
    <t>10.1016/j.nbd.2022.105821</t>
  </si>
  <si>
    <t>10.1101/2022.02.01.22270279</t>
  </si>
  <si>
    <t>HD-x NFL advantage</t>
  </si>
  <si>
    <t>NfL levels in the subacute stage of stroke and the NfL difference between admission and 7th day of hospital were correlated with infarct volume in patients with acute ischemic stroke.</t>
  </si>
  <si>
    <t>Ahn JW, Hwang J, Lee M, Kim JH, Cho HJ, Lee HW, Eun MY.</t>
  </si>
  <si>
    <t>Medicine (Baltimore). 2022 Sep 30;101(39):e30849. doi: 10.1097/MD.0000000000030849.</t>
  </si>
  <si>
    <t>Ahn JW</t>
  </si>
  <si>
    <t>PMC9524991</t>
  </si>
  <si>
    <t>10.1097/MD.0000000000030849</t>
  </si>
  <si>
    <t>10.3389/fneur.2022.793937</t>
  </si>
  <si>
    <t>VILIP-1</t>
  </si>
  <si>
    <t>custom assay</t>
  </si>
  <si>
    <t>Fujuire Bio was used for ptau and AB measurements in CSF</t>
  </si>
  <si>
    <t>Halbgebauer S, Steinacker P, Riedel D, Oeckl P, Anderl-Straub S, Lombardi J, von Arnim CAF, Nagl M, Giese A, Ludolph AC, Otto M.</t>
  </si>
  <si>
    <t>Alzheimers Res Ther. 2022 Nov 22;14(1):175. doi: 10.1186/s13195-022-01122-4.</t>
  </si>
  <si>
    <t>Halbgebauer S</t>
  </si>
  <si>
    <t>PMC9682835</t>
  </si>
  <si>
    <t>10.1186/s13195-022-01122-4</t>
  </si>
  <si>
    <t>10.3233/JND-210735</t>
  </si>
  <si>
    <t>Plasma neurofilament light chain decreases following antibiotic treatment in LNB and is not associated with reporting persistent symptoms. It was therefore speculated that it may prove useful as a treatment response biomarker in LNB.</t>
  </si>
  <si>
    <t>Mens H, Fjordside L, Gynthersen R, Ørbaek M, Andersen ÅB, Andreasson U, Blennow K, Sellebjerg F, Zetterberg H, Lebech AM.</t>
  </si>
  <si>
    <t>Eur J Neurol. 2023 May;30(5):1371-1377. doi: 10.1111/ene.15707. Epub 2023 Feb 24.</t>
  </si>
  <si>
    <t>Mens H</t>
  </si>
  <si>
    <t>10.1111/ene.15707</t>
  </si>
  <si>
    <t>10.1016/j.atherosclerosis.2022.03.025</t>
  </si>
  <si>
    <t>Ab40, AB42, NFL, tTau</t>
  </si>
  <si>
    <t xml:space="preserve">NFL, 3 plex Assay </t>
  </si>
  <si>
    <t>Jiang X, O'Bryant SE, Johnson LA, Rissman RA, Yaffe K; Health and Aging Brain Study (HABS‐HD) Study Team.</t>
  </si>
  <si>
    <t>Alzheimers Dement (Amst). 2023 Mar 8;15(1):e12394. doi: 10.1002/dad2.12394. eCollection 2023 Jan-Mar.</t>
  </si>
  <si>
    <t>Jiang X</t>
  </si>
  <si>
    <t>PMC9994160</t>
  </si>
  <si>
    <t>10.1002/dad2.12394</t>
  </si>
  <si>
    <t>10.1002/ana.26308</t>
  </si>
  <si>
    <t>GFAP, UCHL1, NFL, tTau</t>
  </si>
  <si>
    <t>Likely neurology 4 plex</t>
  </si>
  <si>
    <t>paired plasma and urine samples; All four investigated biomarkers could be measured in urine, with NfL and t-tau showing the strongest effect size after correction for urine dilution. NfL revealed the most accurate relation between serum and urine concentrations in patients with intact kidney function.</t>
  </si>
  <si>
    <t>Kohlhase K, Frank F, Wilmes C, Koerbel K, Schaller-Paule MA, Miles M, Betz C, Steinmetz H, Foerch C.</t>
  </si>
  <si>
    <t>Eur J Neurol. 2023 Mar;30(3):729-740. doi: 10.1111/ene.15641. Epub 2022 Dec 9.</t>
  </si>
  <si>
    <t>Kohlhase K</t>
  </si>
  <si>
    <t>10.1111/ene.15641</t>
  </si>
  <si>
    <t>10.1136/jitc-2021-003527</t>
  </si>
  <si>
    <t xml:space="preserve">There was excellent consistency between ELISA and SIMOA for CSF samples, but not for serum samples. Our results indicated that CSF NfL levels may also be used in the management of NDCNS and that SIMOA is the most reliable method for serum NfL determination.
</t>
  </si>
  <si>
    <t>Arslan B, Ayhan Arslan G, Tuncer A, Karabudak R, Sepici Dinçel A.</t>
  </si>
  <si>
    <t>Bosn J Basic Med Sci. 2022 Sep 16;22(5):699-706. doi: 10.17305/bjbms.2021.7326.</t>
  </si>
  <si>
    <t>Arslan B</t>
  </si>
  <si>
    <t>Bosn J Basic Med Sci</t>
  </si>
  <si>
    <t>PMC9519158</t>
  </si>
  <si>
    <t>10.17305/bjbms.2021.7326</t>
  </si>
  <si>
    <t>10.3389/fneur.2022.689975</t>
  </si>
  <si>
    <t>IL-17A</t>
  </si>
  <si>
    <t>IL-17A advantage HD-1</t>
  </si>
  <si>
    <t>other ELISA used for IL-8 Both peripheral blood MAIT cells and resident MAIT cells in normal axial entheses contribute to the production of IL‐17 and may play important roles in the pathogenesis of axial SpA.</t>
  </si>
  <si>
    <t>Rosine N, Rowe H, Koturan S, Yahia-Cherbal H, Leloup C, Watad A, Berenbaum F, Sellam J, Dougados M, Aimanianda V, Cuthbert R, Bridgewood C, Newton D, Bianchi E, Rogge L, McGonagle D, Miceli-Richard C.</t>
  </si>
  <si>
    <t>Arthritis Rheumatol. 2022 Nov;74(11):1786-1795. doi: 10.1002/art.42090. Epub 2022 Sep 22.</t>
  </si>
  <si>
    <t>Rosine N</t>
  </si>
  <si>
    <t>PMC9825958</t>
  </si>
  <si>
    <t>10.1002/art.42090</t>
  </si>
  <si>
    <t>10.1111/ene.15273</t>
  </si>
  <si>
    <t>SR-x GFAP advantage</t>
  </si>
  <si>
    <t>Verde F, Milone I, Maranzano A, Colombo E, Torre S, Solca F, Doretti A, Gentile F, Manini A, Bonetti R, Peverelli S, Messina S, Maderna L, Morelli C, Poletti B, Ratti A, Silani V, Ticozzi N.</t>
  </si>
  <si>
    <t>Ann Clin Transl Neurol. 2023 Jan;10(1):118-129. doi: 10.1002/acn3.51708. Epub 2022 Dec 16.</t>
  </si>
  <si>
    <t>PMC9852391</t>
  </si>
  <si>
    <t>10.1002/acn3.51708</t>
  </si>
  <si>
    <t>10.3389/fneur.2021.791065</t>
  </si>
  <si>
    <t>AB40/42, NFL, Ptau181</t>
  </si>
  <si>
    <t xml:space="preserve">HD-1 Neurology 3-plex </t>
  </si>
  <si>
    <t>Our findings highlight that plasma p‐tau181, alone or combined with NfL, contributes to identifying high‐risk AD populations.</t>
  </si>
  <si>
    <t>Huang Y, Li Y, Xie F, Guo Q.</t>
  </si>
  <si>
    <t>CNS Neurosci Ther. 2022 Dec;28(12):2195-2205. doi: 10.1111/cns.13962. Epub 2022 Sep 8.</t>
  </si>
  <si>
    <t>Huang Y</t>
  </si>
  <si>
    <t>PMC9627371</t>
  </si>
  <si>
    <t>10.1111/cns.13962</t>
  </si>
  <si>
    <t>10.3389/fimmu.2022.842354</t>
  </si>
  <si>
    <t xml:space="preserve">NFL may be useful in cumulatiove damagement assessment </t>
  </si>
  <si>
    <t>Huibregtse ME, Sweeney SH, Stephens MR, Cheng H, Chen Z, Block HJ, Newman SD, Kawata K.</t>
  </si>
  <si>
    <t>J Neurotrauma. 2022 Nov 29. doi: 10.1089/neu.2022.0300. Online ahead of print.</t>
  </si>
  <si>
    <t>Huibregtse ME</t>
  </si>
  <si>
    <t>10.1089/neu.2022.0300</t>
  </si>
  <si>
    <t>10.21203/rs.3.rs-1322411/v1</t>
  </si>
  <si>
    <t>NFL and GFAP advantage/discovery kits</t>
  </si>
  <si>
    <t>Kessler C, Ruschil C, Abdelhak A, Wilke C, Maleska A, Kuhle J, Krumbholz M, Kowarik MC, Schüle R.</t>
  </si>
  <si>
    <t>Int J Mol Sci. 2022 Nov 3;23(21):13466. doi: 10.3390/ijms232113466.</t>
  </si>
  <si>
    <t>Kessler C</t>
  </si>
  <si>
    <t>PMC9657281</t>
  </si>
  <si>
    <t>10.3390/ijms232113466</t>
  </si>
  <si>
    <t>10.3390/medicina58030433</t>
  </si>
  <si>
    <t>p-tau181, Aβ1-40, Aβ1-42, GFAP,NfL</t>
  </si>
  <si>
    <t>Neurology 4 plex E, Ptau181 v2</t>
  </si>
  <si>
    <t>Lower plasma Aβ1-42/Aβ1-40 ratio and elevated p-tau181 and GFAP were observed in CU Aβ+, MCI Aβ+, and AD Aβ+, whereas elevated plasma NfL was observed in MCI Aβ+ and AD Aβ+, compared with CU Aβ- and MCI Aβ-. Among the aforementioned plasma biomarkers, for models with and without AD risk factors (age, sex, and apolipoprotein E (APOE) ε4 carrier status), p-tau181 performed equivalent to or better than other biomarkers in predicting a brain Aβ-/+ status across the AD continuum. However, for models with and without the AD risk factors, a biomarker panel of Aβ1-42/Aβ1-40, p-tau181, and GFAP performed equivalent to or better than any of the biomarkers alone in predicting brain Aβ-/+ status across the AD continuum. Longitudinally, plasma Aβ1-42/Aβ1-40, p-tau181, and GFAP were altered in MCI compared with CU, and plasma GFAP and NfL were altered in AD compared with CU. In addition, lower plasma Aβ1-42/Aβ1-40 and higher p-tau181, GFAP, and NfL were associated with prospective cognitive decline and lower plasma Aβ1-42/Aβ1-40, and higher p-tau181 and GFAP were associated with increased Aβ-PET load prospectively.</t>
  </si>
  <si>
    <t>Chatterjee P, Pedrini S, Doecke JD, Thota R, Villemagne VL, Doré V, Singh AK, Wang P, Rainey-Smith S, Fowler C, Taddei K, Sohrabi HR, Molloy MP, Ames D, Maruff P, Rowe CC, Masters CL, Martins RN; AIBL Research Group.</t>
  </si>
  <si>
    <t>Alzheimers Dement. 2023 Apr;19(4):1117-1134. doi: 10.1002/alz.12724. Epub 2022 Jul 21.</t>
  </si>
  <si>
    <t>Chatterjee P</t>
  </si>
  <si>
    <t>10.1002/alz.12724</t>
  </si>
  <si>
    <t>10.1002/da.23247</t>
  </si>
  <si>
    <t xml:space="preserve"> IL-6, IL-17, TNF-α, granulocyte-macrophage colony-stimulating factor, IL-10, interferon-gamma (IFN-γ) IL-1β, and chemokine ligand 13 (CXCL13)</t>
  </si>
  <si>
    <t>Cytokine 3-Plex B [IL-6, IL-17A, and TNF-α] cat#101319, IL-10 cat#101643, IFN-γ cat#103337, GM-CSF cat#102329, CXCL13 cat#102635, and IL-1β cat#101605</t>
  </si>
  <si>
    <t>Fissolo N, Pappolla A, Rio J, Villar LM, Perez-Hoyos S, Sanchez A, Gutierrez L, Montalban X, Comabella M.</t>
  </si>
  <si>
    <t>Neurol Neuroimmunol Neuroinflamm. 2022 Nov 21;10(1):e200050. doi: 10.1212/NXI.0000000000200050. Print 2023 Jan.</t>
  </si>
  <si>
    <t>Fissolo N</t>
  </si>
  <si>
    <t>Neurol Neuroimmunol Neuroinflamm</t>
  </si>
  <si>
    <t>PMC9679885</t>
  </si>
  <si>
    <t>10.1212/NXI.0000000000200050</t>
  </si>
  <si>
    <t>10.3389/fneur.2022.820256</t>
  </si>
  <si>
    <t>AB40,AB42, GFAP, NFL. Ptau181</t>
  </si>
  <si>
    <t>Neurology 4 plex 3</t>
  </si>
  <si>
    <t xml:space="preserve">ptau 217 measured using a specialized lab; s suggest that increased astrocyte reactivity is an important upstream event linking Aβ burden with initial tau pathology which might have implications for the biological definition of preclinical AD and for selecting individuals for early preventive clinical trials.
</t>
  </si>
  <si>
    <t>Pascoal T, Bellaver B, Povala G, Ferreira P, Ferrari-Souza JP, Leffa D, Lussier F, Benedet A, Ashton N, Triana-Baltzerz G, Kolbzh H, Tissot C, Therriault J, Servaes S, Stevenson J, Rahmouni N, Lopez O, Tudorascu D, Villemagne V, Ikonomovic M, Gauthier S, Zimmer E, Zetterberg H, Blennow K, Aizenstein H, Klunk W, Snitz B, Maki P, Thurston R, Cohen A, Ganguli M, Karikari T, Rosa-Neto P.</t>
  </si>
  <si>
    <t>Res Sq. 2023 Feb 1:rs.3.rs-2507179. doi: 10.21203/rs.3.rs-2507179/v1. Preprint.</t>
  </si>
  <si>
    <t>Pascoal T</t>
  </si>
  <si>
    <t>PMC9915798</t>
  </si>
  <si>
    <t>10.21203/rs.3.rs-2507179/v1</t>
  </si>
  <si>
    <t>10.3389/fnagi.2022.832700</t>
  </si>
  <si>
    <t>AB40/42, ttau, ptau181</t>
  </si>
  <si>
    <t>Neurology 3 plex A, ptau181 v2</t>
  </si>
  <si>
    <t>Blood collections with fasting were well received by participants and feasible with high recruitment and retention rates. Plasma biomarkers of AD may be modifiable by exercise intervention. Important design considerations are provided for future Phase III trials.</t>
  </si>
  <si>
    <t>Yu F, Han SY, Salisbury D, Pruzin JJ, Geda Y, Caselli RJ, Li D.</t>
  </si>
  <si>
    <t>Pilot Feasibility Stud. 2022 Dec 2;8(1):243. doi: 10.1186/s40814-022-01200-2.</t>
  </si>
  <si>
    <t>Yu F</t>
  </si>
  <si>
    <t>Pilot Feasibility Stud</t>
  </si>
  <si>
    <t>PMC9716660</t>
  </si>
  <si>
    <t>10.1186/s40814-022-01200-2</t>
  </si>
  <si>
    <t>10.1212/NXI.0000000000001151</t>
  </si>
  <si>
    <t>AB40, AB42, GFAP, NFL, Ptau181</t>
  </si>
  <si>
    <t xml:space="preserve">HD-x; Ptau181, neurology 4 plex </t>
  </si>
  <si>
    <t xml:space="preserve"> Plasma levels were comparable between MSA-C and MSA-P and the differentiation by plasma index alone was poor. Combining plasma markers noticeably improved the discriminatory efficacy. Of note, among MSA patients, higher GFAP and NfL were correlated with the atrophy of brain regions vulnerable to MSA (e.g., cerebellum, pons, or putamen). They could also aggravate the severity of MSA, and this association was partially mediated by cerebral volumes. In contrast, no obvious associations of phosphorylated tau and Aβ with disease severity were observed. Collectively, plasma biomarkers, especially in combination, are useful to facilitate the discriminatory work-up of MSA at early stages. Moreover, NfL and GFAP may be promising biomarkers to monitor the disease severity of MSA</t>
  </si>
  <si>
    <t>Guo Y, Shen XN, Huang SY, Chen SF, Wang HF, Zhang W, Zhang YR, Cheng W, Cui M, Dong Q, Yu JT.</t>
  </si>
  <si>
    <t>NPJ Parkinsons Dis. 2023 Mar 15;9(1):40. doi: 10.1038/s41531-023-00481-5.</t>
  </si>
  <si>
    <t>Guo Y</t>
  </si>
  <si>
    <t>PMC10017699</t>
  </si>
  <si>
    <t>10.1038/s41531-023-00481-5</t>
  </si>
  <si>
    <t>HD-X Neurology 4-plex</t>
  </si>
  <si>
    <t xml:space="preserve">There were more cotnrol samoples run, but I believe these were pre-processed </t>
  </si>
  <si>
    <t>Margraf NG, Dargvainiene J, Theel E, Leypoldt F, Lieb W, Franke A, Berger K, Kuhle J, Kuhlenbaeumer G.</t>
  </si>
  <si>
    <t>J Neurol. 2023 Apr;270(4):2128-2138. doi: 10.1007/s00415-022-11547-4. Epub 2023 Jan 9.</t>
  </si>
  <si>
    <t>Margraf NG</t>
  </si>
  <si>
    <t>PMC10025237</t>
  </si>
  <si>
    <t>10.1007/s00415-022-11547-4</t>
  </si>
  <si>
    <t>10.1111/jnc.15601</t>
  </si>
  <si>
    <t xml:space="preserve">NFL advantage HD-x, run in plasma and serum </t>
  </si>
  <si>
    <t>Our findings establish natural history progression of NfL increases in the preclinical YACQ84 mouse, further supporting the utility of blood NfL as a peripheral neurodegeneration biomarker and informing coinciding timelines of different measures of SCA3 pathogenesis.</t>
  </si>
  <si>
    <t>Mengel D, Wellik IG, Schuster KH, Jarrah SI, Wacker M, Ashraf NS, Öz G, Synofzik M, Costa MDC, McLoughlin HS.</t>
  </si>
  <si>
    <t>bioRxiv. 2023 Mar 1:2023.02.28.530463. doi: 10.1101/2023.02.28.530463. Preprint.</t>
  </si>
  <si>
    <t>Mengel D</t>
  </si>
  <si>
    <t>PMC10002656</t>
  </si>
  <si>
    <t>10.1101/2023.02.28.530463</t>
  </si>
  <si>
    <t>NFL Advantage</t>
  </si>
  <si>
    <t xml:space="preserve">Other ELISAs were used for other protein targets (CSF CHI3L1) </t>
  </si>
  <si>
    <t>Rival M, Thouvenot E, Du Trieu de Terdonck L, Laurent-Chabalier S, Demattei C, Uygunoglu U, Castelnovo G, Cohen M, Okuda DT, Kantarci OH, Pelletier D, Azevedo C, Marin P, Lehmann S, Siva A, Mura T, Lebrun-Frenay C; SFSEP and RISC.</t>
  </si>
  <si>
    <t>Neurol Neuroimmunol Neuroinflamm. 2022 Oct 24;10(1):e200044. doi: 10.1212/NXI.0000000000200044. Print 2023 Jan.</t>
  </si>
  <si>
    <t>Rival M</t>
  </si>
  <si>
    <t>PMC9621336</t>
  </si>
  <si>
    <t>10.1212/NXI.0000000000200044</t>
  </si>
  <si>
    <t>10.1515/cclm-2022-0007</t>
  </si>
  <si>
    <t>BNDF</t>
  </si>
  <si>
    <t xml:space="preserve">HD-1, likely BNDF single plex </t>
  </si>
  <si>
    <t>Our findings suggest a possible role for BDNF in neurological and cognitive improvement in MS. These findings have to be confirmed in a larger sample but they already highlight the potential of BDNF as a biomarker for disability improvement and neuroplasticity in MS.</t>
  </si>
  <si>
    <t>Yalachkov Y, Anschütz V, Maiworm M, Jakob J, Schaller-Paule MA, Schäfer JH, Reiländer A, Friedauer L, Behrens M, Steffen F, Bittner S, Foerch C.</t>
  </si>
  <si>
    <t>Mult Scler Relat Disord. 2023 Mar;71:104567. doi: 10.1016/j.msard.2023.104567. Epub 2023 Feb 12.</t>
  </si>
  <si>
    <t>10.1016/j.msard.2023.104567</t>
  </si>
  <si>
    <t>10.3389/fneur.2022.748599</t>
  </si>
  <si>
    <t>NFL Advantage light, HD-X</t>
  </si>
  <si>
    <t xml:space="preserve">Intersting study, comapred Olink, Ella and quanterix for NFL detections. The correlation between the different platforms with regards to measured NfL concentrations were very high (Spearman’s ρ≥0.96). Samples spiked with cerebrospinal fluid (CSF) showed higher commutability compared to samples spiked with recombinant human NfL protein and serum seems to be a better choice than plasma as the matrix for a CRM.
</t>
  </si>
  <si>
    <t>Andreasson U, Gobom J, Delatour V, Auclair G, Noam Y, Lee S, Wen J, Jeromin A, Arslan B, Maceski A, Willemse E, Zetterberg H, Kuhle J, Blennow K.</t>
  </si>
  <si>
    <t>Clin Chem Lab Med. 2023 Jan 31. doi: 10.1515/cclm-2022-1181. Online ahead of print.</t>
  </si>
  <si>
    <t>Andreasson U</t>
  </si>
  <si>
    <t>10.1515/cclm-2022-1181</t>
  </si>
  <si>
    <t>10.1212/WNL.0000000000200040</t>
  </si>
  <si>
    <t xml:space="preserve"> NfL increased after HI, with the largest values at 72 h post-HI. Early NfL was sensitive but not very specific, whereas NfL at 72 h was both highly sensitive and specific for exposure to moderate-severe HI in this model of HI-induced brain injury. This was supported by a moderate correlation of NfL at 72 h with brain Lac/NAA ratio and histopathology.</t>
  </si>
  <si>
    <t>Kyng KJ, Wellmann S, Lehnerer V, Hansen LH, Kuhle J, Henriksen TB.</t>
  </si>
  <si>
    <t>Front Pediatr. 2023 Jan 9;10:1068380. doi: 10.3389/fped.2022.1068380. eCollection 2022.</t>
  </si>
  <si>
    <t>Kyng KJ</t>
  </si>
  <si>
    <t>Front Pediatr</t>
  </si>
  <si>
    <t>PMC9869944</t>
  </si>
  <si>
    <t>10.3389/fped.2022.1068380</t>
  </si>
  <si>
    <t>Our findings demonstrate that NfL is a sensitive marker for assessing cocaine-related neuroaxonal pathology, supporting the utility of blood NfL analysis in addiction research but also suggesting the detailed assessment of substance use in neurological studies and diagnostics.</t>
  </si>
  <si>
    <t>Bavato F, Kexel AK, Kluwe-Schiavon B, Maceski A, Baumgartner MR, Seifritz E, Kuhle J, Quednow BB.</t>
  </si>
  <si>
    <t>Mol Neurobiol. 2023 Mar 31. doi: 10.1007/s12035-023-03327-6. Online ahead of print.</t>
  </si>
  <si>
    <t>Bavato F</t>
  </si>
  <si>
    <t>10.1007/s12035-023-03327-6</t>
  </si>
  <si>
    <t>10.1177/20552173211069348</t>
  </si>
  <si>
    <t>NFL, GFAP, UCHL1</t>
  </si>
  <si>
    <t>Neurology 3 Plex Likely</t>
  </si>
  <si>
    <t>Specifically, we identify several years of presymptomatic seeding positivity in E200K, a new proximity marker (plasma GFAP) and sequential neurodegenerative marker evolution (plasma GFAP followed by NfL) in slow IPDs. We suggest a new preclinical staging system featuring clinical, seeding and neurodegeneration aspects, for validation with larger prion at-risk cohorts, and with potential application to other neurodegenerative proteopathies.</t>
  </si>
  <si>
    <t>Mok TH, Nihat A, Majbour N, Sequeira D, Holm-Mercer L, Coysh T, Darwent L, Batchelor M, Groveman BR, Orrù CD, Hughson AG, Heslegrave A, Laban R, Veleva E, Paterson RW, Keshavan A, Schott J, Swift IJ, Heller C, Rohrer JD, Gerhard A, Butler C, Rowe JB, Masellis M, Chapman M, Lunn MP, Bieschke J, Jackson GS, Zetterberg H, Caughey B, Rudge P, Collinge J, Mead S.</t>
  </si>
  <si>
    <t>Brain. 2023 Mar 28:awad101. doi: 10.1093/brain/awad101. Online ahead of print.</t>
  </si>
  <si>
    <t>Mok TH</t>
  </si>
  <si>
    <t>10.1093/brain/awad101</t>
  </si>
  <si>
    <t>NFL, Ptau181</t>
  </si>
  <si>
    <t>NFL and Ptau181 advantage</t>
  </si>
  <si>
    <t>Zhang B, Zhang C, Wang Y, Chen L, Qiao Y, Wang Y, Peng D; Alzheimer’s Disease Neuroimaging Initiative.</t>
  </si>
  <si>
    <t>Front Aging Neurosci. 2023 Mar 15;15:1150510. doi: 10.3389/fnagi.2023.1150510. eCollection 2023.</t>
  </si>
  <si>
    <t>Zhang B</t>
  </si>
  <si>
    <t>PMC10050758</t>
  </si>
  <si>
    <t>10.3389/fnagi.2023.1150510</t>
  </si>
  <si>
    <t>10.1007/s00702-022-02464-x</t>
  </si>
  <si>
    <t>COVID antigens</t>
  </si>
  <si>
    <t>Hasegawa T, Shibayama S, Osumi Y, Sentsui H, Kato M.</t>
  </si>
  <si>
    <t>Anal Bioanal Chem. 2023 Apr;415(10):1897-1904. doi: 10.1007/s00216-023-04600-2. Epub 2023 Feb 23.</t>
  </si>
  <si>
    <t>Hasegawa T</t>
  </si>
  <si>
    <t>Anal Bioanal Chem</t>
  </si>
  <si>
    <t>10.1007/s00216-023-04600-2</t>
  </si>
  <si>
    <t>10.1136/jnnp-2021-327788</t>
  </si>
  <si>
    <t>NFL, ttau, AB42, TDP-43</t>
  </si>
  <si>
    <t>likely neurology 4 plex, ptau 181 and  TDR-43 assays</t>
  </si>
  <si>
    <t>Fujire Bio used for CSF</t>
  </si>
  <si>
    <t>Álvarez-Sánchez L, Peña-Bautista C, Ferré-González L, Balaguer A, Baquero M, Casanova-Estruch B, Cháfer-Pericás C.</t>
  </si>
  <si>
    <t>Int J Mol Sci. 2023 Jan 8;24(2):1226. doi: 10.3390/ijms24021226.</t>
  </si>
  <si>
    <t>Álvarez-Sánchez L</t>
  </si>
  <si>
    <t>PMC9864037</t>
  </si>
  <si>
    <t>10.3390/ijms24021226</t>
  </si>
  <si>
    <t>10.1002/dad2.12307</t>
  </si>
  <si>
    <t xml:space="preserve">SR-X; NFL advantage </t>
  </si>
  <si>
    <t>High sNfL levels at baseline were associated with atrophy measures of the whole brain (standardized beta coefficient βj = -0.352, p &lt; 0.001), white matter (βj = -0.229, p = 0.007), thalamus (βj = -0.372, p = 0.004), and putamen (βj = -1.687, p = 0.012). pwMS with high levels of sNfL at baseline and follow-up had a greater risk of EDSS worsening (p = 0.007).</t>
  </si>
  <si>
    <t>Buchmann A, Pirpamer L, Pinter D, Voortman M, Helmlinger B, Pichler A, Maceski AM, Benkert P, Bachmaier G, Ropele S, Reindl M, Leppert D, Kuhle J, Enzinger C, Khalil M.</t>
  </si>
  <si>
    <t>Eur J Neurol. 2023 May;30(5):1389-1399. doi: 10.1111/ene.15742. Epub 2023 Mar 1.</t>
  </si>
  <si>
    <t>Buchmann A</t>
  </si>
  <si>
    <t>10.1111/ene.15742</t>
  </si>
  <si>
    <t>10.3390/v14040671</t>
  </si>
  <si>
    <t>NFL, GFAP, Ptau 181</t>
  </si>
  <si>
    <t>Neurology 4 plex, Ptau181 advantage; HD-x</t>
  </si>
  <si>
    <t>The strength of the association between GFAP and NfL with risk of a clinical diagnosis of dementia changed depending on cholesterol levels and on APOE ε4 genotype. No significant association was seen with p-tau181.</t>
  </si>
  <si>
    <t>Perna L, Mons U, Stocker H, Beyer L, Beyreuther K, Trares K, Holleczek B, Schöttker B, Perneczky R, Gerwert K, Brenner H.</t>
  </si>
  <si>
    <t>Alzheimers Dement. 2023 Jan 13. doi: 10.1002/alz.12933. Online ahead of print.</t>
  </si>
  <si>
    <t>Perna L</t>
  </si>
  <si>
    <t>10.1002/alz.12933</t>
  </si>
  <si>
    <t>10.1016/j.neurobiolaging.2021.12.013</t>
  </si>
  <si>
    <t>AMH</t>
  </si>
  <si>
    <t>Custom assay</t>
  </si>
  <si>
    <t xml:space="preserve">Custom assay dev for an ovarian reserve marker </t>
  </si>
  <si>
    <t>Kuang X, Wei L, Huang Y, Ji M, Tang Y, Wei B, Yang S, Lai D, Xu H.</t>
  </si>
  <si>
    <t>Talanta. 2023 Feb 1;253:123970. doi: 10.1016/j.talanta.2022.123970. Epub 2022 Sep 29.</t>
  </si>
  <si>
    <t>Kuang X</t>
  </si>
  <si>
    <t>Talanta</t>
  </si>
  <si>
    <t>10.1016/j.talanta.2022.123970</t>
  </si>
  <si>
    <t>10.1002/alz.12447</t>
  </si>
  <si>
    <t>Ripamonti E, Edén A, Nilsson S, Sönnerborg A, Zetterberg H, Gisslén M.</t>
  </si>
  <si>
    <t>J Intern Med. 2023 Apr;293(4):445-456. doi: 10.1111/joim.13594. Epub 2022 Dec 8.</t>
  </si>
  <si>
    <t>Ripamonti E</t>
  </si>
  <si>
    <t>J Intern Med</t>
  </si>
  <si>
    <t>10.1111/joim.13594</t>
  </si>
  <si>
    <t>10.1002/alz.12466</t>
  </si>
  <si>
    <t>NFL was found to correlate and predict clinical outcome. In addition, it was found to correlate with HT.</t>
  </si>
  <si>
    <t>Rattanawong W, Ongphichetmetha T, Hemachudha T, Thanapornsangsuth P.</t>
  </si>
  <si>
    <t>J Cent Nerv Syst Dis. 2023 Jan 4;15:11795735221147212. doi: 10.1177/11795735221147212. eCollection 2023.</t>
  </si>
  <si>
    <t>Rattanawong W</t>
  </si>
  <si>
    <t>J Cent Nerv Syst Dis</t>
  </si>
  <si>
    <t>PMC9827527</t>
  </si>
  <si>
    <t>10.1177/11795735221147212</t>
  </si>
  <si>
    <t>NFL advantage SR-X</t>
  </si>
  <si>
    <t>Seiberl M, Feige J, Hilpold P, Hitzl W, Machegger L, Buchmann A, Khalil M, Trinka E, Harrer A, Wipfler P, Moser T.</t>
  </si>
  <si>
    <t>Int J Mol Sci. 2023 Feb 17;24(4):4067. doi: 10.3390/ijms24044067.</t>
  </si>
  <si>
    <t>Seiberl M</t>
  </si>
  <si>
    <t>PMC9961994</t>
  </si>
  <si>
    <t>10.3390/ijms24044067</t>
  </si>
  <si>
    <t>10.1186/s13195-022-01021-8</t>
  </si>
  <si>
    <t>GFAO, AB40/AB42</t>
  </si>
  <si>
    <t>Plasma GFAP was associated with 18F-SMBT-1 signal in brain regions prone to early Aβ deposition in AD, such as the supramarginal gyrus (SG), posterior cingulate (PC), lateral temporal (LT) and lateral occipital cortex (LO). After adjusting for age, sex, APOE ɛ4 genotype, and soluble Aβ (plasma Aβ42/40 ratio), plasma GFAP was associated with 18F-SMBT-1 signal in the SG, PC, LT, LO, and superior parietal cortex (SP). On adjusting for age, sex, APOE ɛ4 genotype and insoluble Aβ (Aβ–PET), plasma GFAP was associated with 18F-SMBT-1 signal in the SG.</t>
  </si>
  <si>
    <t>Chatterjee P, Doré V, Pedrini S, Krishnadas N, Thota R, Bourgeat P, Ikonomovic MD, Rainey-Smith SR, Burnham SC, Fowler C, Taddei K, Mulligan R, Ames D, Masters CL, Fripp J, Rowe CC, Martins RN, Villemagne VL; The AIBL Research Group.</t>
  </si>
  <si>
    <t>J Alzheimers Dis. 2023;92(2):615-628. doi: 10.3233/JAD-220908.</t>
  </si>
  <si>
    <t>PMC10041433</t>
  </si>
  <si>
    <t>10.3233/JAD-220908</t>
  </si>
  <si>
    <t>10.1136/bjo-2021-320828</t>
  </si>
  <si>
    <t>Dietmann AS, Kruse N, Stork L, Gloth M, Brück W, Metz I.</t>
  </si>
  <si>
    <t>J Neurol. 2023 Mar;270(3):1416-1429. doi: 10.1007/s00415-022-11468-2. Epub 2022 Nov 13.</t>
  </si>
  <si>
    <t>Dietmann AS</t>
  </si>
  <si>
    <t>PMC9971126</t>
  </si>
  <si>
    <t>10.1007/s00415-022-11468-2</t>
  </si>
  <si>
    <t>McGonigal R, Cunningham ME, Smyth D, Chou M, Barrie JA, Wilkie A, Campbell C, Saatman KE, Lunn M, Willison HJ.</t>
  </si>
  <si>
    <t>J Peripher Nerv Syst. 2023 Mar;28(1):4-16. doi: 10.1111/jns.12520. Epub 2022 Nov 18.</t>
  </si>
  <si>
    <t>McGonigal R</t>
  </si>
  <si>
    <t>J Peripher Nerv Syst</t>
  </si>
  <si>
    <t>10.1111/jns.12520</t>
  </si>
  <si>
    <t>10.1016/j.jim.2022.113311</t>
  </si>
  <si>
    <t>NFL, GFAP, UCKL1, Ttau</t>
  </si>
  <si>
    <t xml:space="preserve"> The area under the curves of the novel serum biomarkers were highest at 72 h after cardiac arrest (CA) (0.906 for Tau, 0.946 for NFL, 0.875 for GFAP, and 0.935 for UCH-L1). The NFL at 72 h after CA had the highest sensitivity (77.1%, 95% CI 59.9–89.6) in predicting poor neurological outcomes while maintaining 100% specificity.</t>
  </si>
  <si>
    <t>Song H, Bang HJ, You Y, Park JS, Kang C, Kim HJ, Park KN, Oh SH, Youn CS.</t>
  </si>
  <si>
    <t>Crit Care. 2023 Mar 16;27(1):113. doi: 10.1186/s13054-023-04400-1.</t>
  </si>
  <si>
    <t>Song H</t>
  </si>
  <si>
    <t>Crit Care</t>
  </si>
  <si>
    <t>PMC10022069</t>
  </si>
  <si>
    <t>10.1186/s13054-023-04400-1</t>
  </si>
  <si>
    <t>10.1093/rheumatology/keab688</t>
  </si>
  <si>
    <t>GFAP discovery HD-1</t>
  </si>
  <si>
    <t xml:space="preserve">roche was a different platform used for IL-6 levels;  sGFAP levels are associated with CHE in patients with cirrhosis. These results suggest that astrocyte injury may already occur in patients with cirrhosis and subclinical cognitive deficits and that sGFAP could be explored as a novel biomarker.
</t>
  </si>
  <si>
    <t>Gairing SJ, Danneberg S, Kaps L, Nagel M, Schleicher EM, Quack C, Engel S, Bittner S, Galle PR, Schattenberg JM, Wörns MA, Luessi F, Marquardt JU, Labenz C.</t>
  </si>
  <si>
    <t>JHEP Rep. 2023 Jan 18;5(4):100671. doi: 10.1016/j.jhepr.2023.100671. eCollection 2023 Apr.</t>
  </si>
  <si>
    <t>Gairing SJ</t>
  </si>
  <si>
    <t>PMC9972561</t>
  </si>
  <si>
    <t>10.1016/j.jhepr.2023.100671</t>
  </si>
  <si>
    <t>10.1186/s13195-022-01011-w</t>
  </si>
  <si>
    <t>ptau235, Ptau181, Ptau217,Ptau231</t>
  </si>
  <si>
    <t>custom assays</t>
  </si>
  <si>
    <t>CSF p-tau235 was increased with the presence of CSF amyloidosis in two independent memory clinic cohorts. CSF p-tau235 accurately identified AD in both MCI and dementia patients. Overall, the diagnostic performance of CSF p-tau235 was comparable to that of other CSF p-tau measurements, indicating its suitability to support a biomarker-based AD diagnosis in clinical settings.</t>
  </si>
  <si>
    <t>Lantero-Rodriguez J, Vrillon A, Fernández-Lebrero A, Ortiz-Romero P, Snellman A, Montoliu-Gaya L, Brum WS, Cognat E, Dumurgier J, Puig-Pijoan A, Navalpotro-Gómez I, García-Escobar G, Karikari TK, Vanmechelen E, Ashton NJ, Zetterberg H, Suárez-Calvet M, Paquet C, Blennow K.</t>
  </si>
  <si>
    <t>Alzheimers Res Ther. 2023 Mar 10;15(1):48. doi: 10.1186/s13195-023-01201-0.</t>
  </si>
  <si>
    <t>Lantero-Rodriguez J</t>
  </si>
  <si>
    <t>PMC9999575</t>
  </si>
  <si>
    <t>10.1186/s13195-023-01201-0</t>
  </si>
  <si>
    <t>ptau181, Ab40, AB42, Ttau, NFL, GFAP</t>
  </si>
  <si>
    <t>SRX ptau181 advantage, nuerology 3 plex, neurology 2 plex</t>
  </si>
  <si>
    <t xml:space="preserve">Fujirebio used for CSF </t>
  </si>
  <si>
    <t>Silva-Spínola A, Lima M, Leitão MJ, Bernardes C, Durães J, Duro D, Tábuas-Pereira M, Santana I, Baldeiras I.</t>
  </si>
  <si>
    <t>Eur J Neurol. 2023 Mar 7. doi: 10.1111/ene.15762. Online ahead of print.</t>
  </si>
  <si>
    <t>Silva-Spínola A</t>
  </si>
  <si>
    <t>10.1111/ene.15762</t>
  </si>
  <si>
    <t>10.1136/jnnp-2021-328547</t>
  </si>
  <si>
    <t>HD-X Neurology 2 plex likely</t>
  </si>
  <si>
    <t>McDonald SJ, Piantella S, O'Brien WT, Hale MW, O'Halloran P, Kinsella G, Horan B, O'Brien TJ, Maruff P, Shultz SR, Wright BJ.</t>
  </si>
  <si>
    <t>J Neurotrauma. 2023 Jan;40(1-2):52-62. doi: 10.1089/neu.2022.0169. Epub 2022 Jul 22.</t>
  </si>
  <si>
    <t>McDonald SJ</t>
  </si>
  <si>
    <t>10.1089/neu.2022.0169</t>
  </si>
  <si>
    <t>GFAP, NFL, BDNF</t>
  </si>
  <si>
    <t>NFL advantage, GFAP discovery, BDNF discover</t>
  </si>
  <si>
    <t>Aerobic exercise therapy did not result in statistically significant changes in the tested neuro-specific blood-based biomarkers in people with MS.</t>
  </si>
  <si>
    <t>Gravesteijn AS, Beckerman H, Willemse EA, Hulst HE, de Jong BA, Teunissen CE, de Groot V.</t>
  </si>
  <si>
    <t>Mult Scler Relat Disord. 2023 Feb;70:104489. doi: 10.1016/j.msard.2022.104489. Epub 2022 Dec 28.</t>
  </si>
  <si>
    <t>Gravesteijn AS</t>
  </si>
  <si>
    <t>10.1016/j.msard.2022.104489</t>
  </si>
  <si>
    <t xml:space="preserve"> UCH-L1 and NfL seem to be the biomarkers more specific to detect TAI. The concentration of NfL combined with the FA of the CC might help predict long-term outcome.</t>
  </si>
  <si>
    <t>Castaño-Leon AM, Sánchez Carabias C, Hilario A, Ramos A, Navarro-Main B, Paredes I, Munarriz PM, Panero I, Eiriz Fernández C, García-Pérez D, Moreno-Gomez LM, Esteban-Sinovas O, Garcia Posadas G, Gomez PA, Lagares A.</t>
  </si>
  <si>
    <t>J Neurosurg. 2022 Jul 15;138(2):454-464. doi: 10.3171/2022.5.JNS22638. Print 2023 Feb 1.</t>
  </si>
  <si>
    <t>Castaño-Leon AM</t>
  </si>
  <si>
    <t>J Neurosurg</t>
  </si>
  <si>
    <t>10.3171/2022.5.JNS22638</t>
  </si>
  <si>
    <t>10.1016/j.ebiom.2022.103980</t>
  </si>
  <si>
    <t>AB40, AB42, Ttau, ptau181</t>
  </si>
  <si>
    <t> Our study suggested that plasma P-tau181 and P-tau181/T-tau ratio possessed better diagnostic and predictive values than plasma Aβ42 and Aβ42/Aβ40 in this cohort, a finding that may be useful in clinical practices and trials in China.</t>
  </si>
  <si>
    <t>Ni M, Zhu ZH, Gao F, Dai LB, Lv XY, Wang Q, Zhu XX, Xie JK, Shen Y, Wang SC, Xie Q; CANDI Consortium.</t>
  </si>
  <si>
    <t>ACS Chem Neurosci. 2023 Jan 4;14(1):170-179. doi: 10.1021/acschemneuro.2c00636. Epub 2022 Dec 22.</t>
  </si>
  <si>
    <t>Ni M</t>
  </si>
  <si>
    <t>ACS Chem Neurosci</t>
  </si>
  <si>
    <t>10.1021/acschemneuro.2c00636</t>
  </si>
  <si>
    <t>10.1002/mds.29009</t>
  </si>
  <si>
    <t>AB40, AB42, Ttau</t>
  </si>
  <si>
    <t>Neurology 3 plex A</t>
  </si>
  <si>
    <t>Performances of the Simoa 3-PLEX Aβ42/40 ratio were more modest. Pilot longitudinal analysis on the progression of plasma biomarkers indicates that IPMS-Shim can detect the decrease in plasma Aβ42 that is specific to AD patients.</t>
  </si>
  <si>
    <t>Hirtz C, Busto GU, Bennys K, Kindermans J, Navucet S, Tiers L, Lista S, Vialaret J, Gutierrez LA, Dauvilliers Y, Berr C, Lehmann S, Gabelle A.</t>
  </si>
  <si>
    <t>Alzheimers Res Ther. 2023 Feb 18;15(1):34. doi: 10.1186/s13195-023-01188-8.</t>
  </si>
  <si>
    <t>Hirtz C</t>
  </si>
  <si>
    <t>PMC9938625</t>
  </si>
  <si>
    <t>10.1186/s13195-023-01188-8</t>
  </si>
  <si>
    <t>O'Bryant SE, Petersen M, Hall JR, Large S, Johnson LA; HABS-HD Study Team.</t>
  </si>
  <si>
    <t>J Gerontol A Biol Sci Med Sci. 2023 Jan 26;78(1):9-15. doi: 10.1093/gerona/glac169.</t>
  </si>
  <si>
    <t>O'Bryant SE</t>
  </si>
  <si>
    <t>J Gerontol A Biol Sci Med Sci</t>
  </si>
  <si>
    <t>PMC9879752</t>
  </si>
  <si>
    <t>10.1093/gerona/glac169</t>
  </si>
  <si>
    <t xml:space="preserve">Neurology 2 plex </t>
  </si>
  <si>
    <t>Serum levels of GFAP were significantly higher at baseline in those subjects in whom neurodysfunction progressed after the 2 years of follow-up (139.1 ± 52.5 pg/mL vs. 100.2 ± 54.6 pg/mL; p = 0.04).</t>
  </si>
  <si>
    <t>Hernández C, Simó-Servat O, Porta M, Grauslund J, Harding SP, Frydkjaer-Olsen U, García-Arumí J, Ribeiro L, Scanlon P, Cunha-Vaz J, Simó R; European Consortium for the Early Treatment of Diabetic Retinopathy (EUROCONDOR).</t>
  </si>
  <si>
    <t>Acta Diabetol. 2023 Mar 23. doi: 10.1007/s00592-023-02076-1. Online ahead of print.</t>
  </si>
  <si>
    <t>Hernández C</t>
  </si>
  <si>
    <t>Acta Diabetol</t>
  </si>
  <si>
    <t>10.1007/s00592-023-02076-1</t>
  </si>
  <si>
    <t xml:space="preserve">HD-1,likely GFAP discovery </t>
  </si>
  <si>
    <t>In unselected patients with suspected stroke, GFAP alone identified ICrH. Combined in a decision tree, GFAP and PreSS identified subgroups with high proportions of stroke mimics, ICrH, LVO, and AIS (non-LVO strokes).</t>
  </si>
  <si>
    <t>Jæger HS, Tranberg D, Larsen K, Valentin JB, Blauenfeldt RA, Luger S, Bache KG, Gude MF.</t>
  </si>
  <si>
    <t>Scand J Trauma Resusc Emerg Med. 2023 Jan 5;31(1):1. doi: 10.1186/s13049-022-01065-7.</t>
  </si>
  <si>
    <t>Jæger HS</t>
  </si>
  <si>
    <t>Scand J Trauma Resusc Emerg Med</t>
  </si>
  <si>
    <t>PMC9814331</t>
  </si>
  <si>
    <t>10.1186/s13049-022-01065-7</t>
  </si>
  <si>
    <t xml:space="preserve">SR-X GFP Discovery </t>
  </si>
  <si>
    <t>sGFAP is increased in patients with CSVD-related stroke and correlates with the size of the RSSI. However, sGFAP levels were not related to chronic neuroimaging features or progression of CSVD, suggesting that sGFAP is sensitive to acute but not chronic cerebrovascular tissue changes in this condition.</t>
  </si>
  <si>
    <t>Gattringer T, Enzinger C, Pinter D, Fandler-Höfler S, Kneihsl M, Haidegger M, Eppinger S, Demjaha R, Buchmann A, Jerkovic A, Schmidt R, Khalil M.</t>
  </si>
  <si>
    <t>J Neurol. 2023 Jan;270(1):320-327. doi: 10.1007/s00415-022-11358-7. Epub 2022 Sep 3.</t>
  </si>
  <si>
    <t>Gattringer T</t>
  </si>
  <si>
    <t>PMC9813007</t>
  </si>
  <si>
    <t>10.1007/s00415-022-11358-7</t>
  </si>
  <si>
    <t>10.1186/s12865-022-00501-8</t>
  </si>
  <si>
    <t>AB40, AB42</t>
  </si>
  <si>
    <t>AB40 &amp; 42 HD-1</t>
  </si>
  <si>
    <t xml:space="preserve"> Our results also indicate that the investigated biomarkers were somewhat more strongly associated with measures of cerebral Aβ pathology when assessed in CSF compared with serum.</t>
  </si>
  <si>
    <t>Andersson E, Schultz N, Saito T, Saido TC, Blennow K, Gouras GK, Zetterberg H, Hansson O.</t>
  </si>
  <si>
    <t>Alzheimers Res Ther. 2023 Mar 25;15(1):64. doi: 10.1186/s13195-023-01196-8.</t>
  </si>
  <si>
    <t>Andersson E</t>
  </si>
  <si>
    <t>PMC10039589</t>
  </si>
  <si>
    <t>10.1186/s13195-023-01196-8</t>
  </si>
  <si>
    <t>NFL advantage, GFAP discovery; SR-X</t>
  </si>
  <si>
    <t>The comparison of Nfl and GFAP serum levels between ASD children and the control group showed a mean value of these two markers significantly higher in the ASD group (sNfL mean value ASD pt 6.86 pg/mL median value ASD pt 5.7 pg/mL; mean value CTRS 3.55 pg/mL; median value CTRS 3.1 pg; GFAP mean value ASD pt 205.7 pg/mL median value ASD pt 155.4 pg/mL; mean value CTRS 77.12 pg/mL; median value CTRS 63.94 pg/mL). Interestingly, we also found a statistically significant positive correlation between GFAP levels and hyperactivity symptoms (p-value &lt;0.001).</t>
  </si>
  <si>
    <t>Simone M, De Giacomo A, Palumbi R, Palazzo C, Lucisano G, Pompamea F, Micella S, Pascali M, Gabellone A, Marzulli L, Giordano P, Gargano CD, Margari L, Frigeri A, Ruggieri M.</t>
  </si>
  <si>
    <t>Int J Mol Sci. 2023 Feb 3;24(3):3057. doi: 10.3390/ijms24033057.</t>
  </si>
  <si>
    <t>Simone M</t>
  </si>
  <si>
    <t>PMC9917818</t>
  </si>
  <si>
    <t>10.3390/ijms24033057</t>
  </si>
  <si>
    <t>10.1002/acn3.51553</t>
  </si>
  <si>
    <t>NFL advantage, GFAP discovery</t>
  </si>
  <si>
    <t>The potential for NF-L and GFAP to classify injury severity and predict outcome after acute SCI will be useful for patient stratification and prognostication in clinical trials and inform communication of prognosis.</t>
  </si>
  <si>
    <t>Stukas S, Cooper J, Gill J, Fallah N, Skinnider MA, Belanger L, Ritchie L, Tsang A, Dong K, Streijger F, Street J, Paquette S, Ailon T, Dea N, Charest-Morin R, Fisher CG, Bailey CS, Dhall S, Mac-Thiong JM, Wilson JR, Christie S, Dvorak MF, Wellington CL, Kwon BK.</t>
  </si>
  <si>
    <t>Neurology. 2023 Mar 21;100(12):e1221-e1233. doi: 10.1212/WNL.0000000000206744. Epub 2023 Jan 4.</t>
  </si>
  <si>
    <t>Stukas S</t>
  </si>
  <si>
    <t>PMC10033160</t>
  </si>
  <si>
    <t>10.1212/WNL.0000000000206744</t>
  </si>
  <si>
    <t>Ptau181 v2</t>
  </si>
  <si>
    <t xml:space="preserve">used as an exploratory measurement in a Ph.II Clinical trial </t>
  </si>
  <si>
    <t>Jiang Y, Alam JJ, Gomperts SN, Maruff P, Lemstra AW, Germann UA, Stavrides PH, Darji S, Malampati S, Peddy J, Bleiwas C, Pawlik M, Pensalfini A, Yang DS, Subbanna S, Basavarajappa BS, Smiley JF, Gardner A, Blackburn K, Chu HM, Prins ND, Teunissen CE, Harrison JE, Scheltens P, Nixon RA.</t>
  </si>
  <si>
    <t>Nat Commun. 2022 Sep 21;13(1):5308. doi: 10.1038/s41467-022-32944-3.</t>
  </si>
  <si>
    <t>Jiang Y</t>
  </si>
  <si>
    <t>Nat Commun</t>
  </si>
  <si>
    <t>PMC9492778</t>
  </si>
  <si>
    <t>10.1038/s41467-022-32944-3</t>
  </si>
  <si>
    <t>ttau, AB40/42</t>
  </si>
  <si>
    <t xml:space="preserve">Neurology 3 plex and neurology 4 plex </t>
  </si>
  <si>
    <t>Hayes JP, Pierce ME, Brown E, Salat D, Logue MW, Constantinescu J, Valerio K, Miller MW, Sherva R, Huber BR, Milberg W, McGlinchey R.</t>
  </si>
  <si>
    <t>Neurol Genet. 2023 Feb 1;9(1):e200053. doi: 10.1212/NXG.0000000000200053. eCollection 2023 Feb.</t>
  </si>
  <si>
    <t>Hayes JP</t>
  </si>
  <si>
    <t>Neurol Genet</t>
  </si>
  <si>
    <t>PMC9893442</t>
  </si>
  <si>
    <t>10.1212/NXG.0000000000200053</t>
  </si>
  <si>
    <t>ttau, AB40, AB42, ptau181</t>
  </si>
  <si>
    <t xml:space="preserve">Likely neurology 3 plex. Ptau181 </t>
  </si>
  <si>
    <t xml:space="preserve">findings were around a specific protein measured by thermo </t>
  </si>
  <si>
    <t>Lv X, Zhang M, Cheng Z, Wang Q, Wang P, Xie Q, Ni M, Shen Y, Tang Q, Gao F; China Aging Neurodegenerative Disorder Initiative (CANDI) Consortium.</t>
  </si>
  <si>
    <t>Alzheimers Res Ther. 2023 Mar 14;15(1):51. doi: 10.1186/s13195-023-01199-5.</t>
  </si>
  <si>
    <t>Lv X</t>
  </si>
  <si>
    <t>PMC10012584</t>
  </si>
  <si>
    <t>10.1186/s13195-023-01199-5</t>
  </si>
  <si>
    <t>Snap25</t>
  </si>
  <si>
    <t>used an ELISA for VAMP2?</t>
  </si>
  <si>
    <t>Das S, Goossens J, Jacobs D, Dewit N, Pijnenburg YAL, In 't Veld SGJG, Teunissen CE, Vanmechelen E.</t>
  </si>
  <si>
    <t>Alzheimers Res Ther. 2023 Mar 24;15(1):62. doi: 10.1186/s13195-023-01212-x.</t>
  </si>
  <si>
    <t>Das S</t>
  </si>
  <si>
    <t>PMC10037899</t>
  </si>
  <si>
    <t>10.1186/s13195-023-01212-x</t>
  </si>
  <si>
    <t>10.1002/dad2.12285</t>
  </si>
  <si>
    <t>NFL,GFAP</t>
  </si>
  <si>
    <t>Results of this cohort study suggest that sGFAP is a prognostic biomarker for future PIRA and revealed its complementary potential next to sNfL. sGFAP may serve as a useful biomarker for disease progression in MS in individual patient management and drug development.</t>
  </si>
  <si>
    <t>Meier S, Willemse EAJ, Schaedelin S, Oechtering J, Lorscheider J, Melie-Garcia L, Cagol A, Barakovic M, Galbusera R, Subramaniam S, Barro C, Abdelhak A, Thebault S, Achtnichts L, Lalive P, Müller S, Pot C, Salmen A, Disanto G, Zecca C, D'Souza M, Orleth A, Khalil M, Buchmann A, Du Pasquier R, Yaldizli Ö, Derfuss T, Berger K, Hermesdorf M, Wiendl H, Piehl F, Battaglini M, Fischer U, Kappos L, Gobbi C, Granziera C, Bridel C, Leppert D, Maleska Maceski A, Benkert P, Kuhle J.</t>
  </si>
  <si>
    <t>JAMA Neurol. 2023 Feb 6;80(3):287-97. doi: 10.1001/jamaneurol.2022.5250. Online ahead of print.</t>
  </si>
  <si>
    <t>Meier S</t>
  </si>
  <si>
    <t>PMC10011932</t>
  </si>
  <si>
    <t>10.1001/jamaneurol.2022.5250</t>
  </si>
  <si>
    <t>10.1002/advs.202103241</t>
  </si>
  <si>
    <t>Quanterix</t>
  </si>
  <si>
    <t>Immune Dysregulation in Acute SARS-CoV-2 Infection</t>
  </si>
  <si>
    <t>Immunology, COVID</t>
  </si>
  <si>
    <t>IFNγ, IL-1β, IL-4, IL-6, IL-10, IP-10, TNF-α, and Syndecan 1, ACE2, COVID S, COVID N, COVID RBD</t>
  </si>
  <si>
    <t xml:space="preserve">COVID-19 Serology 9 plex, V-Plex SARS-COV-2 Panel 2 (ACE2),  U-plex 8 Plex (cytokines) </t>
  </si>
  <si>
    <t>3 assays use, covid + inflammation markers; markers were shown to be predictive of disease severity and antibody response</t>
  </si>
  <si>
    <t>Grimm L, Onyeukwu C, Kenny G, Parent DM, Fu J, Dhingra S, Yang E, Moy J, Utz PJ, Tracy R, Landay A.</t>
  </si>
  <si>
    <t>Pathog Immun. 2023 Feb 20;7(2):143-170. doi: 10.20411/pai.v7i2.537. eCollection 2022.</t>
  </si>
  <si>
    <t>Grimm L</t>
  </si>
  <si>
    <t>Pathog Immun</t>
  </si>
  <si>
    <t>PMC9973727</t>
  </si>
  <si>
    <t>10.20411/pai.v7i2.537</t>
  </si>
  <si>
    <t>Individual immune cell and cytokine profiles determine platelet-rich plasma composition</t>
  </si>
  <si>
    <t xml:space="preserve">Musculoskeletal, immunology  </t>
  </si>
  <si>
    <t>interferon gamma (IFN-γ), interleukin 1β (IL-1β), IL-2, IL-4, IL-6, IL-8, IL-10, IL-12p70, IL-13, and tumor necrosis factor alpha (TNF-α)</t>
  </si>
  <si>
    <t xml:space="preserve"> V-PLEX Proinflammatory Panel 1</t>
  </si>
  <si>
    <t>All three PRP products showed elevated portions of leukocytes compared to baseline levels in donor blood. Furthermore, the pro-inflammatory cytokines IFN-γ and TNF-α were significantly increased in nSTRIDE® APS samples compared to donor blood and other PRP products. The characteristics of all other cytokines and immune cells from the donor blood, including pro-inflammatory T cell subsets, were maintained in all PRP products. Chondrocyte proliferation was impaired by IFN-γ and enhanced by TNF-α treatment. Differentiation and cartilage formation were compromised upon treatment with both cytokines, resulting in altered messenger ribonucleic acid (mRNA) expression of collagen type 1A1 (COL1A1), COL2A1, and aggrecan (ACAN) as well as reduced proteoglycan content</t>
  </si>
  <si>
    <t>Niemann M, Ort M, Lauterbach L, Streitz M, Wilhelm A, Grütz G, Fleckenstein FN, Graef F, Blankenstein A, Reinke S, Stöckle U, Perka C, Duda GN, Geißler S, Winkler T, Maleitzke T.</t>
  </si>
  <si>
    <t>Arthritis Res Ther. 2023 Jan 10;25(1):6. doi: 10.1186/s13075-022-02969-6.</t>
  </si>
  <si>
    <t>Niemann M</t>
  </si>
  <si>
    <t>PMC9830842</t>
  </si>
  <si>
    <t>10.1186/s13075-022-02969-6</t>
  </si>
  <si>
    <t>Freeze-dried plasma: From damage control resuscitation to coronavirus disease 2019 therapy</t>
  </si>
  <si>
    <t xml:space="preserve">Infectious Disese </t>
  </si>
  <si>
    <t>SARS-COV-2 IgG S,N,RBD</t>
  </si>
  <si>
    <t>coronavirus 2 (SARS-CoV-2) IgG (Immunoglobulin G) and neutralizing activity</t>
  </si>
  <si>
    <t>We demonstrated that FDP and CC-FDP retained the same hemostatic and antibody functional activities relative to their initial plasma sources, supporting clinical evaluation of their benefits in severe trauma and COVID-19 patients.</t>
  </si>
  <si>
    <t>Peng HT, Rhind SG, Moes K, Devine D, Jenkins C, Beckett A.</t>
  </si>
  <si>
    <t>Transfusion. 2022 Jul;62(7):1408-1416. doi: 10.1111/trf.16947. Epub 2022 Jun 10.</t>
  </si>
  <si>
    <t>Peng HT</t>
  </si>
  <si>
    <t>Transfusion</t>
  </si>
  <si>
    <t>10.1111/trf.16947</t>
  </si>
  <si>
    <t>Phase 2 of extracellular RNA communication consortium charts next-generation approaches for extracellular RNA research</t>
  </si>
  <si>
    <t>David Routenberg (Meso Scale Diagnostics, contact PI) and his team are developing multi-marker EV screening and isolation techniques to identify and purify specific populations of EVs. These will be combined with advanced flow analyzer instrumentation to measure the distribution of proteins and RNAs within EV subpopulations. The team is developing a new highly multiplexed proximity-based immunosequencing assay for rapid combinatorial analysis of surface markers co-localized on EV populations of interest. This approach will be used to identify unique EV surface signatures representative of EVs from specific cell and tissue types.</t>
  </si>
  <si>
    <t>Mateescu B, Jones JC, Alexander RP, Alsop E, An JY, Asghari M, Boomgarden A, Bouchareychas L, Cayota A, Chang HC, Charest A, Chiu DT, Coffey RJ, Das S, De Hoff P, deMello A, D'Souza-Schorey C, Elashoff D, Eliato KR, Franklin JL, Galas DJ, Gerstein MB, Ghiran IH, Go DB, Gould S, Grogan TR, Higginbotham JN, Hladik F, Huang TJ, Huo X, Hutchins E, Jeppesen DK, Jovanovic-Talisman T, Kim BYS, Kim S, Kim KM, Kim Y, Kitchen RR, Knouse V, LaPlante EL, Lebrilla CB, Lee LJ, Lennon KM, Li G, Li F, Li T, Liu T, Liu Z, Maddox AL, McCarthy K, Meechoovet B, Maniya N, Meng Y, Milosavljevic A, Min BH, Morey A, Ng M, Nolan J, De Oliveira Junior GP, Paulaitis ME, Phu TA, Raffai RL, Reátegui E, Roth ME, Routenberg DA, Rozowsky J, Rufo J, Senapati S, Shachar S, Sharma H, Sood AK, Stavrakis S, Stürchler A, Tewari M, Tosar JP, Tucker-Schwartz AK, Turchinovich A, Valkov N, Van Keuren-Jensen K, Vickers KC, Vojtech L, Vreeland WN, Wang C, Wang K, Wang Z, Welsh JA, Witwer KW, Wong DTW, Xia J, Xie YH, Yang K, Zaborowski MP, Zhang C, Zhang Q, Zivkovic AM, Laurent LC.</t>
  </si>
  <si>
    <t>iScience. 2022 Jun 23;25(8):104653. doi: 10.1016/j.isci.2022.104653. eCollection 2022 Aug 19.</t>
  </si>
  <si>
    <t>Mateescu B</t>
  </si>
  <si>
    <t>iScience</t>
  </si>
  <si>
    <t>PMC9358052</t>
  </si>
  <si>
    <t>10.1016/j.isci.2022.104653</t>
  </si>
  <si>
    <t>Fasting Proinsulin Independently Predicts Incident Type 2 Diabetes in the General Population</t>
  </si>
  <si>
    <t>Metabolic (Diabetes)</t>
  </si>
  <si>
    <t xml:space="preserve">Proinsulin </t>
  </si>
  <si>
    <t>Metabolic Combo 1 U plex</t>
  </si>
  <si>
    <t>Only 1 protein was called out, but 21 measured. Also they used othogonal measurements (COBAS) for many of the proteins measured by MSD</t>
  </si>
  <si>
    <t>Sokooti S, Dam WA, Szili-Torok T, Gloerich J, van Gool AJ, Post A, de Borst MH, Gansevoort RT, Heerspink HJL, Dullaart RPF, Bakker SJL.</t>
  </si>
  <si>
    <t>J Pers Med. 2022 Jul 12;12(7):1131. doi: 10.3390/jpm12071131.</t>
  </si>
  <si>
    <t>Sokooti S</t>
  </si>
  <si>
    <t>J Pers Med</t>
  </si>
  <si>
    <t>PMC9323856</t>
  </si>
  <si>
    <t>10.3390/jpm12071131</t>
  </si>
  <si>
    <t>Temporal Change in Pro-Inflammatory Cytokine Expression from Immortalized Human Corneal Epithelial Cells Exposed to Hyperosmotic Stress</t>
  </si>
  <si>
    <t>IL-1β, IL-2, IL-4, IL-6, IL-8, IL-10, IL-12p70, IL-13, TNF-α, IFN-γ, and IL-17A</t>
  </si>
  <si>
    <t>pro-inflammatory cytokines</t>
  </si>
  <si>
    <t>Hyperosmolar stress reduced cell metabolic activity and increased expression of IL-1β, IL-4, IL6, IL8, IL-12p70, IL-13, and TNF-α over a 6-hour period in an immortalized HCEC line.</t>
  </si>
  <si>
    <t>Nagaarudkumaran N, Mirzapour P, McCanna D, Ngo W.</t>
  </si>
  <si>
    <t>Curr Eye Res. 2022 Nov;47(11):1488-1495. doi: 10.1080/02713683.2022.2125531. Epub 2022 Sep 23.</t>
  </si>
  <si>
    <t>Nagaarudkumaran N</t>
  </si>
  <si>
    <t>Curr Eye Res</t>
  </si>
  <si>
    <t>10.1080/02713683.2022.2125531</t>
  </si>
  <si>
    <t>Evaluation of multi-assay algorithms for cross-sectional HIV incidence estimation in settings with universal antiretroviral treatment</t>
  </si>
  <si>
    <t>HIV Peptides</t>
  </si>
  <si>
    <t>HIV Peptides on Uplex</t>
  </si>
  <si>
    <t>Grant-McAuley W, Laeyendecker O, Monaco D, Chen A, Hudelson SE, Klock E, Brookmeyer R, Morrison D, Piwowar-Manning E, Morrison CS, Hayes R, Ayles H, Bock P, Kosloff B, Shanaube K, Mandla N, van Deventer A, Ruczinski I, Kammers K, Larman HB, Eshleman SH.</t>
  </si>
  <si>
    <t>BMC Infect Dis. 2022 Nov 11;22(1):838. doi: 10.1186/s12879-022-07850-0.</t>
  </si>
  <si>
    <t>Grant-McAuley W</t>
  </si>
  <si>
    <t>BMC Infect Dis</t>
  </si>
  <si>
    <t>PMC9652879</t>
  </si>
  <si>
    <t>10.1186/s12879-022-07850-0</t>
  </si>
  <si>
    <t>Circulating FGF21 Concentration, Fasting Plasma Glucose and the Risk of Type 2 Diabetes: Results from the PREVEND study</t>
  </si>
  <si>
    <t>FGF21</t>
  </si>
  <si>
    <t xml:space="preserve">U-PLEX </t>
  </si>
  <si>
    <t>The intra-assay and inter-assay coefficients of precision were 2.5% and 8.7% at 4176 pg/mL, 3.6% and 10.5% at 846 pg/mL, and 4.3% and 12.1% at 202 pg/mL, respectively. Spike recovery was 97%, 97%, and 99% at high, mid, and low spiking of EDTA plasma</t>
  </si>
  <si>
    <t>Post A, Dam WA, Sokooti S, Groothof D, Gloerich J, van Gool AJ, Kremer D, Gansevoort RT, van den Born J, Kema IP, Franssen CFM, Dullaart RPF, Bakker SJL.</t>
  </si>
  <si>
    <t>J Clin Endocrinol Metab. 2022 Dec 19:dgac729. doi: 10.1210/clinem/dgac729. Online ahead of print.</t>
  </si>
  <si>
    <t>Post A</t>
  </si>
  <si>
    <t>10.1210/clinem/dgac729</t>
  </si>
  <si>
    <t>Elevation of neural injury markers in patients with neurologic sequelae after hospitalization for SARS-CoV-2 infection</t>
  </si>
  <si>
    <t>U-Plex Effector Cell checkpoint combo, V-Plex chemokine panel 1, Ultrasensitive GFAP, Tau, NFL</t>
  </si>
  <si>
    <t xml:space="preserve">26 protein measurements, but several were repeat measurements; GFAP and NFL were key proteins </t>
  </si>
  <si>
    <t>Spanos M, Shachar S, Sweeney T, Lehmann HI, Gokulnath P, Li G, Sigal GB, Nagaraj R, Bathala P, Rana F, Shah RV, Routenberg DA, Das S.</t>
  </si>
  <si>
    <t>iScience. 2022 Aug 19;25(8):104833. doi: 10.1016/j.isci.2022.104833. Epub 2022 Aug 1.</t>
  </si>
  <si>
    <t>Spanos M</t>
  </si>
  <si>
    <t>PMC9341164</t>
  </si>
  <si>
    <t>10.1016/j.isci.2022.104833</t>
  </si>
  <si>
    <t>R-Plex NFL</t>
  </si>
  <si>
    <t>Compared to Simoa NFL; Using the R-PLEX, NfL was quantitated in 99% of the samples tested, and showed a broad range in the CSF (82-500,000 ng/L) and serum (8.84-2,014 ng/L). Nf-L levels in both biofluids correlated strongly (r=0.81, p&lt;0.0001). Lastly, Nf-L measured by MSD's R-PLEX and Quanterix's Simoa assays were highly correlated for both biofluids (CSF: r=0.94, p&lt;0.0001; serum: r=0.95, p&lt;0.0001).</t>
  </si>
  <si>
    <t>Trajectory of Serum Levels of Glial Fibrillary Acidic Protein within Four Weeks Post-Injury Is Related to Neurological Recovery during the Transition from Acute to Chronic Spinal Cord Injury</t>
  </si>
  <si>
    <t xml:space="preserve">R-Plex GFAP, NFL </t>
  </si>
  <si>
    <t xml:space="preserve"> The trajectory of serum GFAP levels qualifies as a prognostic biomarker for neurological recovery, and facilitates monitoring of disease progression in the sub-acute post-injury phase.</t>
  </si>
  <si>
    <t>Leister I, Altendorfer B, Maier D, Mach O, Wutte C, Grillhösl A, Arevalo-Martin A, Garcia-Ovejero D, Aigner L, Grassner L.</t>
  </si>
  <si>
    <t>J Neurotrauma. 2022 Dec 9. doi: 10.1089/neu.2022.0326. Online ahead of print.</t>
  </si>
  <si>
    <t>Leister I</t>
  </si>
  <si>
    <t>10.1089/neu.2022.0326</t>
  </si>
  <si>
    <t>Sensitive Serology Measurements in the Saliva of Individuals with COVID-19 Symptoms Using a Multiplexed Immunoassay</t>
  </si>
  <si>
    <t xml:space="preserve"> 4 SARS-CoV-2 antigens (nucleocapsid, spike, RBD, and NTD) and spike proteins from 5 other coronaviruses (SARS-CoV-1 and endemic coronaviruses 229E, HKU1, NL63, and OC43)</t>
  </si>
  <si>
    <t xml:space="preserve"> MSD V-PLEX® COVID-19 Coronavirus Panel 2, Isotyping Panel 1 </t>
  </si>
  <si>
    <t>This study shows that our multiplexed immunoassay can distinguish infected from uninfected individuals and reliably (93.3% specificity) detect seroconversion (in 60% of infected individuals) as early as the first week PSO, using easy-to-collect saliva samples.</t>
  </si>
  <si>
    <t>Sohaei D, Ulndreaj A, Mathew A, Campbell C, Stengelin M, Sigal G, Joe J, Romero D, Padmanabhan N, Ren A, Ghorbani A, Soosaipillai A, Kulasingam V, Prassas I, Diamandis EP.</t>
  </si>
  <si>
    <t>J Appl Lab Med. 2022 Oct 29;7(6):1354-1365. doi: 10.1093/jalm/jfac073.</t>
  </si>
  <si>
    <t>Sohaei D</t>
  </si>
  <si>
    <t>J Appl Lab Med</t>
  </si>
  <si>
    <t>PMC9619505</t>
  </si>
  <si>
    <t>10.1093/jalm/jfac073</t>
  </si>
  <si>
    <t>Detection of interstitial pneumonia with autoimmune features and idiopathic pulmonary fibrosis are enhanced by involvement of matrix metalloproteinases levels and clinical diagnosis</t>
  </si>
  <si>
    <t>Respiratory Disease</t>
  </si>
  <si>
    <t>MMP1, MMP2, MMP3, MMP7, MMP9, MMP10, MMP12, MMP14, SP-A, KL-6, LDH, CRP, tIgE</t>
  </si>
  <si>
    <t>U-Plex</t>
  </si>
  <si>
    <t>Clinical risk factors and MMPs are strongly associated with either stratification of the disease of progression of IPAF or in two IPAF and IPF independent cohorts. To our knowledge, this is the first to illustrate that MMP‐12 and MMP‐13 may be expected to become typical promising biomarkers in Improvement – IPAF and Exacerbation – IPAF, respectively.</t>
  </si>
  <si>
    <t>Liu M, Xue M, Zhang T, Lin R, Guo B, Chen Y, Cheng ZJ, Sun B.</t>
  </si>
  <si>
    <t>J Clin Lab Anal. 2022 Nov;36(11):e24734. doi: 10.1002/jcla.24734. Epub 2022 Oct 17.</t>
  </si>
  <si>
    <t>Liu M</t>
  </si>
  <si>
    <t>J Clin Lab Anal</t>
  </si>
  <si>
    <t>PMC9701863</t>
  </si>
  <si>
    <t>10.1002/jcla.24734</t>
  </si>
  <si>
    <t>Saliva-based SARS-CoV-2 serology using at-home collection kits returned via mail</t>
  </si>
  <si>
    <t>IgG - S, N, RBD</t>
  </si>
  <si>
    <t xml:space="preserve">Mail in saliva samples for COVID testing methods paper </t>
  </si>
  <si>
    <t>Campbell C, Roblin D, Padmanabhan N, Romero D, Joe J, Fathi L, Whiting T, Williamson J, Goodwin P, Mckie C, Deneal A, Greenberg L, Sigal G.</t>
  </si>
  <si>
    <t>Sci Rep. 2022 Aug 18;12(1):14061. doi: 10.1038/s41598-022-17057-7.</t>
  </si>
  <si>
    <t>Campbell C</t>
  </si>
  <si>
    <t>PMC9387411</t>
  </si>
  <si>
    <t>10.1038/s41598-022-17057-7</t>
  </si>
  <si>
    <t>Punica granatum Seed Essential Oil Suppressed Methadone-Induced Cell Death by Natural Antioxidant Activity</t>
  </si>
  <si>
    <t xml:space="preserve">Rat V-Plex inflammatory assay </t>
  </si>
  <si>
    <t>Punica granatum essential oil declined methadone-induced cell death in PC12 cells in a dose-dependent manner through suppressing NO production, IL-1β, IL-6, INF-γ, and TNF-α inflammatory cytokines production, mitochondrial membrane disruption, and caspase-3 activities.</t>
  </si>
  <si>
    <t>Zhaleh H, Mahdizadeh H, Khoshkhoy S.</t>
  </si>
  <si>
    <t>Asian Pac J Cancer Prev. 2023 Mar 1;24(3):801-810. doi: 10.31557/APJCP.2023.24.3.801.</t>
  </si>
  <si>
    <t>Zhaleh H</t>
  </si>
  <si>
    <t>Asian Pac J Cancer Prev</t>
  </si>
  <si>
    <t>10.31557/APJCP.2023.24.3.801</t>
  </si>
  <si>
    <t>Comparative performance data for multiplex SARS-CoV-2 serological assays from a large panel of dried blood spot specimens</t>
  </si>
  <si>
    <t>V-PLEX SARS-CoV-2 Panel 2 (IgG)</t>
  </si>
  <si>
    <t>Cholette F, Fabia R, Harris A, Ellis H, Cachero K, Schroeder L, Mesa C, Lacap P, Arnold C, Galipeau Y, Langlois MA, Colwill K, Gingras AC, McGeer A, Giles E, Day J, Osiowy C, Durocher Y, Hankins C, Mazer B, Drebot M, Kim J; COVID-19 Immunity Task Force (CITF) working group.</t>
  </si>
  <si>
    <t>Heliyon. 2022 Sep;8(9):e10270. doi: 10.1016/j.heliyon.2022.e10270. Epub 2022 Aug 28.</t>
  </si>
  <si>
    <t>Cholette F</t>
  </si>
  <si>
    <t>Heliyon</t>
  </si>
  <si>
    <t>PMC9420314</t>
  </si>
  <si>
    <t>10.1016/j.heliyon.2022.e10270</t>
  </si>
  <si>
    <t>Fatal COVID-19 outcomes are associated with an antibody response targeting epitopes shared with endemic coronaviruses</t>
  </si>
  <si>
    <t>SARS-CoV-2 spike, RBD, NTD, and nucleocapsid and the spike proteins of SARS-CoV-1, HCoV-229E, HCoV-NL63, HCoV-HKU1, and HCoV-OC43, ACE2</t>
  </si>
  <si>
    <t xml:space="preserve">Coronavirus 2 Panel V-Plex, ACE2 Competition Assay </t>
  </si>
  <si>
    <t>McNaughton AL, Paton RS, Edmans M, Youngs J, Wellens J, Phalora P, Fyfe A, Belij-Rammerstorfer S, Bolton JS, Ball J, Carnell GW, Dejnirattisai W, Dold C, Eyre DW, Hopkins P, Howarth A, Kooblall K, Klim H, Leaver S, Lee LN, López-Camacho C, Lumley SF, Macallan DC, Mentzer AJ, Provine NM, Ratcliff J, Slon-Compos J, Skelly D, Stolle L, Supasa P, Temperton N, Walker C, Wang B, Wyncoll D; Oxford Protective T Cell Immunology for COVID-19 (OPTIC) consortium; Scottish National Blood Transfusion Service (SNBTS) consortium; Simmonds P, Lambe T, Baillie JK, Semple MG, Openshaw PJ; International Severe Acute Respiratory and emerging Infection Consortium Coronavirus Clinical Characterisation Consortium (ISARIC4C) investigators; Obolski U, Turner M, Carroll M, Mongkolsapaya J, Screaton G, Kennedy SH, Jarvis L, Barnes E, Dunachie S, Lourenço J, Matthews PC, Bicanic T, Klenerman P, Gupta S, Thompson CP.</t>
  </si>
  <si>
    <t>JCI Insight. 2022 Jul 8;7(13):e156372. doi: 10.1172/jci.insight.156372.</t>
  </si>
  <si>
    <t>McNaughton AL</t>
  </si>
  <si>
    <t>JCI Insight</t>
  </si>
  <si>
    <t>PMC9310533</t>
  </si>
  <si>
    <t>10.1172/jci.insight.156372</t>
  </si>
  <si>
    <t xml:space="preserve">Infectious Disease, Immunology </t>
  </si>
  <si>
    <t>SARS-CoV-2 N, SARS-CoV-2 S1 RBD, SARS-CoV-2 S1 RBD (B.1.1.7), SARS-CoV-2 S1 RBD (B.1.351), SARS-CoV-2 S1 RBD (P.1), SARS-CoV-2 Spike, SARS-CoV-2 Spike (B.1.1.7), SARS-CoV-2 Spike (B.1.351), SARS-CoV-2 Spike (P.1)</t>
  </si>
  <si>
    <t xml:space="preserve">S-PLEX SARS-CoV-2 N, SARS-CoV-2 Plate 7 </t>
  </si>
  <si>
    <t>Quanterix was used for inflammatory markers</t>
  </si>
  <si>
    <t>Stratum corneum lipid and cytokine biomarkers at age 2 months predict the future onset of atopic dermatitis</t>
  </si>
  <si>
    <t>U-Plex cytokine</t>
  </si>
  <si>
    <t>run alongside MS</t>
  </si>
  <si>
    <t>Berdyshev E, Kim J, Kim BE, Goleva E, Lyubchenko T, Bronova I, Bronoff AS, Xiao O, Kim J, Kim S, Kwon M, Lee S, Seo YJ, Kim K, Choi SJ, Oh SY, Kim SH, Yu SY, Hwang SY, Ahn K, Leung DYM.</t>
  </si>
  <si>
    <t>J Allergy Clin Immunol. 2023 Feb 23:S0091-6749(23)00227-0. doi: 10.1016/j.jaci.2023.02.013. Online ahead of print.</t>
  </si>
  <si>
    <t>Berdyshev E</t>
  </si>
  <si>
    <t>J Allergy Clin Immunol</t>
  </si>
  <si>
    <t>10.1016/j.jaci.2023.02.013</t>
  </si>
  <si>
    <t>Sensitive electrochemical sensing platform based on Au nanoflower-integrated carbon fiber for detecting interleukin-6 in human serum</t>
  </si>
  <si>
    <t>V-Plex IL-6</t>
  </si>
  <si>
    <t>Used as a verification method for a new IL-6 sensor</t>
  </si>
  <si>
    <t>Madhu S, Han JH, Jeong CW, Choi J.</t>
  </si>
  <si>
    <t>Anal Chim Acta. 2023 Jan 15;1238:340644. doi: 10.1016/j.aca.2022.340644. Epub 2022 Nov 18.</t>
  </si>
  <si>
    <t>Madhu S</t>
  </si>
  <si>
    <t>Anal Chim Acta</t>
  </si>
  <si>
    <t>10.1016/j.aca.2022.340644</t>
  </si>
  <si>
    <t>Understanding Ocular Surface Inflammation in Tears Before and After Autologous Cultivated Limbal Epithelial Stem Cell Transplantation</t>
  </si>
  <si>
    <t xml:space="preserve">Immunology </t>
  </si>
  <si>
    <t>TNFα, IFNγ, IL1β, IL2, IL4, IL6, IL8, IL10, IL12p70 and IL13</t>
  </si>
  <si>
    <t xml:space="preserve">V-Plex Proinflammatory Panel 1 </t>
  </si>
  <si>
    <t>Figueiredo GS, Hogg J, Okonkwo A, Baylis OJ, Berry M, Ali S, Lako M, Figueiredo FC.</t>
  </si>
  <si>
    <t>Ophthalmol Ther. 2023 Apr;12(2):1097-1107. doi: 10.1007/s40123-023-00656-6. Epub 2023 Jan 28.</t>
  </si>
  <si>
    <t>Figueiredo GS</t>
  </si>
  <si>
    <t>Ophthalmol Ther</t>
  </si>
  <si>
    <t>PMC10011244</t>
  </si>
  <si>
    <t>10.1007/s40123-023-00656-6</t>
  </si>
  <si>
    <t>[Effect of electroacupuncture on spontaneous pain during the synovial inflammatory response stage and allodynia at the later stage in rats with knee osteoarthritis]</t>
  </si>
  <si>
    <t>Other</t>
  </si>
  <si>
    <t>TNFα, IFNγ, IL1β, IL6, IL8, IL10,  and IL13</t>
  </si>
  <si>
    <t>Inflammatory Cytokines</t>
  </si>
  <si>
    <t>Chen W, Li HC, Wan HY, Liu YH, Jing XH, Zhang XN, He W.</t>
  </si>
  <si>
    <t>Zhongguo Zhen Jiu. 2022 Dec 12;42(12):1385-93. doi: 10.13703/j.0255-2930.20220526-k0006.</t>
  </si>
  <si>
    <t>Chen W</t>
  </si>
  <si>
    <t>Zhongguo Zhen Jiu</t>
  </si>
  <si>
    <t>10.13703/j.0255-2930.20220526-k0006</t>
  </si>
  <si>
    <t>Relationships of APOE Genotypes With Small RNA and Protein Cargo of Brain Tissue Extracellular Vesicles From Patients With Late-Stage AD</t>
  </si>
  <si>
    <t>CD9, CD81, CD63</t>
  </si>
  <si>
    <t xml:space="preserve">3 single plex, S plex </t>
  </si>
  <si>
    <t>MSD was used for EV Surface Marker Profiling</t>
  </si>
  <si>
    <t>Huang Y, Driedonks TAP, Cheng L, Rajapaksha H, Turchinovich A, Routenberg DA, Nagaraj R, Redding-Ochoa J, Arab T, Powell BH, Pletnikova O, Troncoso JC, Zheng L, Hill AF, Mahairaki V, Witwer KW.</t>
  </si>
  <si>
    <t>Neurol Genet. 2022 Oct 26;8(6):e200026. doi: 10.1212/NXG.0000000000200026. eCollection 2022 Dec.</t>
  </si>
  <si>
    <t>PMC9667865</t>
  </si>
  <si>
    <t>10.1212/NXG.0000000000200026</t>
  </si>
  <si>
    <t>Association of maternal body composition and diet on breast milk hormones and neonatal growth during the first month of lactation</t>
  </si>
  <si>
    <t>insulin, leptin, ghrelin, GIP, peptide YY. Resistin</t>
  </si>
  <si>
    <t>U-Plex 5 plex, S plex Resisten</t>
  </si>
  <si>
    <t>Ramiro-Cortijo D, Singh P, Herranz Carrillo G, Gila-Díaz A, Martín-Cabrejas MA, Martin CR, Arribas SM.</t>
  </si>
  <si>
    <t>Front Endocrinol (Lausanne). 2023 Mar 2;14:1090499. doi: 10.3389/fendo.2023.1090499. eCollection 2023.</t>
  </si>
  <si>
    <t>Ramiro-Cortijo D</t>
  </si>
  <si>
    <t>Front Endocrinol (Lausanne)</t>
  </si>
  <si>
    <t>PMC10018215</t>
  </si>
  <si>
    <t>10.3389/fendo.2023.1090499</t>
  </si>
  <si>
    <t>Plasma biomarkers for diagnosis of Alzheimer's disease and prediction of cognitive decline in individuals with mild cognitive impairment</t>
  </si>
  <si>
    <t>pTau181,Ttau, NFL, GFAP</t>
  </si>
  <si>
    <t>4 single plex</t>
  </si>
  <si>
    <t xml:space="preserve">Could have been part of the devcelopment work of the new S plex assays </t>
  </si>
  <si>
    <t>Kivisäkk P, Carlyle BC, Sweeney T, Trombetta BA, LaCasse K, El-Mufti L, Tuncali I, Chibnik LB, Das S, Scherzer CR, Johnson KA, Dickerson BC, Gomez-Isla T, Blacker D, Oakley DH, Frosch MP, Hyman BT, Aghvanyan A, Bathala P, Campbell C, Sigal G, Stengelin M, Arnold SE.</t>
  </si>
  <si>
    <t>Front Neurol. 2023 Mar 2;14:1069411. doi: 10.3389/fneur.2023.1069411. eCollection 2023.</t>
  </si>
  <si>
    <t>Kivisäkk P</t>
  </si>
  <si>
    <t>PMC10018178</t>
  </si>
  <si>
    <t>10.3389/fneur.2023.1069411</t>
  </si>
  <si>
    <t>MSD</t>
  </si>
  <si>
    <t>Effects of Dupilumab on Itch-Related Events in Atopic Dermatitis: Implications for Assessing Treatment Efficacy in Clinical Practice</t>
  </si>
  <si>
    <t>IL-4, IL-13, IL-22, IL-31</t>
  </si>
  <si>
    <t>Single Plex IL-4, IL-13</t>
  </si>
  <si>
    <t>Used alongside 2 other ELISA kirs, Quantikine and DueSert (both from R&amp;D systems) These results suggest that serum TARC, IL-22, and IgE levels and epidermal thickness are itch-related events associated with dupilumab treatment and that serum IL-31 levels may reflect the degree of IENF density in AD patients. Therefore, dynamic changes may be used to assess the efficacy of dupilumab treatment to treat itching and inflammation in patients with AD.</t>
  </si>
  <si>
    <t>Kishi R, Toyama S, Tominaga M, Kamata Y, Komiya E, Kaneko T, Suga Y, Takamori K.</t>
  </si>
  <si>
    <t>Cells. 2023 Jan 5;12(2):239. doi: 10.3390/cells12020239.</t>
  </si>
  <si>
    <t>Kishi R</t>
  </si>
  <si>
    <t>Cells</t>
  </si>
  <si>
    <t>PMC9857157</t>
  </si>
  <si>
    <t>10.3390/cells12020239</t>
  </si>
  <si>
    <t xml:space="preserve">Thermo (Pro Quantum) </t>
  </si>
  <si>
    <t>Metformin increases natural killer cell functions in head and neck squamous cell carcinoma through CXCL1 inhibition</t>
  </si>
  <si>
    <t>Autoantigenic properties of the aminoacyl tRNA synthetase family in idiopathic inflammatory myopathies</t>
  </si>
  <si>
    <t>Applying single-cell highly multiplexed secretome proteomics to characterize immunotherapeutic products and predict clinical responses</t>
  </si>
  <si>
    <t>Oncology, Immunology</t>
  </si>
  <si>
    <t>Autoantibodies against four-and-a-half-LIM domain 1 (FHL1) in inflammatory myopathies: results from an Australian single-centre cohort</t>
  </si>
  <si>
    <t>Effector Memory-Expressing CD45RA (TEMRA) CD8(+) T Cells from Kidney Transplant Recipients Exhibit Enhanced Purinergic P2X4 Receptor-Dependent Proinflammatory and Migratory Responses</t>
  </si>
  <si>
    <t>CXCL8/CXCR2 signaling mediates bone marrow fibrosis and represents a therapeutic target in myelofibrosis</t>
  </si>
  <si>
    <t>MIP1a, IL-9, IL-8, IL-10, IL-6,</t>
  </si>
  <si>
    <t xml:space="preserve">Sectrtome Chip, assay not mentioned </t>
  </si>
  <si>
    <t xml:space="preserve">Used alognside R&amp;D system ELISAs, Abcam ELISA. 30k individual cells; The cells were analyzed on an IsoLight machine (IsoPlexis, Baltimore) for 24 hours to evaluate single cell multiplex cytokine secretion. Metformin treatment significantly increased the cytotoxic molecule perforin (p=0.00009) (figure 3C). Inflammatory cytokines MIP1-α (p=0.04), and IL-9 (p=0.02) were significantly reduced, while IL-8, IL-10, and IL-6 trended towards a decrease in response to metformin (p=0.3, 0.1, 0.1, respectively) (figure 3C). IL-6, IL-8, IL-9 and IL-10 increase STAT3 phosphorylation, and are considered tumorigenic in the TME.26
</t>
  </si>
  <si>
    <t>Crist M, Yaniv B, Palackdharry S, Lehn MA, Medvedovic M, Stone T, Gulati S, Karivedu V, Borchers M, Fuhrman B, Crago A, Curry J, Martinez-Outschoorn U, Takiar V, Wise-Draper TM.</t>
  </si>
  <si>
    <t>J Immunother Cancer. 2022 Nov;10(11):e005632. doi: 10.1136/jitc-2022-005632.</t>
  </si>
  <si>
    <t>Crist M</t>
  </si>
  <si>
    <t>J Immunother Cancer</t>
  </si>
  <si>
    <t>PMC9639146</t>
  </si>
  <si>
    <t>10.1136/jitc-2022-005632</t>
  </si>
  <si>
    <t xml:space="preserve">Isoplexis authored but it does not appear their technology was actually used </t>
  </si>
  <si>
    <t>Preger C, Notarnicola A, Hellström C, Wigren E, Fernandes-Cerqueira C, Kvarnström M, Wahren-Herlenius M, Idborg H, Lundberg IE, Persson H, Gräslund S, Jakobsson PJ.</t>
  </si>
  <si>
    <t>J Autoimmun. 2023 Jan;134:102951. doi: 10.1016/j.jaut.2022.102951. Epub 2022 Dec 2.</t>
  </si>
  <si>
    <t>Preger C</t>
  </si>
  <si>
    <t>J Autoimmun</t>
  </si>
  <si>
    <t>10.1016/j.jaut.2022.102951</t>
  </si>
  <si>
    <t xml:space="preserve">Little information given </t>
  </si>
  <si>
    <t>Ni W, Han EX, Cyr M, Mackay S, Zhou J.</t>
  </si>
  <si>
    <t>Proteomics. 2023 Feb 14:e2200242. doi: 10.1002/pmic.202200242. Online ahead of print.</t>
  </si>
  <si>
    <t>Ni W</t>
  </si>
  <si>
    <t>Proteomics</t>
  </si>
  <si>
    <t>10.1002/pmic.202200242</t>
  </si>
  <si>
    <t>Galindo-Feria AS, Horuluoglu B, Day J, Fernandes-Cerqueira C, Wigren E, Gräslund S, Proudman S, Lundberg IE, Limaye V.</t>
  </si>
  <si>
    <t>Rheumatology (Oxford). 2022 Oct 6;61(10):4145-4154. doi: 10.1093/rheumatology/keac003.</t>
  </si>
  <si>
    <t>Galindo-Feria AS</t>
  </si>
  <si>
    <t>PMC9536793</t>
  </si>
  <si>
    <t>10.1093/rheumatology/keac003</t>
  </si>
  <si>
    <t>CXCL12</t>
  </si>
  <si>
    <t>Little information on how the platform was used</t>
  </si>
  <si>
    <t>Doan Ngoc TM, Tilly G, Danger R, Bonizec O, Masset C, Guérif P, Bruneau S, Glemain A, Harb J, Cadoux M, Vivet A, Mai HL, Garcia A, Laplaud D, Liblau R, Giral M, Blandin S, Feyeux M, Dubreuil L, Pecqueur C, Cyr M, Ni W, Brouard S, Degauque N; on behalf on the DIVAT Consortium; DIVAT Consortium.</t>
  </si>
  <si>
    <t>J Am Soc Nephrol. 2022 Dec;33(12):2211-2231. doi: 10.1681/ASN.2022030286. Epub 2022 Oct 24.</t>
  </si>
  <si>
    <t>Doan Ngoc TM</t>
  </si>
  <si>
    <t>J Am Soc Nephrol</t>
  </si>
  <si>
    <t>PMC9731633</t>
  </si>
  <si>
    <t>10.1681/ASN.2022030286</t>
  </si>
  <si>
    <t>Dunbar A, Kim D, Lu M, Farina M, Bowman RL, Yang JL, Park YC, Karzai A, Xiao W, Zaroogian Z, O'Connor K, Mowla S, Gobbo F, Verachi P, Martelli F, Sarli G, Xia L, Elmansy N, Kleppe M, Chen Z, Xiao Y, McGovern EM, Snyder J, Krishnan A, Hill CE, Cordner KB, Zouak A, Salama ME, Yohai J, Tucker E, Chen JJ, Zhou J, McConnell TS, Migliaccio AR, Koche RP, Rampal RK, Fan R, Levine RL, Hoffman R.</t>
  </si>
  <si>
    <t>Blood. 2023 Feb 17:blood.2022015418. doi: 10.1182/blood.2022015418. Online ahead of print.</t>
  </si>
  <si>
    <t>Dunbar A</t>
  </si>
  <si>
    <t>Blood</t>
  </si>
  <si>
    <t>10.1182/blood.2022015418</t>
  </si>
  <si>
    <t>IsoPlexis</t>
  </si>
  <si>
    <t>Methods Development (Neurology)</t>
  </si>
  <si>
    <t>Nfl</t>
  </si>
  <si>
    <t xml:space="preserve">Bio-Techne (Ella) </t>
  </si>
  <si>
    <t>Transgenic Expression of IL15 Retains CD123-Redirected T Cells in a Less Differentiated State Resulting in Improved Anti-AML Activity in Autologous AML PDX Models</t>
  </si>
  <si>
    <t>Oncology Discovery</t>
  </si>
  <si>
    <t xml:space="preserve"> granzyme B, TNFα, IFN-γ, MIP1α, perforin, TNFβ; stimulatory: GM-CSF, IL2, IL5, IL7, IL8, IL9, IL12, IL15, IL21; chemoattractant: CCL11, IP-10, MIP-1β, RANTES; regulatory: IL4, IL10, IL13, IL22, sCD137, sCD40L, TGFβ1; and inflammatory: IL6, IL17A, IL17F, MCP-1, MCP-4, IL1β</t>
  </si>
  <si>
    <t>Cytokine 32 Plex</t>
  </si>
  <si>
    <t>Mu-Mosley H, Ostermann L, Muftuoglu M, Vaidya A, Bonifant CL, Velasquez MP, Gottschalk S, Andreeff M.</t>
  </si>
  <si>
    <t>Front Immunol. 2022 May 9;13:880108. doi: 10.3389/fimmu.2022.880108. eCollection 2022.</t>
  </si>
  <si>
    <t>Mu-Mosley H</t>
  </si>
  <si>
    <t>PMC9124830</t>
  </si>
  <si>
    <t>10.3389/fimmu.2022.880108</t>
  </si>
  <si>
    <t xml:space="preserve">Done alongside Mass cytometry, flow cytometry, cytokine secretion, cytotoxicity assay. 10^ cells measured </t>
  </si>
  <si>
    <t>Isoplexis</t>
  </si>
  <si>
    <t>Q2 '22</t>
  </si>
  <si>
    <t>Inflammatory Biomarkers of Traumatic Brain Injury</t>
  </si>
  <si>
    <t>TNF-α, IL-2, IL-4, IL-6, IL-8, IL-10, IL-12p-70, IL-13 and interferon (IFN)-γ</t>
  </si>
  <si>
    <t>V-PLEX Proinflammatory Panel 1</t>
  </si>
  <si>
    <t>Used along Ella (caspase-1, ASC, IL-18); looking for TBI markers in blood. nflammasome proteins and inflammatory cytokines were elevated after TBI, and the apoptosis-associated speck like protein containing a caspase recruitment domain (ASC), interleukin (IL)-18, tumor necrosis factor (TNF)-α, IL-4 and IL-6 were the most reliable biomarkers.</t>
  </si>
  <si>
    <t>Johnson NH, Hadad R, Taylor RR, Rodríguez Pilar J, Salazar O, Llompart-Pou JA, Dietrich WD, Keane RW, Pérez-Bárcena J, de Rivero Vaccari JP.</t>
  </si>
  <si>
    <t>Pharmaceuticals (Basel). 2022 May 25;15(6):660. doi: 10.3390/ph15060660.</t>
  </si>
  <si>
    <t>Johnson NH</t>
  </si>
  <si>
    <t>Pharmaceuticals (Basel)</t>
  </si>
  <si>
    <t>PMC9227014</t>
  </si>
  <si>
    <t>10.3390/ph15060660</t>
  </si>
  <si>
    <t>Diagnostic accuracy of the ultrasensitive S-PLEX SARS-CoV-2 N electrochemiluminescence immunoassay</t>
  </si>
  <si>
    <t>Review but icould be interesting to note</t>
  </si>
  <si>
    <t>Lippi G, Henry BM, Montagnana M, Plebani M.</t>
  </si>
  <si>
    <t>Clin Chem Lab Med. 2022 Mar 14;60(6):e121-e124. doi: 10.1515/cclm-2022-0155. Print 2022 May 25.</t>
  </si>
  <si>
    <t>Lippi G</t>
  </si>
  <si>
    <t>10.1515/cclm-2022-0155</t>
  </si>
  <si>
    <t>Emerging and legacy PFAS and cytokine homeostasis in women of childbearing age</t>
  </si>
  <si>
    <t>Immunology (response to PFAS)</t>
  </si>
  <si>
    <t>IL-1β, IL-2, IL-8, IL-12, IL-13, TNF-α and IFN-γ,IL-4, IL-6 and IL-10, IL-17 and IL-22, TGFB</t>
  </si>
  <si>
    <t>U plex (TH1, TH2 and TH17, + 1 V plex as a single TGFb</t>
  </si>
  <si>
    <t>The BKMR model showed a significantly positive association of PFAS mixture with TGF-β and a negative association with IL-10. Overall, these results indicate that both legacy and emerging PFAS may affect the homeostasis of cytokines.</t>
  </si>
  <si>
    <t>Nian M, Zhou W, Feng Y, Wang Y, Chen Q, Zhang J.</t>
  </si>
  <si>
    <t>Sci Rep. 2022 Apr 20;12(1):6517. doi: 10.1038/s41598-022-10501-8.</t>
  </si>
  <si>
    <t>Nian M</t>
  </si>
  <si>
    <t>PMC9021217</t>
  </si>
  <si>
    <t>10.1038/s41598-022-10501-8</t>
  </si>
  <si>
    <t xml:space="preserve">Method development (freeze dried blood) </t>
  </si>
  <si>
    <t>SARS COV IgG</t>
  </si>
  <si>
    <t xml:space="preserve">SARS-COV-2 </t>
  </si>
  <si>
    <t>Ultrasensitive assay for saliva-based SARS-CoV-2 antigen detection</t>
  </si>
  <si>
    <t>Method Development (COVID Assay Validation)</t>
  </si>
  <si>
    <t xml:space="preserve">N-Antigen </t>
  </si>
  <si>
    <t>S-Plex SARS COV</t>
  </si>
  <si>
    <t>92% sens and 100% specificity was established and results were comapred to PCR.</t>
  </si>
  <si>
    <t>Ren A, Sohaei D, Ulndreaj A, Pons-Belda OD, Fernandez-Uriarte A, Zacharioudakis I, Sigal GB, Stengelin M, Mathew A, Campbell C, Padmanabhan N, Romero D, Joe J, Soosaipillai A, Kulasingam V, Mazzulli T, Li XA, McGeer A, Diamandis EP, Prassas I.</t>
  </si>
  <si>
    <t>Clin Chem Lab Med. 2022 Feb 16;60(5):771-777. doi: 10.1515/cclm-2021-1142. Print 2022 Apr 26.</t>
  </si>
  <si>
    <t>Ren A</t>
  </si>
  <si>
    <t>10.1515/cclm-2021-1142</t>
  </si>
  <si>
    <t>Quantitative serology for SARS-CoV-2 using self-collected saliva and finger-stick blood</t>
  </si>
  <si>
    <t xml:space="preserve">N-antigen, RBD, Spike from variants + IgG, IgA and IgM </t>
  </si>
  <si>
    <t xml:space="preserve">Vplex SARS-COV panel 2, </t>
  </si>
  <si>
    <t>Campbell C, Padmanabhan N, Romero D, Joe J, Gebremeskel M, Manjula N, Wohlstadter N, Wohlstadter R, Goodwin P, Quintero L, Debad J, Sigal G, Wohlstadter J.</t>
  </si>
  <si>
    <t>Sci Rep. 2022 Apr 21;12(1):6560. doi: 10.1038/s41598-022-10484-6.</t>
  </si>
  <si>
    <t>PMC9021827</t>
  </si>
  <si>
    <t>10.1038/s41598-022-10484-6</t>
  </si>
  <si>
    <t>Glucose Homeostasis in Relation to Neutrophil Mobilization in Smokers with COPD</t>
  </si>
  <si>
    <t>IL-6, IL-8, INF-γ and CXCL10</t>
  </si>
  <si>
    <t>MSD used for some cytokines but R&amp;D systems was used for other interleukins and cobas was used for CRP, other vendors were used for toher analytes as well. 
 In smokers with COPD, altered glucose homeostasis is associated with local and systemic signs of increased neutrophil mobilization, but not with local proteinases. This suggests that other specific aspects of neutrophil mobilization constitute pathogenic factors that affect glucose homeostasis in COPD.</t>
  </si>
  <si>
    <t>Pournaras N, Andersson A, Kovach MA, Padra M, Che KF, Brundin B, Yoshihara S, Bozinovski S, Lindén SK, Jansson PA, Sköld MC, Qvarfordt I, Lindén A.</t>
  </si>
  <si>
    <t>Int J Chron Obstruct Pulmon Dis. 2022 May 20;17:1179-1194. doi: 10.2147/COPD.S353753. eCollection 2022.</t>
  </si>
  <si>
    <t>Pournaras N</t>
  </si>
  <si>
    <t>Int J Chron Obstruct Pulmon Dis</t>
  </si>
  <si>
    <t>PMC9129100</t>
  </si>
  <si>
    <t>10.2147/COPD.S353753</t>
  </si>
  <si>
    <t>Quantification of prefusion conformation for HIV vaccine using size-exclusion chromatography</t>
  </si>
  <si>
    <t>Methods Dev (HIV vacc development)</t>
  </si>
  <si>
    <t>Used to validate new method to measure the perfusion conformation for HIV vaccines</t>
  </si>
  <si>
    <t>Gollapudi D, Shadrick W, Yang Y, Gowetski DB, Gall J, Paula Lei Q.</t>
  </si>
  <si>
    <t>J Chromatogr B Analyt Technol Biomed Life Sci. 2022 Jun 30;1201-1202:123296. doi: 10.1016/j.jchromb.2022.123296. Epub 2022 May 13.</t>
  </si>
  <si>
    <t>Gollapudi D</t>
  </si>
  <si>
    <t>J Chromatogr B Analyt Technol Biomed Life Sci</t>
  </si>
  <si>
    <t>10.1016/j.jchromb.2022.123296</t>
  </si>
  <si>
    <t>Patients with severe COVID-19 do not have elevated autoantibodies against common diagnostic autoantigens</t>
  </si>
  <si>
    <t>Infectious Disease (COVID)</t>
  </si>
  <si>
    <t xml:space="preserve">Various autoimmune markers </t>
  </si>
  <si>
    <t xml:space="preserve">An additional 9 markers were measured via classical serology methods. Nothing significant was found. </t>
  </si>
  <si>
    <t>Ulndreaj A, Wang M, Misaghian S, Paone L, Sigal GB, Stengelin M, Campbell C, Van Nynatten LR, Soosaipillai A, Ghorbani A, Mathew A, Fraser DD, Diamandis EP, Prassas I.</t>
  </si>
  <si>
    <t>Clin Chem Lab Med. 2022 Apr 28;60(7):1116-1123. doi: 10.1515/cclm-2022-0239. Print 2022 Jun 27.</t>
  </si>
  <si>
    <t>PMC9128368</t>
  </si>
  <si>
    <t>10.1515/cclm-2022-0239</t>
  </si>
  <si>
    <t>Infection with HIV-1 subtype D among acutely infected Ugandans is associated with higher median concentration of cytokines compared to subtype A</t>
  </si>
  <si>
    <t xml:space="preserve">Infectious Disease (HIV, pop study) </t>
  </si>
  <si>
    <t>IL-5, IL-16, IL-1α, IL-7, IL-17A, CCL11 (Eotaxin-1), CXCL10 (IP-10), CCL13 (MCP-4) and VEGF-D, IL-12/23p40, bFGF</t>
  </si>
  <si>
    <t xml:space="preserve">V plex, angiogenesis (6), chemokine (13). Cytokine (9), Pro-inflammatory panel (10), vascular injury (4) </t>
  </si>
  <si>
    <t xml:space="preserve">IV-1 subtype D (pol) infections exhibited significantly higher median plasma concentrations of IL-5, IL-16, IL-1α, IL-7, IL-17A, CCL11 (Eotaxin-1), CXCL10 (IP-10), CCL13 (MCP-4) and VEGF-D compared to subtype A1 (pol) infections. We also found that IL-12/23p40 and IL-1α were associated with faster CD4+T cell count decline, while bFGF was associated with maintenance of CD4+ counts above 350 cells/microliter.
</t>
  </si>
  <si>
    <t>Kapaata A, Balinda SN, Hare J, Leonova O, Kikaire B, Egesa M, Lubyayi L, Macharia GN, Kamali A, Gilmour J, Bagaya B, Salazar-Gonzalez JF, Kaleebu P.</t>
  </si>
  <si>
    <t>IJID Reg. 2022 Mar 10;3:89-95. doi: 10.1016/j.ijregi.2022.03.007. eCollection 2022 Jun.</t>
  </si>
  <si>
    <t>Kapaata A</t>
  </si>
  <si>
    <t>IJID Reg</t>
  </si>
  <si>
    <t>PMC9205166</t>
  </si>
  <si>
    <t>10.1016/j.ijregi.2022.03.007</t>
  </si>
  <si>
    <t>Development of a microplate duplex immunoassay to simplify detection of growth hormone doping: Proof of concept</t>
  </si>
  <si>
    <t xml:space="preserve">Methods Dev (growth hormone doping) </t>
  </si>
  <si>
    <t>Drug Test Anal. 2022 Apr;14(4):724-732. doi: 10.1002/dta.3197. Epub 2021 Nov 21.</t>
  </si>
  <si>
    <t>Marchand A</t>
  </si>
  <si>
    <t>Drug Test Anal</t>
  </si>
  <si>
    <t>10.1002/dta.3197</t>
  </si>
  <si>
    <t>Higher Proinflammatory Cytokines Are Associated With Increased Antibody Titer After a Third Dose of SARS-CoV-2 Vaccine in Solid Organ Transplant Recipients</t>
  </si>
  <si>
    <t>Infectious Disease, Immunology</t>
  </si>
  <si>
    <t>COVID IgG autoantibody, interferon [IFN]-α2a, IFN-γ, IFN-λ, interleukin [IL]-10, IL-15, IL-16, IL-17A, IL-18, IL-1RA, IL-21, IL-22, IL-2Ra, IL-6, IL-7, IL-8, interferon-γ-inducible protein 10 [IP-10], monocyte chemoattractant protein-1 [MCP-1], macrophage inflammatory protein 1α [MIP-1α], tumor necrosis factor [TNF]-α, vascular endothelial growth factor [VEGF]</t>
  </si>
  <si>
    <t>V-PLEX COVID-19 Respiratory Panel 3, Custom Assay</t>
  </si>
  <si>
    <t>There was no significant difference in baseline cytokine levels between SOTRs with high versus low-titer antibodies after 2 doses of vaccine. However, as compared with poor antibody responders, SOTRs who went on to develop a high-titer antibody response to a third dose of vaccine had significantly higher prethird dose levels of several innate immune cytokines including IL-17, IL-2Ra, IL-6, IP-10, MIP-1α, and TNF-α (false discovery rates &lt; 0.05).</t>
  </si>
  <si>
    <t>Karaba AH, Zhu X, Benner SE, Akinde O, Eby Y, Wang KH, Saraf S, Garonzik-Wang JM, Klein SL, Bailey JR, Cox AL, Blankson JN, Durand CM, Segev DL, Werbel WA, Tobian AAR.</t>
  </si>
  <si>
    <t>Transplantation. 2022 Apr 1;106(4):835-841. doi: 10.1097/TP.0000000000004057.</t>
  </si>
  <si>
    <t>Karaba AH</t>
  </si>
  <si>
    <t>Transplantation</t>
  </si>
  <si>
    <t>PMC8942602</t>
  </si>
  <si>
    <t>NIHMS1765339</t>
  </si>
  <si>
    <t>10.1097/TP.0000000000004057</t>
  </si>
  <si>
    <t>Viral Antigen and Inflammatory Biomarkers in Cerebrospinal Fluid in Patients With COVID-19 Infection and Neurologic Symptoms Compared With Control Participants Without Infection or Neurologic Symptoms</t>
  </si>
  <si>
    <t xml:space="preserve">COVID-S and N antigens </t>
  </si>
  <si>
    <t xml:space="preserve">Looking at CSF antigens and how they impact CNS inflammation. It was found that antigens were found in the CSF of people with CNS symptoms. 
 In this study of Swedish adults with COVID-19 infection and neurologic symptoms, compared with control participants, viral antigen was detectable in CSF and correlated with CNS immune activation. Patients with COVID-19 had signs of neuroaxonal injury, and neurosymptomatic patients had a more marked inflammatory profile that could not be attributed to differences in COVID-19 severity. These results highlight the clinical relevance of neurologic symptoms and suggest that viral components can contribute to CNS immune responses without direct viral invasion.
</t>
  </si>
  <si>
    <t>Edén A, Grahn A, Bremell D, Aghvanyan A, Bathala P, Fuchs D, Gostner J, Hagberg L, Kanberg N, Kanjananimmanont S, Lindh M, Misaghian S, Nilsson S, Schöll M, Sigal G, Stentoft E, Studahl M, Yilmaz A, Wang M, Stengelin M, Zetterberg H, Gisslén M.</t>
  </si>
  <si>
    <t>JAMA Netw Open. 2022 May 2;5(5):e2213253. doi: 10.1001/jamanetworkopen.2022.13253.</t>
  </si>
  <si>
    <t>Edén A</t>
  </si>
  <si>
    <t>JAMA Netw Open</t>
  </si>
  <si>
    <t>PMC9127556</t>
  </si>
  <si>
    <t>10.1001/jamanetworkopen.2022.13253</t>
  </si>
  <si>
    <t>Technical Performance Evaluation of Olink Proximity Extension Assay for Blood-Based Biomarker Discovery in Longitudinal Studies of Alzheimer's Disease</t>
  </si>
  <si>
    <t xml:space="preserve">Cardiometabolic, cardiovascular III, Immuno-oncology, Inflammation, Neuro Exploratory </t>
  </si>
  <si>
    <t xml:space="preserve">Validating Olink platform for Alzheimers, high CVs were associated with lower NPX values, showing the platform performs better in higher abundant samples </t>
  </si>
  <si>
    <t>Carlyle BC, Kitchen RR, Mattingly Z, Celia AM, Trombetta BA, Das S, Hyman BT, Kivisäkk P, Arnold SE.</t>
  </si>
  <si>
    <t>Front Neurol. 2022 Jun 6;13:889647. doi: 10.3389/fneur.2022.889647. eCollection 2022.</t>
  </si>
  <si>
    <t>Carlyle BC</t>
  </si>
  <si>
    <t>PMC9207419</t>
  </si>
  <si>
    <t>10.3389/fneur.2022.889647</t>
  </si>
  <si>
    <t>Novel Inflammatory Biomarkers in Thyroid Eye Disease</t>
  </si>
  <si>
    <t>IL-6,CSF-1, Flt3L, FGF-21</t>
  </si>
  <si>
    <t>Identifying patients with thyroid eye disease in graves disease patients</t>
  </si>
  <si>
    <t>Ueland HO, Ueland GÅ, Løvås K, Breivik L, Thrane AS, Meling Stokland AE, Rodahl E, Husebye ES.</t>
  </si>
  <si>
    <t>Eur J Endocrinol. 2022 Jun 1:EJE-22-0247. doi: 10.1530/EJE-22-0247. Online ahead of print.</t>
  </si>
  <si>
    <t>Ueland HO</t>
  </si>
  <si>
    <t>Eur J Endocrinol</t>
  </si>
  <si>
    <t>10.1530/EJE-22-0247</t>
  </si>
  <si>
    <t>Validation of disease-specific biomarkers for the early detection of bronchopulmonary dysplasia</t>
  </si>
  <si>
    <t xml:space="preserve">Respitory Disease </t>
  </si>
  <si>
    <t>BCAM, SIGLEC-14, ANGPTL-3</t>
  </si>
  <si>
    <t xml:space="preserve">Proteins could be used for clinical decision making </t>
  </si>
  <si>
    <t>Kindt ASD, Förster KM, Cochius-den Otter SCM, Flemmer AW, Hauck SM, Flatley A, Kamphuis J, Karrasch S, Behr J, Franz A, Härtel C, Krumsiek J, Tibboel D, Hilgendorff A.</t>
  </si>
  <si>
    <t>Pediatr Res. 2022 May 20. doi: 10.1038/s41390-022-02093-w. Online ahead of print.</t>
  </si>
  <si>
    <t>Kindt ASD</t>
  </si>
  <si>
    <t>Pediatr Res</t>
  </si>
  <si>
    <t>10.1038/s41390-022-02093-w</t>
  </si>
  <si>
    <t>Plasma protein biomarkers for the detection of pancreatic neuroendocrine tumors and differentiation from small intestinal neuroendocrine tumors</t>
  </si>
  <si>
    <t>Oncology (early detection)</t>
  </si>
  <si>
    <t>GPNMB, transmembrane glycoprotein NMB; MAD.homolog.5, mothers against decapentaplegic homolog 5; CPE, carboxypeptidase E; LYN, tyrosine-protein kinase Lyn; IL6, interleukin-6; SPARC, SPARC; GPC1, glypican-1; S100A4, protein S100-A4; GZMH
CPE, carboxypeptidase E; MAD.homolog.5, mothers against decapentaplegic homolog 5; GPNMB, transmembrane glycoprotein NMB; LYN, tyrosine-protein kinase Lyn</t>
  </si>
  <si>
    <t>Oncology II</t>
  </si>
  <si>
    <t xml:space="preserve">Early cancer (neuroendocrine neoplasms) detection paper, using the oncology panel to discriminate patient cohorts and development / fitting of different algorithms </t>
  </si>
  <si>
    <t>Thiis-Evensen E, Kjellman M, Knigge U, Gronbaek H, Schalin-Jäntti C, Welin S, Sorbye H, Del Pilar Schneider M, Belusa R; Nordic NET Biomarker Group.</t>
  </si>
  <si>
    <t>J Neuroendocrinol. 2022 Jun 14:e13176. doi: 10.1111/jne.13176. Online ahead of print.</t>
  </si>
  <si>
    <t>Thiis-Evensen E</t>
  </si>
  <si>
    <t>J Neuroendocrinol</t>
  </si>
  <si>
    <t>10.1111/jne.13176</t>
  </si>
  <si>
    <t>Genome-wide association study for circulating FGF21 in patients with alcohol use disorder: Molecular links between the SNHG16 locus and catecholamine metabolism</t>
  </si>
  <si>
    <t>General Health</t>
  </si>
  <si>
    <t>The whole inflammation panel was used, however only 1 protein was of interest. FGF21 was found ot be associated with and imapcted by alcohol consumption</t>
  </si>
  <si>
    <t>Ho MF, Zhang C, Moon I, Wei L, Coombes B, Biernacka J, Skime M, Choi DS, Frye M, Schmidt K, Gliske K, Braughton J, Ngo Q, Skillon C, Seppala M, Oesterle T, Karpyak V, Li H, Weinshilboum R.</t>
  </si>
  <si>
    <t>Mol Metab. 2022 Jun 22;63:101534. doi: 10.1016/j.molmet.2022.101534. Online ahead of print.</t>
  </si>
  <si>
    <t>Mol Metab</t>
  </si>
  <si>
    <t>PMC9270258</t>
  </si>
  <si>
    <t>10.1016/j.molmet.2022.101534</t>
  </si>
  <si>
    <t>Socioeconomic disparity in cardiovascular disease: Possible biological pathways based on a proteomic approach</t>
  </si>
  <si>
    <t>Cardiovascular Disease</t>
  </si>
  <si>
    <t>IL-6, GDF-15, RARRES2, LEP, vWF, REN, EGFR, CDO</t>
  </si>
  <si>
    <t xml:space="preserve">Socioeconomic status was associated with expression of CV linked proteins </t>
  </si>
  <si>
    <t>Shafi BH, Bøttcher M, Ejupi A, Jensen G, Osler M, Lange T, Prescott E.</t>
  </si>
  <si>
    <t>Atherosclerosis. 2022 Jul;352:62-68. doi: 10.1016/j.atherosclerosis.2022.05.020. Epub 2022 May 28.</t>
  </si>
  <si>
    <t>Shafi BH</t>
  </si>
  <si>
    <t>10.1016/j.atherosclerosis.2022.05.020</t>
  </si>
  <si>
    <t>A pilot study using proximity extension assay of cerebrospinal fluid and its extracellular vesicles identifies novel amyotrophic lateral sclerosis biomarker candidates</t>
  </si>
  <si>
    <t>Neuromuscular (ALS)</t>
  </si>
  <si>
    <t>TNFR2, Adhesion Necrosis Factor 2, Chitinase 1, myoglobin</t>
  </si>
  <si>
    <t>Cardiovascular III</t>
  </si>
  <si>
    <t xml:space="preserve">Extracellular Vesicle analysis using CSF to find biomarkers, as well as CSF in general.  EVS did not yield and significant findings. 4 proteins were able to differentiate 8 of the 9 cases from controls. </t>
  </si>
  <si>
    <t>Biochem Biophys Res Commun. 2022 Jul 12;613:166-173. doi: 10.1016/j.bbrc.2022.04.127. Epub 2022 Apr 30.</t>
  </si>
  <si>
    <t>Biochem Biophys Res Commun</t>
  </si>
  <si>
    <t>10.1016/j.bbrc.2022.04.127</t>
  </si>
  <si>
    <t>Corticotropin releasing hormone as an identifier of bronchiolitis obliterans syndrome</t>
  </si>
  <si>
    <t>Other (lung trasnplant)</t>
  </si>
  <si>
    <t>CRH, FERC2, IL-20RA, TNFB, and IGSF3 and an increase in MMP-9 and CTSL1</t>
  </si>
  <si>
    <t>cell regulation, inflammatory, immune response, organ damage, development, cardiovascular II &amp; III</t>
  </si>
  <si>
    <t xml:space="preserve">CRH came out as the most promising marker and showed value over all three grades of BOS </t>
  </si>
  <si>
    <t>Niroomand A, Ghaidan H, Hallgren O, Hansson L, Larsson H, Wagner D, Mackova M, Halloran K, Hyllén S, Lindstedt S.</t>
  </si>
  <si>
    <t>Sci Rep. 2022 May 19;12(1):8413. doi: 10.1038/s41598-022-12546-1.</t>
  </si>
  <si>
    <t>Niroomand A</t>
  </si>
  <si>
    <t>PMC9120482</t>
  </si>
  <si>
    <t>10.1038/s41598-022-12546-1</t>
  </si>
  <si>
    <t>Targeted Plasma Proteomics to Predict the Development of Carotid Plaques</t>
  </si>
  <si>
    <t xml:space="preserve">IgR2 (polymeric immunoglobulin receptor), chemokine (C-C motif) ligand 18, CA1 (carbonic anhydrase 1), Fc gamma receptor IIa and reduced MMP10 (matrix metallopeptidase 10), GT (gastrotropin), IL7R (interleukin 7 receptor) </t>
  </si>
  <si>
    <t xml:space="preserve">7 proteins may be predictive of athersclerosis </t>
  </si>
  <si>
    <t>Baragetti A, Mattavelli E, Grigore L, Pellegatta F, Magni P, Catapano AL.</t>
  </si>
  <si>
    <t>Stroke. 2022 Jul 1:101161STROKEAHA122038887. doi: 10.1161/STROKEAHA.122.038887. Online ahead of print.</t>
  </si>
  <si>
    <t>Baragetti A</t>
  </si>
  <si>
    <t>Stroke</t>
  </si>
  <si>
    <t>10.1161/STROKEAHA.122.038887</t>
  </si>
  <si>
    <t>Association between Incidental Pelvic Inflammation and Aggressive Prostate Cancer</t>
  </si>
  <si>
    <t>Oncology (prostate)</t>
  </si>
  <si>
    <t xml:space="preserve">STAT- IL6 pathway proteins </t>
  </si>
  <si>
    <t xml:space="preserve">Immuno-oncology </t>
  </si>
  <si>
    <t xml:space="preserve">proinflamatory proteins were identified as elevated </t>
  </si>
  <si>
    <t>Chakravarty D, Ratnani P, Huang L, Dovey Z, Sobotka S, Berryhill R, Merisaari H, Al Shaarani M, Rai R, Jambor I, Yadav KK, Mittan S, Parekh S, Kodysh J, Wagaskar V, Brody R, Cordon-Cardo C, Rykunov D, Reva B, Davicioni E, Wiklund P, Bhardwaj N, Nair SS, Tewari AK.</t>
  </si>
  <si>
    <t>Cancers (Basel). 2022 May 31;14(11):2734. doi: 10.3390/cancers14112734.</t>
  </si>
  <si>
    <t>Chakravarty D</t>
  </si>
  <si>
    <t>PMC9179284</t>
  </si>
  <si>
    <t>10.3390/cancers14112734</t>
  </si>
  <si>
    <t>Plasma biomarkers for prognosis of cognitive decline in patients with mild cognitive impairment</t>
  </si>
  <si>
    <t>IL-8, TIMP-4, MMP-7, TGF-a, IL-17a, FKBP-7, ST2, VSTM1, FGF-211,CD302, NOS3, ST1A1,</t>
  </si>
  <si>
    <t>Immuno-Oncology, Neuro-Exploratory, Cardiovascular III, Inflammation and Cardiometabolic</t>
  </si>
  <si>
    <t>n summary, our findings suggest that plasma biomarkers of inflammation and vascular injury are associated with cognitive decline. Developing a plasma biomarker profile could aid in prognostic deliberations and identify individuals at higher risk of dementia in clinical practice.</t>
  </si>
  <si>
    <t>Kivisäkk P, Magdamo C, Trombetta BA, Noori A, Kuo YKE, Chibnik LB, Carlyle BC, Serrano-Pozo A, Scherzer CR, Hyman BT, Das S, Arnold SE.</t>
  </si>
  <si>
    <t>Brain Commun. 2022 Jun 14;4(4):fcac155. doi: 10.1093/braincomms/fcac155. eCollection 2022.</t>
  </si>
  <si>
    <t>PMC9257670</t>
  </si>
  <si>
    <t>10.1093/braincomms/fcac155</t>
  </si>
  <si>
    <t>Proteomic and clinical biomarkers for acute mountain sickness in a longitudinal cohort</t>
  </si>
  <si>
    <t>Other (Altitude sickness)</t>
  </si>
  <si>
    <t xml:space="preserve">ADP ribosylation factor 6 (ARF6), Epstein-Barr virus induced 3 (EBI3), GC vitamin D binding protein (GC), immunoglobulin superfamily containing leucine rich repeat 2 (ISLR2), MYOC, neuropilin 2 (NRP2), RBKS, RET, TNF receptor-associated factor 2 (TRAF2), and WAP, follistatin/kazal, immunoglobulin, kunitz and netrin domain containing 1 (WFIKKN1) = diagnostics markers
phosphoenolpyruvate carboxykinase 1 (PCK1), phosphoglycerate dehydrogenase (PHGDH), ribokinase (RBKS), S100A12, solute carrier family 4 member 1 (SLC4A1), and secreted protein acidic and cysteine rich (SPARC) = predictive </t>
  </si>
  <si>
    <t>CARDIOMETABOLIC
CARDIOVASCULAR II
CARDIOVASCULAR III
CELL REGULATION
DEVELOPMENT
IMMUNE RESPONSE
INFLAMMATION
METABOLISM
NEURO EXPLORATORY
NEUROLOGY
ONCOLOGY II
ORGAN DAMAGE</t>
  </si>
  <si>
    <t>Olink used for discovery, MRM used for validation. Identified predicitve and diagnostics markers for AMS</t>
  </si>
  <si>
    <t>Yang J, Jia Z, Song X, Shi J, Wang X, Zhao X, He K.</t>
  </si>
  <si>
    <t>Commun Biol. 2022 Jun 6;5(1):548. doi: 10.1038/s42003-022-03514-6.</t>
  </si>
  <si>
    <t>Yang J</t>
  </si>
  <si>
    <t>Commun Biol</t>
  </si>
  <si>
    <t>PMC9170681</t>
  </si>
  <si>
    <t>10.1038/s42003-022-03514-6</t>
  </si>
  <si>
    <t>Peripheral Blood Inflammation Profile of Patients with Pulmonary Arterial Hypertension Using the High-Throughput Olink Proteomics Platform</t>
  </si>
  <si>
    <t>Mickael C, Kheyfets VO, Langouët-Astrié C, Lee MH, Sanders LA, Trentin CO, Sweatt AJ, Zamanian RT, Bull TM, Stenmark K, Graham BB, Tuder RM.</t>
  </si>
  <si>
    <t>Am J Respir Cell Mol Biol. 2022 May;66(5):580-581. doi: 10.1165/rcmb.2021-0369LE.</t>
  </si>
  <si>
    <t>Mickael C</t>
  </si>
  <si>
    <t>PMC9116364</t>
  </si>
  <si>
    <t>10.1165/rcmb.2021-0369LE</t>
  </si>
  <si>
    <t>Epigenetic mechanisms regulate sex-specific bias in disease manifestations</t>
  </si>
  <si>
    <t>Other (Sex based differences in disease manifisation)</t>
  </si>
  <si>
    <t>Chlamydas S, Markouli M, Strepkos D, Piperi C.</t>
  </si>
  <si>
    <t>J Mol Med (Berl). 2022 Jun 29:1-13. doi: 10.1007/s00109-022-02227-x. Online ahead of print.</t>
  </si>
  <si>
    <t>Chlamydas S</t>
  </si>
  <si>
    <t>J Mol Med (Berl)</t>
  </si>
  <si>
    <t>PMC9244100</t>
  </si>
  <si>
    <t>10.1007/s00109-022-02227-x</t>
  </si>
  <si>
    <t>Plasma protein biomarker profiling reveals major differences between acute leukaemia, lymphoma patients and controls</t>
  </si>
  <si>
    <t>ADAM-TS, vWF, ICAM-2, PAI, MMP-9, VIM, FURIN, SYND1, TXLNA, MPO, TR, GPNMB, TNFRSF10C, HGF, TNFRSF6B, LYN, VEGF-A, TNF-R1, Gal3, TLT-2. CXCL13,CTSD,  TNSF12B, OPN, S100A11, PODXL, TNFRSF14, ADAM 8, ANXA1, PFGD-SA</t>
  </si>
  <si>
    <t>Oncology II, CVD III</t>
  </si>
  <si>
    <t>Different proteins were better for different models e.g, leukaemia vs lymphoma, Lymphoma vs controls, leukaemia vs controls</t>
  </si>
  <si>
    <t>Abu Sabaa A, Shen Q, Lennmyr EB, Enblad AP, Gammelgård G, Molin D, Hein A, Freyhult E, Kamali-Moghaddam M, Höglund M, Enblad G, Eriksson A.</t>
  </si>
  <si>
    <t>N Biotechnol. 2022 Jun 29;71:21-29. doi: 10.1016/j.nbt.2022.06.005. Online ahead of print.</t>
  </si>
  <si>
    <t>Abu Sabaa A</t>
  </si>
  <si>
    <t>N Biotechnol</t>
  </si>
  <si>
    <t>10.1016/j.nbt.2022.06.005</t>
  </si>
  <si>
    <t>The Roles of Long-Term Hyperhomocysteinemia and Micronutrient Supplementation in the App(NL-G-F) Model of Alzheimer's Disease</t>
  </si>
  <si>
    <t>CCL3, ENO2, HGF, RGMA, TNR, GFRA1, IL1a, IL23R, TGFBR3, TNFRSF12A</t>
  </si>
  <si>
    <t xml:space="preserve">Mouse Explaratory </t>
  </si>
  <si>
    <t>Blood and CSF mouse samples, AB42 was done with an ELISA, not Quanterix.</t>
  </si>
  <si>
    <t>Nieraad H, de Bruin N, Arne O, Hofmann MCJ, Pannwitz N, Resch E, Luckhardt S, Schneider AK, Trautmann S, Schreiber Y, Gurke R, Parnham MJ, Till U, Geisslinger G.</t>
  </si>
  <si>
    <t>Front Aging Neurosci. 2022 Apr 26;14:876826. doi: 10.3389/fnagi.2022.876826. eCollection 2022.</t>
  </si>
  <si>
    <t>Nieraad H</t>
  </si>
  <si>
    <t>PMC9094364</t>
  </si>
  <si>
    <t>10.3389/fnagi.2022.876826</t>
  </si>
  <si>
    <t>Genetic Landscape of the ACE2 Coronavirus Receptor</t>
  </si>
  <si>
    <t>ACE2</t>
  </si>
  <si>
    <t>GWAS + SCALLOP analysis of genomic factors and ACE2. Genomic variations were associated with cardiovascular disease, 10 loci indentified and X linked</t>
  </si>
  <si>
    <t>Yang Z, Macdonald-Dunlop E, Chen J, Zhai R, Li T, Richmond A, Klarić L, Pirastu N, Ning Z, Zheng C, Wang Y, Huang T, He Y, Guo H, Ying K, Gustafsson S, Prins B, Ramisch A, Dermitzakis ET, Png G, Eriksson N, Haessler J, Hu X, Zanetti D, Boutin T, Hwang SJ, Wheeler E, Pietzner M, Raffield LM, Kalnapenkis A, Peters JE, Viñuela A, Gilly A, Elmståhl S, Dedoussis G, Petrie JR, Polašek O, Folkersen L, Chen Y, Yao C, Võsa U, Pairo-Castineira E, Clohisey S, Bretherick AD, Rawlik K; GenOMICC Consortium†; IMI-DIRECT Consortium†, Esko T, Enroth S, Johansson Å, Gyllensten U, Langenberg C, Levy D, Hayward C, Assimes TL, Kooperberg C, Manichaikul AW, Siegbahn A, Wallentin L, Lind L, Zeggini E, Schwenk JM, Butterworth AS, Michaëlsson K, Pawitan Y, Joshi PK, Baillie JK, Mälarstig A, Reiner AP, Wilson JF, Shen X.</t>
  </si>
  <si>
    <t>Circulation. 2022 May 3;145(18):1398-1411. doi: 10.1161/CIRCULATIONAHA.121.057888. Epub 2022 Apr 7.</t>
  </si>
  <si>
    <t>Yang Z</t>
  </si>
  <si>
    <t>Circulation</t>
  </si>
  <si>
    <t>PMC9047645</t>
  </si>
  <si>
    <t>10.1161/CIRCULATIONAHA.121.057888</t>
  </si>
  <si>
    <t>Potential of Inflammatory Protein Signatures for Enhanced Selection of People for Lung Cancer Screening</t>
  </si>
  <si>
    <t>CDCP1, CCL11, IL12B</t>
  </si>
  <si>
    <t xml:space="preserve">Protein screening of inflammatory proteins could help with lung cancer screening </t>
  </si>
  <si>
    <t>Bhardwaj M, Schöttker B, Holleczek B, Benner A, Schrotz-King P, Brenner H.</t>
  </si>
  <si>
    <t>Cancers (Basel). 2022 Apr 26;14(9):2146. doi: 10.3390/cancers14092146.</t>
  </si>
  <si>
    <t>Bhardwaj M</t>
  </si>
  <si>
    <t>PMC9103423</t>
  </si>
  <si>
    <t>10.3390/cancers14092146</t>
  </si>
  <si>
    <t>Long-Term Dietary Patterns Are Reflected in the Plasma Inflammatory Proteome of Patients with Inflammatory Bowel Disease</t>
  </si>
  <si>
    <t>Immunology ( inflammatory bowel disease)</t>
  </si>
  <si>
    <t>FXR-FGF-19 pathway and CCL11</t>
  </si>
  <si>
    <t xml:space="preserve">Found inflammatory proteins to be diet dependent </t>
  </si>
  <si>
    <t>Bourgonje AR, Bolte LA, Vranckx LLC, Spekhorst LM, Gacesa R, Hu S, van Dullemen HM, Visschedijk MC, Festen EAM, Samsom JN, Dijkstra G, Weersma RK, Campmans-Kuijpers MJE.</t>
  </si>
  <si>
    <t>Nutrients. 2022 Jun 17;14(12):2522. doi: 10.3390/nu14122522.</t>
  </si>
  <si>
    <t>Bourgonje AR</t>
  </si>
  <si>
    <t>PMC9228369</t>
  </si>
  <si>
    <t>10.3390/nu14122522</t>
  </si>
  <si>
    <t>Stability and reproducibility of proteomic profiles in epidemiological studies: comparing the Olink and SOMAscan platforms</t>
  </si>
  <si>
    <t>Methods</t>
  </si>
  <si>
    <t>Explore</t>
  </si>
  <si>
    <t>Soma vs Olink comparison. When comparing samples processed immediately, 24-h, and 48-h later, 55% of assays had an ICC/r ≥ 0.75 and 87% had an ICC/r ≥ 0.40 in Olink compared to 44% with an ICC/r ≥ 0.75 and 72% with an ICC/r ≥ 0.40 in SOMAscan7K. For both platforms, &gt;90% of the assays were stable (ICC/r ≥ 0.40) in samples collected 1-year apart. Among 817 proteins measured with both platforms, Spearman's correlations were high (r &gt; 0.75) for 14.7% and poor (r &lt; 0.40) for 44.8% of proteins. High-throughput proteomics profiling demonstrated reproducibility in archived plasma samples and stability after delayed processing in epidemiological studies, yet correlations between proteins measured with the Olink and SOMAscan7K platforms were highly variable.</t>
  </si>
  <si>
    <t>Haslam DE, Li J, Dillon ST, Gu X, Cao Y, Zeleznik OA, Sasamoto N, Zhang X, Eliassen AH, Liang L, Stampfer MJ, Mora S, Chen ZZ, Terry KL, Gerszten RE, Hu FB, Chan AT, Libermann TA, Bhupathiraju SN.</t>
  </si>
  <si>
    <t>Proteomics. 2022 Jul;22(13-14):e2100170. doi: 10.1002/pmic.202100170. Epub 2022 May 31.</t>
  </si>
  <si>
    <t>Haslam DE</t>
  </si>
  <si>
    <t>10.1002/pmic.202100170</t>
  </si>
  <si>
    <t>Sjögren's and non-Sjögren's sicca share a similar symptom burden but with a distinct symptom-associated proteomic signature</t>
  </si>
  <si>
    <t>Immunology (Autoimmune disease)</t>
  </si>
  <si>
    <t>Cardiovascular II, Inflammation</t>
  </si>
  <si>
    <t xml:space="preserve">Proteins associated with SJSJ in sicca, nut not SJS without it. </t>
  </si>
  <si>
    <t>Pucino V, Turner JD, Nayar S, Kollert F, Rauz S, Richards A, Higham J, Poveda-Gallego A, Bowman SJ, Barone F, Fisher BA.</t>
  </si>
  <si>
    <t>RMD Open. 2022 May;8(1):e002119. doi: 10.1136/rmdopen-2021-002119.</t>
  </si>
  <si>
    <t>Pucino V</t>
  </si>
  <si>
    <t>RMD Open</t>
  </si>
  <si>
    <t>PMC9121491</t>
  </si>
  <si>
    <t>10.1136/rmdopen-2021-002119</t>
  </si>
  <si>
    <t>A biomarker signature to predict complete response to itacitinib and corticosteroids in acute graft-versus-host disease</t>
  </si>
  <si>
    <t>Immunology (graft host disease)</t>
  </si>
  <si>
    <t>MCP3, ProCALA, CALA, REG3A. ST2, TNFR1</t>
  </si>
  <si>
    <t>Clinical trial samples were used, proteins were able to identify  tresponsers to itacitinib as well as GVHD</t>
  </si>
  <si>
    <t>Pratta M, Paczesny S, Socie G, Barkey N, Liu H, Owens S, Arbushites MC, Schroeder MA, Howell MD.</t>
  </si>
  <si>
    <t>Br J Haematol. 2022 Jun 11. doi: 10.1111/bjh.18300. Online ahead of print.</t>
  </si>
  <si>
    <t>Pratta M</t>
  </si>
  <si>
    <t>Br J Haematol</t>
  </si>
  <si>
    <t>10.1111/bjh.18300</t>
  </si>
  <si>
    <t>Ustekinumab reduces serum protein levels associated with cardiovascular risk in psoriasis vulgaris</t>
  </si>
  <si>
    <t xml:space="preserve">Cardiovascular/ Immunology </t>
  </si>
  <si>
    <t>myeloperoxidase, C-X-C motif chemokine 10, E-selectin, interleukin-6, cystatin B, von Willebrand factor, tumor necrosis factor receptor 1 and N-terminal prohormone brain natriuretic peptide</t>
  </si>
  <si>
    <t>Cardiovascular Panels</t>
  </si>
  <si>
    <t xml:space="preserve">Potential therapeutic for CV risk reduction </t>
  </si>
  <si>
    <t>Koschitzky M, Navrazhina K, Garshick MS, Gonzalez J, Han J, Garcet S, Krueger JG.</t>
  </si>
  <si>
    <t>Exp Dermatol. 2022 Apr 27. doi: 10.1111/exd.14582. Online ahead of print.</t>
  </si>
  <si>
    <t>Koschitzky M</t>
  </si>
  <si>
    <t>Exp Dermatol</t>
  </si>
  <si>
    <t>10.1111/exd.14582</t>
  </si>
  <si>
    <t>Perinatally HIV-infected adolescents and young adults demonstrate distinct BNT162b2 mRNA COVID-19 vaccine immunogenicity</t>
  </si>
  <si>
    <t>Infectious Disease (HIV/COVID)</t>
  </si>
  <si>
    <t>SH2D1A, SH2B3, ITM2A, LILRB4, SH2B3, STC1, TANK, DDX58, MASP1</t>
  </si>
  <si>
    <t>Inflammation, Immune Response</t>
  </si>
  <si>
    <t>Morrocchi E, Pighi C, Pascucci GR, Cotugno N, Medri C, Amodio D, Colagrossi L, Ruggiero A, Manno EC, Tumeo CC, Bernardi S, Smolen KK, Perno CF, Ozonoff A, Rossi P, Levy O, Palma P.</t>
  </si>
  <si>
    <t>Clin Infect Dis. 2022 Jun 23:ciac408. doi: 10.1093/cid/ciac408. Online ahead of print.</t>
  </si>
  <si>
    <t>Morrocchi E</t>
  </si>
  <si>
    <t>PMC9278233</t>
  </si>
  <si>
    <t>10.1093/cid/ciac408</t>
  </si>
  <si>
    <t>Methods (Phase Angle correlation to biomarkers)</t>
  </si>
  <si>
    <t xml:space="preserve">CVDII, CVDIII, Inflammation </t>
  </si>
  <si>
    <t>Clin Nutr. 2022 Jun 30;41(8):1818-1826. doi: 10.1016/j.clnu.2022.06.038. Online ahead of print.</t>
  </si>
  <si>
    <t>Circulating virome and inflammatory proteome in patients with ST-elevation myocardial infarction and primary ventricular fibrillation</t>
  </si>
  <si>
    <t>Cardiovascular, Infectious diease</t>
  </si>
  <si>
    <t>IL6, IL8 CXCL-11, CCL-11, MCP3, MCP4, and ENRAGE;l CDDp1, IL18-R1</t>
  </si>
  <si>
    <t xml:space="preserve">inflammatory proteins werent effective at differentiating PVF/non-PVF STEMI patietns but were usefful at differentiating STEMI and non-STEMI patietns, as well as PVF from healthy controls. </t>
  </si>
  <si>
    <t>Oliveras T, Revuelta-López E, García-García C, Cserkóová A, Rueda F, Labata C, Ferrer M, Montero S, El-Ouaddi N, Martínez MJ, Roura S, Gálvez-Montón C, Bayes-Genis A.</t>
  </si>
  <si>
    <t>Sci Rep. 2022 May 12;12(1):7910. doi: 10.1038/s41598-022-12075-x.</t>
  </si>
  <si>
    <t>Oliveras T</t>
  </si>
  <si>
    <t>PMC9098642</t>
  </si>
  <si>
    <t>10.1038/s41598-022-12075-x</t>
  </si>
  <si>
    <t>Mechanism of action of baricitinib and identification of biomarkers and key immune pathways in patients with active systemic lupus erythematosus</t>
  </si>
  <si>
    <t>Immunology (Lupus)</t>
  </si>
  <si>
    <t>C-C motif chemokine ligand (CCL) 19, C-X-C motif chemokine ligand (CXCL) 10, tumour necrosis factor alpha (TNF-α), TNF receptor superfamily member (TNFRSF)9/CD137, PD-L1, IL-6 and IL-12β</t>
  </si>
  <si>
    <t xml:space="preserve">Key cytokines were donwregulated with the treatment </t>
  </si>
  <si>
    <t>Dörner T, Tanaka Y, Dow ER, Koch AE, Silk M, Ross Terres JA, Sims JT, Sun Z, de la Torre I, Petri M.</t>
  </si>
  <si>
    <t>Ann Rheum Dis. 2022 May 24:annrheumdis-2022-222335. doi: 10.1136/annrheumdis-2022-222335. Online ahead of print.</t>
  </si>
  <si>
    <t>Dörner T</t>
  </si>
  <si>
    <t>10.1136/annrheumdis-2022-222335</t>
  </si>
  <si>
    <t>Assay-related differences in SuPAR levels: implications for measurement and data interpretation</t>
  </si>
  <si>
    <t xml:space="preserve">Methods (comparisons) </t>
  </si>
  <si>
    <t>suPAR</t>
  </si>
  <si>
    <t>Explroe</t>
  </si>
  <si>
    <t xml:space="preserve">Olink correlation with immunoassays a little better than SomaLogic, but they both were showed extensive variation </t>
  </si>
  <si>
    <t>Vasbinder A, Raffield LM, Gao Y, Engstrom G, Quyyumi AA, Reiner AP, Reiser J, Hayek SS.</t>
  </si>
  <si>
    <t>J Nephrol. 2022 May 14:1-3. doi: 10.1007/s40620-022-01344-7. Online ahead of print.</t>
  </si>
  <si>
    <t>Vasbinder A</t>
  </si>
  <si>
    <t>J Nephrol</t>
  </si>
  <si>
    <t>PMC9106999</t>
  </si>
  <si>
    <t>10.1007/s40620-022-01344-7</t>
  </si>
  <si>
    <t>Association of FXI activity with thrombo-inflammation, extracellular matrix, lipid metabolism and apoptosis in venous thrombosis</t>
  </si>
  <si>
    <t>Vascular (venous thromboembolis)</t>
  </si>
  <si>
    <t xml:space="preserve"> REG3A, PIGR, IL7R, the transforming growth factor LTBP2, the mitochondrial proteins PRDX1, and the NF-κβ inhibitor GALNT</t>
  </si>
  <si>
    <t xml:space="preserve">Fxi may be a good target for follow-up studies </t>
  </si>
  <si>
    <t>Pallares Robles A, Ten Cate V, Schulz A, Prochaska JH, Rapp S, Koeck T, Panova-Noeva M, Heitmeier S, Schwers S, Leineweber K, Seyfarth HJ, Opitz CF, Spronk H, Espinola-Klein C, Lackner KJ, Münzel T, Andrade-Navarro MA, Konstantinides SV, Ten Cate H, Wild PS.</t>
  </si>
  <si>
    <t>Sci Rep. 2022 Jun 13;12(1):9761. doi: 10.1038/s41598-022-13174-5.</t>
  </si>
  <si>
    <t>Pallares Robles A</t>
  </si>
  <si>
    <t>PMC9192691</t>
  </si>
  <si>
    <t>10.1038/s41598-022-13174-5</t>
  </si>
  <si>
    <t>Targeted proteomics of appendicular skeletal muscle mass and handgrip strength in black South Africans: a cross-sectional study</t>
  </si>
  <si>
    <t>Other (pop study)</t>
  </si>
  <si>
    <t>CVDII, CVDIII</t>
  </si>
  <si>
    <t>Proteomic studies should examine ASM and HGS individually. Future research should also consider sexual dimorphism in the pathophysiology of sarcopenia for development of sex-specific treatment and diagnostic methods.</t>
  </si>
  <si>
    <t>Dlamini SN, Norris SA, Mendham AE, Mtintsilana A, Ward KA, Olsson T, Goedecke JH, Micklesfield LK.</t>
  </si>
  <si>
    <t>Sci Rep. 2022 Jun 9;12(1):9512. doi: 10.1038/s41598-022-13548-9.</t>
  </si>
  <si>
    <t>Dlamini SN</t>
  </si>
  <si>
    <t>PMC9178538</t>
  </si>
  <si>
    <t>10.1038/s41598-022-13548-9</t>
  </si>
  <si>
    <t>Development of a Multiprotein Classifier for the Detection of Early Stage Ovarian Cancer</t>
  </si>
  <si>
    <t>Oncology (ovarian)</t>
  </si>
  <si>
    <t>CA125, HE4, ITGAV, and SEZ6L</t>
  </si>
  <si>
    <t xml:space="preserve">The sensitivity at 95% specificity increased from 74.5% (CA125 alone) to 79.2% with the multiprotein classifier. In addition, the multiprotein classifier had a sensitivity of 95.1% at 98% specificity for late stage ovarian cancer samples and correctly classified 80.5% of the benign samples using the 98% specificity cutpoint.
</t>
  </si>
  <si>
    <t>Boylan KLM, Petersen A, Starr TK, Pu X, Geller MA, Bast RC Jr, Lu KH, Cavallaro U, Connolly DC, Elias KM, Cramer DW, Pejovic T, Skubitz APN.</t>
  </si>
  <si>
    <t>Cancers (Basel). 2022 Jun 23;14(13):3077. doi: 10.3390/cancers14133077.</t>
  </si>
  <si>
    <t>Boylan KLM</t>
  </si>
  <si>
    <t>PMC9264950</t>
  </si>
  <si>
    <t>10.3390/cancers14133077</t>
  </si>
  <si>
    <t>Circulating Protein Biomarkers for Prognostic Use in Patients with Advanced Pancreatic Ductal Adenocarcinoma Undergoing Chemotherapy</t>
  </si>
  <si>
    <t>Oncology (Pancreatic)</t>
  </si>
  <si>
    <t>CSF-1, IL-6, PDCD1, TNFRSF12A, TRAIL, TWEAK, and CA19-9; CXCL13, IL-6, PDCD1, and TNFRSF12A; ANGPT2, IL-6, IL-10, and TNFRSF12A</t>
  </si>
  <si>
    <t xml:space="preserve">Immunio-oncology </t>
  </si>
  <si>
    <t>Index I (CSF-1, IL-6, PDCD1, TNFRSF12A, TRAIL, TWEAK, and CA19-9) had AUCs of 0.99 (95% CI: 0.98–1) (discovery cohort) and 0.89 (0.74–1) (replication cohort). For Index II (CXCL13, IL-6, PDCD1, and TNFRSF12A), the corresponding AUCs were 0.97 (0.93–1) and 0.82 (0.68–0.96). Four proteins (ANGPT2, IL-6, IL-10, and TNFRSF12A) were associated with survival across all treatment groups. Longitudinal samples revealed several changes, including four proteins that were also part of the prognostic signatures (CSF-1, CXCL13, IL-6, TNFRSF12A). This study identified two circulating-protein indices with the potential to identify patients with advanced PDAC with very short OS and with long OS.</t>
  </si>
  <si>
    <t>Lindgaard SC, Maag E, Sztupinszki Z, Chen IM, Johansen AZ, Jensen BV, Bojesen SE, Nielsen DL, Szallasi Z, Johansen JS.</t>
  </si>
  <si>
    <t>Cancers (Basel). 2022 Jul 1;14(13):3250. doi: 10.3390/cancers14133250.</t>
  </si>
  <si>
    <t>PMC9264968</t>
  </si>
  <si>
    <t>10.3390/cancers14133250</t>
  </si>
  <si>
    <t>Comprehensive Characterization of Arterial and Cardiac Function in Marfan Syndrome-Can Biomarkers Help Improve Outcome?</t>
  </si>
  <si>
    <t>Vasuclar (Marfans)</t>
  </si>
  <si>
    <t>BNP</t>
  </si>
  <si>
    <t>CVDII</t>
  </si>
  <si>
    <t>Other markers fell out after adjusting for age and sex. But BNP may be able to measure diseas eprogression or be a target for therapy.</t>
  </si>
  <si>
    <t>Weismann CG, Hlebowicz J, Åkesson A, Liuba P, Hanseus K.</t>
  </si>
  <si>
    <t>Front Physiol. 2022 Apr 25;13:873373. doi: 10.3389/fphys.2022.873373. eCollection 2022.</t>
  </si>
  <si>
    <t>Weismann CG</t>
  </si>
  <si>
    <t>Front Physiol</t>
  </si>
  <si>
    <t>PMC9081671</t>
  </si>
  <si>
    <t>10.3389/fphys.2022.873373</t>
  </si>
  <si>
    <t>Baseline Pro-Inflammatory Cytokine Levels Moderate Psychological Inflexibility in Behavioral Treatment for Chronic Pain</t>
  </si>
  <si>
    <t>Other (Chronic Pain)</t>
  </si>
  <si>
    <t>IL-6, TNF-a</t>
  </si>
  <si>
    <t xml:space="preserve">Only intended to measure the 2 proteins from the overall panel. Low-grade inflammation may be one factor underlying the variability in behavioral treatment in chronic pain.
</t>
  </si>
  <si>
    <t>Karshikoff B, Åström J, Holmström L, Lekander M, Kemani MK, Wicksell RK.</t>
  </si>
  <si>
    <t>J Clin Med. 2022 Apr 20;11(9):2285. doi: 10.3390/jcm11092285.</t>
  </si>
  <si>
    <t>J Clin Med</t>
  </si>
  <si>
    <t>PMC9102370</t>
  </si>
  <si>
    <t>10.3390/jcm11092285</t>
  </si>
  <si>
    <t>The Effect of Spironolactone in Patients With Obesity at Risk for Heart Failure: Proteomic Insights from the HOMAGE Trial</t>
  </si>
  <si>
    <t>Among patients at risk for HF, those with obesity have a characteristic proteomic profile reflecting adipogenesis and glucose intolerance. Spironolactone had only a minor effect on this obesity-related proteomic profile, but obesity modified the effect of spironolactone on systolic blood pressure.</t>
  </si>
  <si>
    <t>Verdonschot JAJ, Ferreira JP, Pizard A, Pellicori P, Brunner La Rocca HP, Clark AL, Cosmi F, Cuthbert J, Girerd N, Waring OJ, Henkens MHTM, Mariottoni B, Petutschnigg J, Rossignol P, Hazebroek MR, Cleland JGF, Zannad F, Heymans SRB; HOMAGE “Heart Omics in AGEing” Consortium.</t>
  </si>
  <si>
    <t>J Card Fail. 2022 May;28(5):778-786. doi: 10.1016/j.cardfail.2021.12.005. Epub 2021 Dec 18.</t>
  </si>
  <si>
    <t>Verdonschot JAJ</t>
  </si>
  <si>
    <t>J Card Fail</t>
  </si>
  <si>
    <t>10.1016/j.cardfail.2021.12.005</t>
  </si>
  <si>
    <t>Integrated plasma proteomic and single-cell immune signaling network signatures demarcate mild, moderate, and severe COVID-19</t>
  </si>
  <si>
    <t>Created a mdoel using Olink + targeted proteomic readouts. Included the full panel to ID a signature. Examination of informative model features reveals biological signatures of COVID-19 severity, including the dysregulation of JAK/STAT, MAPK/mTOR, and nuclear factor κB (NF-κB) immune signaling networks in addition to recapitulating known hallmarks of COVID-19. These results provide a set of early determinants of COVID-19 severity that may point to therapeutic targets for prevention and/or treatment of COVID-19 progression.</t>
  </si>
  <si>
    <t>Feyaerts D, Hédou J, Gillard J, Chen H, Tsai ES, Peterson LS, Ando K, Manohar M, Do E, Dhondalay GKR, Fitzpatrick J, Artandi M, Chang I, Snow TT, Chinthrajah RS, Warren CM, Wittman R, Meyerowitz JG, Ganio EA, Stelzer IA, Han X, Verdonk F, Gaudillière DK, Mukherjee N, Tsai AS, Rumer KK, Jacobsen DR, Bjornson-Hooper ZB, Jiang S, Saavedra SF, Valdés Ferrer SI, Kelly JD, Furman D, Aghaeepour N, Angst MS, Boyd SD, Pinsky BA, Nolan GP, Nadeau KC, Gaudillière B, McIlwain DR.</t>
  </si>
  <si>
    <t>Cell Rep Med. 2022 Jul 19;3(7):100680. doi: 10.1016/j.xcrm.2022.100680. Epub 2022 Jun 28.</t>
  </si>
  <si>
    <t>Feyaerts D</t>
  </si>
  <si>
    <t>Cell Rep Med</t>
  </si>
  <si>
    <t>PMC9238057</t>
  </si>
  <si>
    <t>10.1016/j.xcrm.2022.100680</t>
  </si>
  <si>
    <t>Platelet-Derived PDGFB Promotes Recruitment of Cancer-Associated Fibroblasts, Deposition of Extracellular Matrix and Tgfβ Signaling in the Tumor Microenvironment</t>
  </si>
  <si>
    <t>Oncology (Research)</t>
  </si>
  <si>
    <t>PDGFB</t>
  </si>
  <si>
    <t>Custom</t>
  </si>
  <si>
    <t>These findings indicate a major contribution of platelet-derived PDGFB to a malignant transformation of the tumor microenvironment and address for the first time the role of PDGFB released specifically from platelets in the remodeling of the ECM in tumors.</t>
  </si>
  <si>
    <t>Zhang Y, Manouchehri Doulabi E, Herre M, Cedervall J, Qiao Q, Miao Z, Hamidi A, Hellman L, Kamali-Moghaddam M, Olsson AK.</t>
  </si>
  <si>
    <t>Cancers (Basel). 2022 Apr 12;14(8):1947. doi: 10.3390/cancers14081947.</t>
  </si>
  <si>
    <t>Zhang Y</t>
  </si>
  <si>
    <t>PMC9024906</t>
  </si>
  <si>
    <t>10.3390/cancers14081947</t>
  </si>
  <si>
    <t>Assessing the inflammatory response to in vitro polymicrobial wound biofilms in a skin epidermis model</t>
  </si>
  <si>
    <t xml:space="preserve">Immunology / Infectious Disease (General Wound Healing) </t>
  </si>
  <si>
    <t>CDCP1, TGF-alpha, MMP-1, IL-20, and CXCL1, VEGFA, IL-8, SIRT2, STAMBP, AXIN1, ADA, and 4E-BP1</t>
  </si>
  <si>
    <t>Olink technology revealed a unique proteomic response in the tissue following stimulation with untreated and CHX-treated biofilms. This highlights treatment choice for clinicians could be dictated by how the tissue responds to such biofilm treatment, and not merely how effective the treatment is in killing the biofilm.</t>
  </si>
  <si>
    <t>Brown JL, Townsend E, Short RD, Williams C, Woodall C, Nile CJ, Ramage G.</t>
  </si>
  <si>
    <t>NPJ Biofilms Microbiomes. 2022 Apr 7;8(1):19. doi: 10.1038/s41522-022-00286-z.</t>
  </si>
  <si>
    <t>Brown JL</t>
  </si>
  <si>
    <t>NPJ Biofilms Microbiomes</t>
  </si>
  <si>
    <t>PMC8991182</t>
  </si>
  <si>
    <t>10.1038/s41522-022-00286-z</t>
  </si>
  <si>
    <t>Infectipus Disease (COCVID-19/Sepsis)</t>
  </si>
  <si>
    <t xml:space="preserve">(Difference between sepsis and COVID) FGF21, GDF2, IL24,SORT1, IL-6, CCL23. TGM2; Other signatures were 23 and 100 proteins in length </t>
  </si>
  <si>
    <t>Inflammation, CVDII</t>
  </si>
  <si>
    <t xml:space="preserve">Our data imply a common biological host response of microvascular injury in both bacterial sepsis and COVID-19. A distinct plasma signature correlates with endothelial health and improved outcomes, while a counteracting response is associated with glycocalyx breakdown and high mortality. Microvascular health biomarkers are powerful predictors of clinical outcomes.
</t>
  </si>
  <si>
    <t>Angiogenesis. 2022 Jun 20:1-13. doi: 10.1007/s10456-022-09843-8. Online ahead of print.</t>
  </si>
  <si>
    <t>Serum Proteomics in Patients with Head and Neck Cancer: Peripheral Blood Immune Response to Treatment</t>
  </si>
  <si>
    <t>Oncology (Head and Neck)</t>
  </si>
  <si>
    <t xml:space="preserve">FASL, IL-12, TNFDF14, CD444, CD5. CXCL5. </t>
  </si>
  <si>
    <t>Mostly intended fpr discovery purposes but there were proteins significantly altered as a result of therapy as well as over time</t>
  </si>
  <si>
    <t>Astradsson T, Sellberg F, Ehrsson YT, Sandström K, Laurell G.</t>
  </si>
  <si>
    <t>Int J Mol Sci. 2022 Jun 4;23(11):6304. doi: 10.3390/ijms23116304.</t>
  </si>
  <si>
    <t>Astradsson T</t>
  </si>
  <si>
    <t>PMC9180944</t>
  </si>
  <si>
    <t>10.3390/ijms23116304</t>
  </si>
  <si>
    <t>Heart failure subphenotypes based on repeated biomarker measurements are associated with clinical characteristics and adverse events (Bio-SHiFT study)</t>
  </si>
  <si>
    <t>CVDIII</t>
  </si>
  <si>
    <t xml:space="preserve">Three clusters were made using clinical + biomarker information.  Clusters revealed one group with poor prognosis </t>
  </si>
  <si>
    <t>de Lange I, Petersen TB, de Bakker M, Akkerhuis KM, Brugts JJ, Caliskan K, Manintveld OC, Constantinescu AA, Germans T, van Ramshorst J, Umans VAWM, Boersma E, Rizopoulos D, Kardys I.</t>
  </si>
  <si>
    <t>Int J Cardiol. 2022 Jun 15:S0167-5273(22)00919-6. doi: 10.1016/j.ijcard.2022.06.020. Online ahead of print.</t>
  </si>
  <si>
    <t>de Lange I</t>
  </si>
  <si>
    <t>10.1016/j.ijcard.2022.06.020</t>
  </si>
  <si>
    <t>A Method to Combine Neurofilament Light Measurements From Blood Serum and Plasma in Clinical and Population-Based Studies</t>
  </si>
  <si>
    <t xml:space="preserve">Neurology Methods Dev </t>
  </si>
  <si>
    <t>Neurology, Neuromuscular</t>
  </si>
  <si>
    <t>The Association of Serum Neurofilament Light Chain and Acute Ischaemic Stroke Is Influenced by Effective Revascularization</t>
  </si>
  <si>
    <t>Association of Plasma Neurofilament Light Chain With Glycaemic Control and Insulin Resistance in Middle-Aged Adults</t>
  </si>
  <si>
    <t>Linking Plasma Amyloid Beta and Neurofilament Light Chain to Intracortical Myelin Content in Cognitively Normal Older Adults</t>
  </si>
  <si>
    <t>Serum neurofilament as a predictor of 10-year grey matter atrophy and clinical disability in multiple sclerosis: a longitudinal study</t>
  </si>
  <si>
    <t>Prospectively assessing serum neurofilament light chain levels as a biomarker of paclitaxel-induced peripheral neurotoxicity in breast cancer patients</t>
  </si>
  <si>
    <t>Neurology, Oncology</t>
  </si>
  <si>
    <t>Increased levels of the synaptic proteins PSD-95, SNAP-25, and neurogranin in the cerebrospinal fluid of patients with Alzheimer's disease</t>
  </si>
  <si>
    <t>Neurology Methods Dev</t>
  </si>
  <si>
    <t>Within subject rise in serum TNFα to IL-10 ratio is associated with poorer attention, decision-making and working memory in jockeys</t>
  </si>
  <si>
    <t>Ultrasensitive detection of salivary SARS-CoV-2 IgG antibodies in individuals with natural and COVID-19 vaccine-induced immunity</t>
  </si>
  <si>
    <t>Infectious Disease (SARS-COV2), Methods Development</t>
  </si>
  <si>
    <t>Quantification of SNAP-25 with mass spectrometry and Simoa: a method comparison in Alzheimer's disease</t>
  </si>
  <si>
    <t>Neurology, Methods Development (Alzheimers)</t>
  </si>
  <si>
    <t>Neurofilament light chain: a new marker for neuronal decay in the anterior chamber fluid of patients with glaucoma</t>
  </si>
  <si>
    <t>Other (glaucoma)</t>
  </si>
  <si>
    <t>Ultrasensitive multiplexed chemiluminescent enzyme-linked immunosorbent assays in 384-well plates</t>
  </si>
  <si>
    <t>Methods Development</t>
  </si>
  <si>
    <t>Diagnostic value of serum versus plasma phospho-tau for Alzheimer's disease</t>
  </si>
  <si>
    <t>Serum GFAP differentiates Alzheimer's disease from frontotemporal dementia and predicts MCI-to-dementia conversion</t>
  </si>
  <si>
    <t>KIBRA regulates amyloid β metabolism by controlling extracellular vesicles secretion</t>
  </si>
  <si>
    <t>Diabetes, Glycated Hemoglobin (HbA1c), and Neuroaxonal Damage in Parkinson's Disease (MARK-PD Study)</t>
  </si>
  <si>
    <t>Neurology, Cardiometabolic</t>
  </si>
  <si>
    <t>Increased serum IL-2, IL-4, IL-5 and IL-12p70 levels in AChR subtype generalized myasthenia gravis</t>
  </si>
  <si>
    <t>Immunology, Neuromuscular</t>
  </si>
  <si>
    <t>Phospho-specific plasma p-tau181 assay detects clinical as well as asymptomatic Alzheimer's disease</t>
  </si>
  <si>
    <t>Differential diagnostic performance of a panel of plasma biomarkers for different types of dementia</t>
  </si>
  <si>
    <t>Ectopic Lymphoid Follicle Formation and Human Seasonal Influenza Vaccination Responses Recapitulated in an Organ-on-a-Chip</t>
  </si>
  <si>
    <t>Infectious Disease (Influenza) Methods Development</t>
  </si>
  <si>
    <t>Correlation between Cerebrospinal Fluid Core Alzheimer's Disease Biomarkers and β-Amyloid PET in Chinese Dementia Population</t>
  </si>
  <si>
    <t>miR-150-5p and let-7b-5p in Blood Myeloid Extracellular Vesicles Track Cognitive Symptoms in Patients with Multiple Sclerosis</t>
  </si>
  <si>
    <t xml:space="preserve">General (Pop Study) </t>
  </si>
  <si>
    <t>Brain disconnectome mapping derived from white matter lesions and serum neurofilament light levels in multiple sclerosis: A longitudinal multicenter study</t>
  </si>
  <si>
    <t>Plasma neurofilament light chain protein as a predictor of days in delirium and deep sedation, mortality and length of stay in critically ill patients</t>
  </si>
  <si>
    <t>Blood Neurofilament Light in Progressive Multiple Sclerosis: Post Hoc Analysis of 2 Randomized Controlled Trials</t>
  </si>
  <si>
    <t>Association of Serum Neurofilament Light Chain With Inner Retinal Layer Thinning in Multiple Sclerosis</t>
  </si>
  <si>
    <t>S protein - IgG, IgA</t>
  </si>
  <si>
    <t>Homebrew two plex assay</t>
  </si>
  <si>
    <t>These findings support the suitability of concentrated saliva specimens for the measurement of SARS-CoV-2 RBD IgG antibodies via ELISA, and unconcentrated saliva specimens for the measurement of SARS-CoV-2 RBD IgG and IgA using an ultrasensitive Simoa immunoassay.</t>
  </si>
  <si>
    <t>Thomas SN, Karger AB, Altawallbeh G, Nelson KM, Jacobs DR Jr, Gorlin J, Barcelo H, Thyagarajan B.</t>
  </si>
  <si>
    <t>Sci Rep. 2022 May 25;12(1):8890. doi: 10.1038/s41598-022-12869-z.</t>
  </si>
  <si>
    <t>Thomas SN</t>
  </si>
  <si>
    <t>PMC9132168</t>
  </si>
  <si>
    <t>10.1038/s41598-022-12869-z</t>
  </si>
  <si>
    <t>SNAP-25</t>
  </si>
  <si>
    <t>HD_X, custom assay</t>
  </si>
  <si>
    <t>Run alongside and validated with MS. In independent blood samples (n = 32), the Simoa SNAP-25 assay was found to lack analytical sensitivity for quantification of SNAP-25 in plasma.</t>
  </si>
  <si>
    <t>Nilsson J, Ashton NJ, Benedet AL, Montoliu-Gaya L, Gobom J, Pascoal TA, Chamoun M, Portelius E, Jeromin A, Mendes M, Zetterberg H, Rosa-Neto P, Brinkmalm A, Blennow K.</t>
  </si>
  <si>
    <t>Alzheimers Res Ther. 2022 Jun 4;14(1):78. doi: 10.1186/s13195-022-01021-8.</t>
  </si>
  <si>
    <t>Nilsson J</t>
  </si>
  <si>
    <t>PMC9166380</t>
  </si>
  <si>
    <t xml:space="preserve">SR-X NFL light </t>
  </si>
  <si>
    <t xml:space="preserve">NfL levels in anterior chamber fluid are elevated in patients with glaucoma and correlate with intraocular pressure and retinal nerve fibre layer thickness. The presented data strongly support anterior chamber fluid NfL as a new marker for glaucoma.
</t>
  </si>
  <si>
    <t>Woltsche N, Valentin K, Hoeflechner L, Guttmann A, Horwath-Winter J, Schneider MR, Ivastinovic D, Lindner M, Schmetterer L, Singh N, Riedl R, Buchmann A, Khalil M, Lindner E.</t>
  </si>
  <si>
    <t>Br J Ophthalmol. 2022 Jun 24:bjophthalmol-2021-320828. doi: 10.1136/bjo-2021-320828. Online ahead of print.</t>
  </si>
  <si>
    <t>Woltsche N</t>
  </si>
  <si>
    <t>Br J Ophthalmol</t>
  </si>
  <si>
    <t>HD-1 neurology 4 plex</t>
  </si>
  <si>
    <t>4 plex, and 2 I plex assays used depending on the cohort. Plasma GFAP may be more sensitive to white matter and cognitive changes than plasma NfL. Biomarkers reflecting astroglial pathophysiology may capture complex dynamics of ageing and neurodegenerative disease.</t>
  </si>
  <si>
    <t xml:space="preserve">Custom 4 plex. </t>
  </si>
  <si>
    <t xml:space="preserve">Quanterix looking at making a MSD like product? </t>
  </si>
  <si>
    <t>Chen T, Ubaidu A, Douglas S, Carranza S, Wong A, Kan CW, Duffy DC.</t>
  </si>
  <si>
    <t>J Immunol Methods. 2022 Jul 1;508:113311. doi: 10.1016/j.jim.2022.113311. Online ahead of print.</t>
  </si>
  <si>
    <t>Chen T</t>
  </si>
  <si>
    <t>J Immunol Methods</t>
  </si>
  <si>
    <t>ptau181, ptau231</t>
  </si>
  <si>
    <t xml:space="preserve">custom 1 plex assays used for ptau181, ptau231. </t>
  </si>
  <si>
    <t>csf, plasma and serum all used. Comparable diagnostic performances and strong correlations between serum versus plasma pairs suggest that p-tau analyses can be expanded to research cohorts and hospital systems that prefer serum to other blood matrices. However, absolute biomarker concentrations may not be interchangeable, indicating that plasma and serum samples should be used independently. These results should be validated in independent cohorts.</t>
  </si>
  <si>
    <t>Kac PR, Gonzalez-Ortiz F, Simrén J, Dewit N, Vanmechelen E, Zetterberg H, Blennow K, Ashton NJ, Karikari TK.</t>
  </si>
  <si>
    <t>Alzheimers Res Ther. 2022 May 11;14(1):65. doi: 10.1186/s13195-022-01011-w.</t>
  </si>
  <si>
    <t>Kac PR</t>
  </si>
  <si>
    <t>PMC9097064</t>
  </si>
  <si>
    <t>pTau181, NFL, GFAP</t>
  </si>
  <si>
    <t>Used alonside Protein Simple Ella. ur data indicate a different type of reactive astrogliosis in AD and bvFTD and support serum GFAP as biomarker for differential diagnosis and prediction of MCI-to-dementia conversion.</t>
  </si>
  <si>
    <t>Oeckl P, Anderl-Straub S, Von Arnim CAF, Baldeiras I, Diehl-Schmid J, Grimmer T, Halbgebauer S, Kort AM, Lima M, Marques TM, Ortner M, Santana I, Steinacker P, Verbeek MM, Volk AE, Ludolph AC, Otto M.</t>
  </si>
  <si>
    <t>J Neurol Neurosurg Psychiatry. 2022 Apr 27:jnnp-2021-328547. doi: 10.1136/jnnp-2021-328547. Online ahead of print.</t>
  </si>
  <si>
    <t xml:space="preserve">Neurology 3 plex. </t>
  </si>
  <si>
    <t>Also used in cell lystates</t>
  </si>
  <si>
    <t>Han X, Wang C, Song L, Wang X, Tang S, Hou T, Liu C, Liang X, Qiu C, Wang Y, Du Y.</t>
  </si>
  <si>
    <t>EBioMedicine. 2022 Apr;78:103980. doi: 10.1016/j.ebiom.2022.103980. Epub 2022 Apr 1.</t>
  </si>
  <si>
    <t>Han X</t>
  </si>
  <si>
    <t>PMC8983338</t>
  </si>
  <si>
    <t xml:space="preserve">PD patients with prevalent diabetes had higher serum NfL levels and lower MoCA scores independent of age, body mass index (BMI), and vascular risk factors. Furthermore, diabetes was associated with higher H&amp;Y stages in unadjusted and age/BMI-adjusted models. Higher HbA1c levels were associated with increased NfL in unadjusted and age/BMI-adjusted models.
</t>
  </si>
  <si>
    <t>Uyar M, Lezius S, Buhmann C, Pötter-Nerger M, Schulz R, Meier S, Gerloff C, Kuhle J, Choe CU.</t>
  </si>
  <si>
    <t>Mov Disord. 2022 Jun;37(6):1299-1304. doi: 10.1002/mds.29009. Epub 2022 Apr 6.</t>
  </si>
  <si>
    <t>Uyar M</t>
  </si>
  <si>
    <t xml:space="preserve">NFL, ptau181, AB40, AB42, GFAP  </t>
  </si>
  <si>
    <t xml:space="preserve">Ptau181, Neurology 4 plex E </t>
  </si>
  <si>
    <t xml:space="preserve">Used alongside genomics, The prediction accuracy of Alzheimer’s disease clinical diagnosis by the combination of all biomarkers, APOE and polygenic risk score reached area under receiver operating characteristic curve (AUC) = 0.81, with the most significant contributors being ε4, Aβ40 or Aβ42, GFAP and NfL. All biomarkers were significantly associated with age in cases and controls (P &lt; 4.3 × 10−5). Concentrations of the Aβ-related biomarkers in plasma were significantly lower in cases compared with controls, whereas other biomarker levels were significantly higher in cases.
</t>
  </si>
  <si>
    <t>Brain. 2022 Apr 6:awac128. doi: 10.1093/brain/awac128. Online ahead of print.</t>
  </si>
  <si>
    <t>IL-2, IL-4, IL-5 and IL-12p70</t>
  </si>
  <si>
    <t>Custom kits</t>
  </si>
  <si>
    <t xml:space="preserve"> Serum IL-2, IL-4, IL-5 and IL-12p70 levels were increased in AChR subtype gMG using ultrasensitive measurement. Serum cytokines with very low concentrations may provide as potential biomarkers in stratifying gMG patients in future prospective cohort studies.</t>
  </si>
  <si>
    <t>Huan X, Zhao R, Song J, Zhong H, Su M, Yan C, Wang Y, Chen S, Zhou Z, Lu J, Xi J, Luo S, Zhao C.</t>
  </si>
  <si>
    <t>BMC Immunol. 2022 May 27;23(1):26. doi: 10.1186/s12865-022-00501-8.</t>
  </si>
  <si>
    <t>Huan X</t>
  </si>
  <si>
    <t>BMC Immunol</t>
  </si>
  <si>
    <t>PMC9145157</t>
  </si>
  <si>
    <t>Custom Adx kits</t>
  </si>
  <si>
    <t>The novel plasma p‐tau181 assay is an accurate tool to detect clinical as well as asymptomatic AD and provides a phospho‐specific alternative to currently employed immunoassays.</t>
  </si>
  <si>
    <t>De Meyer S, Vanbrabant J, Schaeverbeke JM, Reinartz M, Luckett ES, Dupont P, Van Laere K, Stoops E, Vanmechelen E, Poesen K, Vandenberghe R.</t>
  </si>
  <si>
    <t>Ann Clin Transl Neurol. 2022 May;9(5):734-746. doi: 10.1002/acn3.51553. Epub 2022 May 3.</t>
  </si>
  <si>
    <t>De Meyer S</t>
  </si>
  <si>
    <t>PMC9082389</t>
  </si>
  <si>
    <t xml:space="preserve"> Linear regression showed significant negative correlation between ipsilateral corona radiata FA and both NFL and GFAP levels at 1 day.</t>
  </si>
  <si>
    <t>NFL, GFAP, UCHL1, tTau</t>
  </si>
  <si>
    <t>Neurology 4 A Plex HD-1</t>
  </si>
  <si>
    <t>Our results suggest that tau might be a marker of early disease stages in SCA3. NfL can discriminate mutation carriers from controls and is associated with different clinical variables. Longitudinal studies are required to confirm their potential role as biomarkers in clinical trials.</t>
  </si>
  <si>
    <t>AB40, AB42, Ptau181, GFAP, NFL</t>
  </si>
  <si>
    <t>Neurology 4 Plex E (Adx developed panel), Ptau181 advantage SDX</t>
  </si>
  <si>
    <t xml:space="preserve">Used alongside MS; Innotest (Fujire) and Elecysys were used for CSF markers. A combination of plasma p‐tau181, NfL, and GFAP, but not Aβ1‐42/1‐40, might be useful to discriminate AD, FTD, and DLB.
</t>
  </si>
  <si>
    <t>Thijssen EH, Verberk IMW, Kindermans J, Abramian A, Vanbrabant J, Ball AJ, Pijnenburg Y, Lemstra AW, van der Flier WM, Stoops E, Hirtz C, Teunissen CE.</t>
  </si>
  <si>
    <t>Alzheimers Dement (Amst). 2022 May 15;14(1):e12285. doi: 10.1002/dad2.12285. eCollection 2022.</t>
  </si>
  <si>
    <t>Thijssen EH</t>
  </si>
  <si>
    <t>PMC9107685</t>
  </si>
  <si>
    <t>IL-7, IL-10, IL-2, GM-CSF, CXCL13</t>
  </si>
  <si>
    <t>Used in a validation effort for Lab on a chip</t>
  </si>
  <si>
    <t>Goyal G, Prabhala P, Mahajan G, Bausk B, Gilboa T, Xie L, Zhai Y, Lazarovits R, Mansour A, Kim MS, Patil A, Curran D, Long JM, Sharma S, Junaid A, Cohen L, Ferrante TC, Levy O, Prantil-Baun R, Walt DR, Ingber DE.</t>
  </si>
  <si>
    <t>Adv Sci (Weinh). 2022 May;9(14):e2103241. doi: 10.1002/advs.202103241. Epub 2022 Mar 14.</t>
  </si>
  <si>
    <t>Goyal G</t>
  </si>
  <si>
    <t>Adv Sci (Weinh)</t>
  </si>
  <si>
    <t>PMC9109055</t>
  </si>
  <si>
    <t>AB40, AB42, pTau181, tTau</t>
  </si>
  <si>
    <t>he results reveal the universal applicability of CSF core AD biomarkers and Aβ PET imaging in Chinese dementia population, which is helpful in clinical practice and drug trials in China.</t>
  </si>
  <si>
    <t>Xie Q, Ni M, Gao F, Dai LB, Lv XY, Zhang YF, Shi Q, Zhu XX, Xie JK, Shen Y, Wang SC.</t>
  </si>
  <si>
    <t>ACS Chem Neurosci. 2022 May 18;13(10):1558-1565. doi: 10.1021/acschemneuro.2c00120. Epub 2022 Apr 27.</t>
  </si>
  <si>
    <t>Xie Q</t>
  </si>
  <si>
    <t>10.1021/acschemneuro.2c00120</t>
  </si>
  <si>
    <t>NFL HD-X</t>
  </si>
  <si>
    <t>MSD was used for one cohort, quanterix for another. Study was more about miRNA's in Evs</t>
  </si>
  <si>
    <t>Scaroni F, Visconte C, Serpente M, Golia MT, Gabrielli M, Huiskamp M, Hulst HE, Carandini T, De Riz M, Pietroboni A, Rotondo E, Scarpini E, Galimberti D, Teunissen CE, van Dam M, de Jong BA, Fenoglio C, Verderio C.</t>
  </si>
  <si>
    <t>Cells. 2022 May 5;11(9):1551. doi: 10.3390/cells11091551.</t>
  </si>
  <si>
    <t>Scaroni F</t>
  </si>
  <si>
    <t>PMC9104242</t>
  </si>
  <si>
    <t>10.3390/cells11091551</t>
  </si>
  <si>
    <t>AB40, AB42, ptau181, NFL, Ptau231</t>
  </si>
  <si>
    <t>Used alongside Fujire Bi, C2N. Quanterix was used for NFL and the Ptau181, Ptau231 measurements</t>
  </si>
  <si>
    <t xml:space="preserve"> In this study, sNfL levels increased with time in ALS patients and there was no difference between subjects already treated by Riluzole and those treated after sNfL1. Further studies with larger population samples and different sampling intervals are warranted to better determine the real potential of sNfL measurement as a tool to monitor treatment response in ALS.</t>
  </si>
  <si>
    <t>CNS Neurosci Ther. 2022 Jun 25. doi: 10.1111/cns.13894. Online ahead of print.</t>
  </si>
  <si>
    <t>In our prospective multi-site MS cohort, rLMMs demonstrated that the extent of global and regional brain disconnectivity is sensitive to a systemic biomarker of axonal damage, serum NfL, in patients with MS. These findings provide a neuroaxonal correlate of advanced disconnectome mapping and provide a platform for further investigations of the functional and potential clinical relevance of brain disconnectome mapping in patients with brain disorders.</t>
  </si>
  <si>
    <t>Rise HH, Brune S, Chien C, Berge T, Bos SD, Andorrà M, Valdeolivas IP, Beyer MK, Sowa P, Scheel M, Brandt AU, Asseyer S, Blennow K, Pedersen ML, Zetterberg H, de Schotten MT, Cellerino M, Uccelli A, Paul F, Villoslada P, Harbo HF, Westlye LT, Høgestøl EA.</t>
  </si>
  <si>
    <t>Neuroimage Clin. 2022 Jun 25;35:103099. doi: 10.1016/j.nicl.2022.103099. Online ahead of print.</t>
  </si>
  <si>
    <t>Rise HH</t>
  </si>
  <si>
    <t>Neuroimage Clin</t>
  </si>
  <si>
    <t>PMC9253471</t>
  </si>
  <si>
    <t>10.1016/j.nicl.2022.103099</t>
  </si>
  <si>
    <t>Measurement of plasma NfL within three days of admission may be useful to identify those patients with worse clinical outcomes, and as an enrichment strategy for future delirium interventional trials in the critically ill.</t>
  </si>
  <si>
    <t>Page VJ, Watne LO, Heslegrave A, Clark A, McAuley DF, Sanders RD, Zetterberg H.</t>
  </si>
  <si>
    <t>EBioMedicine. 2022 Jun;80:104043. doi: 10.1016/j.ebiom.2022.104043. Epub 2022 May 6.</t>
  </si>
  <si>
    <t>Page VJ</t>
  </si>
  <si>
    <t>PMC9092506</t>
  </si>
  <si>
    <t>10.1016/j.ebiom.2022.104043</t>
  </si>
  <si>
    <t>Homebrew NFL</t>
  </si>
  <si>
    <t xml:space="preserve">Clinical trial analysis. pNfL was associated with future clinical and radiologic disability progression features at the group level. pNfL was reduced by treatment and may be a meaningful outcome measure in PMS studies.
</t>
  </si>
  <si>
    <t>Leppert D, Kropshofer H, Häring DA, Dahlke F, Patil A, Meinert R, Tomic D, Kappos L, Kuhle J.</t>
  </si>
  <si>
    <t>Neurology. 2022 May 24;98(21):e2120-e2131. doi: 10.1212/WNL.0000000000200258. Epub 2022 Apr 4.</t>
  </si>
  <si>
    <t>Leppert D</t>
  </si>
  <si>
    <t>10.1212/WNL.0000000000200258</t>
  </si>
  <si>
    <t>Elevated baseline sNfL is associated with accelerated rates of retinal neuroaxonal loss in relapsing-remitting MS, independent of overt ON, but may be less reflective of retinal neurodegeneration in progressive MS.</t>
  </si>
  <si>
    <t>Sotirchos ES, Vasileiou ES, Filippatou AG, Fitzgerald KC, Smith MD, Lord HN, Kalaitzidis G, Lambe J, Duval A, Prince JL, Mowry EM, Saidha S, Calabresi PA.</t>
  </si>
  <si>
    <t>Neurology. 2022 May 26:10.1212/WNL.0000000000200778. doi: 10.1212/WNL.0000000000200778. Online ahead of print.</t>
  </si>
  <si>
    <t>Sotirchos ES</t>
  </si>
  <si>
    <t>10.1212/WNL.0000000000200778</t>
  </si>
  <si>
    <t xml:space="preserve"> Lower CABF is associated with increased sNfL in MS patients, highlighting the relationship between cerebral hypoperfusion and axonal pathology.</t>
  </si>
  <si>
    <t>Our analyses confirmed CSF and plasma NfL as stable and consistent marker for sCJD</t>
  </si>
  <si>
    <t>Mol Neurobiol. 2022 Jun 18. doi: 10.1007/s12035-022-02891-7. Online ahead of print.</t>
  </si>
  <si>
    <t>HD-X NFL light advantage</t>
  </si>
  <si>
    <t>Although there are differences between serum and EDTA-plasma NfL, results can be used interchangeably if standardized values are used.</t>
  </si>
  <si>
    <t>Rübsamen N, Willemse EAJ, Leppert D, Wiendl H, Nauck M, Karch A, Kuhle J, Berger K.</t>
  </si>
  <si>
    <t>Front Neurol. 2022 Jun 14;13:894119. doi: 10.3389/fneur.2022.894119. eCollection 2022.</t>
  </si>
  <si>
    <t>Rübsamen N</t>
  </si>
  <si>
    <t>PMC9237479</t>
  </si>
  <si>
    <t>10.3389/fneur.2022.894119</t>
  </si>
  <si>
    <t>Paired measurement inCSF + Serum. : CSF BDNF and NfL levels measured at the time of diagnosis are inversely associated with cognitive performance in MS. Our findings suggest that CSF biomarkers linked to different pathophysiological processes reflect neuropsychological impairment in the earliest stages of the disease. Combining different CSF measures might facilitate the developing of a better biomarker of cognition in MS.</t>
  </si>
  <si>
    <t>HD-1 Neurology 3 plex</t>
  </si>
  <si>
    <t>sNfL levels at admission could be a potential biomarker for predicting clinical deficits and prognosis in the natural course of AIS.</t>
  </si>
  <si>
    <t>Zhou FY, Chen DW, Li HY, Zhu C, Shen YY, Peng ZY, Li L, Bu XL, Zeng GH, Zhang M, Wang YJ, Jin WS.</t>
  </si>
  <si>
    <t>Dis Markers. 2022 May 3;2022:5236080. doi: 10.1155/2022/5236080. eCollection 2022.</t>
  </si>
  <si>
    <t>Zhou FY</t>
  </si>
  <si>
    <t>Dis Markers</t>
  </si>
  <si>
    <t>PMC9090527</t>
  </si>
  <si>
    <t>10.1155/2022/5236080</t>
  </si>
  <si>
    <t>These results show biomarker evidence of neurodegeneration in adults at risk or with T2D. Larger sample size and longitudinal analysis are required to better understand the application of NfL in people with risk and overt T2D</t>
  </si>
  <si>
    <t>Thota RN, Chatterjee P, Pedrini S, Hone E, Ferguson JJA, Garg ML, Martins RN.</t>
  </si>
  <si>
    <t>Front Endocrinol (Lausanne). 2022 Jun 20;13:915449. doi: 10.3389/fendo.2022.915449. eCollection 2022.</t>
  </si>
  <si>
    <t>Thota RN</t>
  </si>
  <si>
    <t>PMC9251066</t>
  </si>
  <si>
    <t>10.3389/fendo.2022.915449</t>
  </si>
  <si>
    <t>NFL, AB42</t>
  </si>
  <si>
    <t>HD-1 NFL advantage, AB42 advantage</t>
  </si>
  <si>
    <t>Benchmark study. Together, these findings establish a link between plasma markers of amyloid/neurodegeneration and intracortical myelin content in cognitively normal older adults, and support the role of plasma NfL in boosting aberrant FC patterns of the insular cortex, a central brain hub highly vulnerable to aging and neurodegeneration.</t>
  </si>
  <si>
    <t>Fernandez-Alvarez M, Atienza M, Zallo F, Matute C, Capetillo-Zarate E, Cantero JL.</t>
  </si>
  <si>
    <t>Front Aging Neurosci. 2022 Jun 17;14:896848. doi: 10.3389/fnagi.2022.896848. eCollection 2022.</t>
  </si>
  <si>
    <t>Fernandez-Alvarez M</t>
  </si>
  <si>
    <t>PMC9247578</t>
  </si>
  <si>
    <t>10.3389/fnagi.2022.896848</t>
  </si>
  <si>
    <t>Higher sNfL levels during periods of active inflammation predicted more GM atrophy and specific aspects of clinical disability 10 years later. The findings suggest that subsequent long-term GM atrophy is mainly due to neuroaxonal degradation within new lesions.</t>
  </si>
  <si>
    <t>Lie IA, Kaçar S, Wesnes K, Brouwer I, Kvistad SS, Wergeland S, Holmøy T, Midgard R, Bru A, Edland A, Eikeland R, Gosal S, Harbo HF, Kleveland G, Sørenes YS, Øksendal N, Varhaug KN, Vedeler CA, Barkhof F, Teunissen CE, Bø L, Torkildsen Ø, Myhr KM, Vrenken H.</t>
  </si>
  <si>
    <t>J Neurol Neurosurg Psychiatry. 2022 Jun 1:jnnp-2021-328568. doi: 10.1136/jnnp-2021-328568. Online ahead of print.</t>
  </si>
  <si>
    <t>Lie IA</t>
  </si>
  <si>
    <t>10.1136/jnnp-2021-328568</t>
  </si>
  <si>
    <t xml:space="preserve">An early increase of this biomarker after a 3-weekly chemotherapy course can be a predictive marker of final PIPN severity.
</t>
  </si>
  <si>
    <t>Karteri S, Bruna J, Argyriou AA, Mariotto S, Velasco R, Alemany M, Kalofonou F, Alberti P, Dinoto A, Velissaris D, Stradella A, Cavaletti G, Ferrari S, Kalofonos HP.</t>
  </si>
  <si>
    <t>J Peripher Nerv Syst. 2022 Jun;27(2):166-174. doi: 10.1111/jns.12493. Epub 2022 Apr 13.</t>
  </si>
  <si>
    <t>Karteri S</t>
  </si>
  <si>
    <t>10.1111/jns.12493</t>
  </si>
  <si>
    <t>NSAP-25, PSD-95, Ab40, AB42, NFL, GFAP</t>
  </si>
  <si>
    <t xml:space="preserve">The data establishes PSD-95 as a promising CSF marker for neurodegenerative disease synaptic pathology, while SNAP-25 and Ng appear to be somewhat more specific for AD. Together, these synaptic markers hold promise to identify early AD pathology, to correlate with cognitive decline, and to monitor responses to disease-modifying drugs reducing synaptic degeneration.
</t>
  </si>
  <si>
    <t>Ttau and AB40/42 were measured with other ELISAs</t>
  </si>
  <si>
    <t>Kivisäkk P, Carlyle BC, Sweeney T, Quinn JP, Ramirez CE, Trombetta BA, Mendes M, Brock M, Rubel C, Czerkowicz J, Graham D, Arnold SE.</t>
  </si>
  <si>
    <t>Alzheimers Res Ther. 2022 Apr 23;14(1):58. doi: 10.1186/s13195-022-01002-x.</t>
  </si>
  <si>
    <t>PMC9034610</t>
  </si>
  <si>
    <t>10.1186/s13195-022-01002-x</t>
  </si>
  <si>
    <t xml:space="preserve">HD-X, NFL advantage </t>
  </si>
  <si>
    <t xml:space="preserve">Serum and CSF. Used alongside UMANs own kit and Abbexa's ELISA. </t>
  </si>
  <si>
    <t>Bosn J Basic Med Sci. 2022 Apr 30. doi: 10.17305/bjbms.2021.7326. Online ahead of print.</t>
  </si>
  <si>
    <t>HD-1 Neurology 4 Plex</t>
  </si>
  <si>
    <t xml:space="preserve">Assay deve for another biomarker. </t>
  </si>
  <si>
    <t>NFL, tTau, GFAP</t>
  </si>
  <si>
    <t>HD-x Neurology 3 plex</t>
  </si>
  <si>
    <t>Relatively prolonged changes in serum NfL were observed, with elevated levels and classification utility persisting beyond the resolution of SRC symptoms and cognitive deficits. Finally, SRC classification performance throughout the 1st month after SRC was optimized through the combination of cognitive testing and serum biomarkers. Considered together, these findings provide further evidence for a role of computerized cognitive testing and fluid biomarkers of neuropathology as objective measures to assist in the identification of SRC and the monitoring of clinical and neuropathological recovery.</t>
  </si>
  <si>
    <t>J Neurotrauma. 2022 Jul 22. doi: 10.1089/neu.2022.0169. Online ahead of print.</t>
  </si>
  <si>
    <t>IL-6, TNFa, IL-10</t>
  </si>
  <si>
    <t>Cytokine 3 Plex</t>
  </si>
  <si>
    <t>Our findings suggest a measure of cytokine balance may explain the heterogenous findings in previous studies that have focussed solely on the association of workplace stress with pro-inflammatory cytokines. Future work is needed however, to provide a broader evidence-base for our claims to better inform designs to intervene in the higher workplace stress-poorer cognition relationship.</t>
  </si>
  <si>
    <t>Piantella S, O'Brien WT, Hale MW, Maruff P, McDonald SJ, Wright BJ.</t>
  </si>
  <si>
    <t>Compr Psychoneuroendocrinol. 2022 Apr 1;10:100131. doi: 10.1016/j.cpnec.2022.100131. eCollection 2022 May.</t>
  </si>
  <si>
    <t>Piantella S</t>
  </si>
  <si>
    <t>Compr Psychoneuroendocrinol</t>
  </si>
  <si>
    <t>PMC9216657</t>
  </si>
  <si>
    <t>10.1016/j.cpnec.2022.100131</t>
  </si>
  <si>
    <t>Immunopathological signatures in multisystem inflammatory syndrome in children and pediatric COVID-19</t>
  </si>
  <si>
    <t xml:space="preserve">Infectious Disease, Immunology (Pediatric COVID) </t>
  </si>
  <si>
    <t>MPO, IL18R1, TNFAIP6 and ACP5) and SIGLEC7,</t>
  </si>
  <si>
    <t>Immunopathological proteins</t>
  </si>
  <si>
    <t xml:space="preserve">Somalogic was onloy used on a small set of patient samples relative to other modalities used. </t>
  </si>
  <si>
    <t>Sacco K, Castagnoli R, Vakkilainen S, Liu C, Delmonte OM, Oguz C, Kaplan IM, Alehashemi S, Burbelo PD, Bhuyan F, de Jesus AA, Dobbs K, Rosen LB, Cheng A, Shaw E, Vakkilainen MS, Pala F, Lack J, Zhang Y, Fink DL, Oikonomou V, Snow AL, Dalgard CL, Chen J, Sellers BA, Montealegre Sanchez GA, Barron K, Rey-Jurado E, Vial C, Poli MC, Licari A, Montagna D, Marseglia GL, Licciardi F, Ramenghi U, Discepolo V, Lo Vecchio A, Guarino A, Eisenstein EM, Imberti L, Sottini A, Biondi A, Mató S, Gerstbacher D, Truong M, Stack MA, Magliocco M, Bosticardo M, Kawai T, Danielson JJ, Hulett T, Askenazi M, Hu S; NIAID Immune Response to COVID Group; Chile MIS-C Group; Pavia Pediatric COVID-19 Group, Cohen JI, Su HC, Kuhns DB, Lionakis MS, Snyder TM, Holland SM, Goldbach-Mansky R, Tsang JS, Notarangelo LD.</t>
  </si>
  <si>
    <t>Nat Med. 2022 May;28(5):1050-1062. doi: 10.1038/s41591-022-01724-3. Epub 2022 Feb 17.</t>
  </si>
  <si>
    <t>Sacco K</t>
  </si>
  <si>
    <t>Nat Med</t>
  </si>
  <si>
    <t>PMC9119950</t>
  </si>
  <si>
    <t>NIHMS1778599</t>
  </si>
  <si>
    <t>10.1038/s41591-022-01724-3</t>
  </si>
  <si>
    <t>Using the Plasma Proteome for Risk Stratifying Patients with Pulmonary Arterial Hypertension</t>
  </si>
  <si>
    <t>The addition of the six-protein model score to NT-proBNP improved prediction of 5-year outcomes from AUC 0.762 (0.702-0.821) to 0.818 (0.767-0.869) by receiver operating characteristic analysis (P = 0.00426 for difference in AUC) in the UK replication and French samples combined.</t>
  </si>
  <si>
    <t>Rhodes CJ, Wharton J, Swietlik EM, Harbaum L, Girerd B, Coghlan JG, Lordan J, Church C, Pepke-Zaba J, Toshner M, Wort SJ, Kiely DG, Condliffe R, Lawrie A, Gräf S, Montani D, Boucly A, Sitbon O, Humbert M, Howard LS, Morrell NW, Wilkins MR.</t>
  </si>
  <si>
    <t>Am J Respir Crit Care Med. 2022 May 1;205(9):1102-1111. doi: 10.1164/rccm.202105-1118OC.</t>
  </si>
  <si>
    <t>Rhodes CJ</t>
  </si>
  <si>
    <t>Am J Respir Crit Care Med</t>
  </si>
  <si>
    <t>10.1164/rccm.202105-1118OC</t>
  </si>
  <si>
    <t>Respiratory Disease (bronchopulmonary dysplasia)</t>
  </si>
  <si>
    <t>BCAM, SIGLEC-14, ANGPTL</t>
  </si>
  <si>
    <t>The study was pitched to validate 3 canditate proteins. These proteins were confimed to have clinical relevance and could be used to understand risk of BDP</t>
  </si>
  <si>
    <t>Comparison of Proteomic Expression Profiles after Radiation Exposure across Four Different Species</t>
  </si>
  <si>
    <t>Other (Radiation Exposure)</t>
  </si>
  <si>
    <t>Subset of proteins showed radiation damage specific to each species</t>
  </si>
  <si>
    <t>Sproull M, Nishita D, Chang P, Moroni M, Citrin D, Shankavaram U, Camphausen K.</t>
  </si>
  <si>
    <t>Radiat Res. 2022 Apr 1;197(4):315-323. doi: 10.1667/RADE-21-00182.1.</t>
  </si>
  <si>
    <t>Sproull M</t>
  </si>
  <si>
    <t>Radiat Res</t>
  </si>
  <si>
    <t>PMC9053310</t>
  </si>
  <si>
    <t>NIHMS1796916</t>
  </si>
  <si>
    <t>10.1667/RADE-21-00182.1</t>
  </si>
  <si>
    <t>A novel non-invasive method allowing for discovery of pathologically relevant proteins from small airways</t>
  </si>
  <si>
    <t xml:space="preserve">Respiratory Disease </t>
  </si>
  <si>
    <t>ALDOA4, C4, SERPINA1, CD93,CCL18,F10, IgM, IL-1RAP, SRAGE</t>
  </si>
  <si>
    <t xml:space="preserve">Proteins from exhauled air were able to be used for analysis and may have some legs for non-invasive mesurements </t>
  </si>
  <si>
    <t>Östling J, Van Geest M, Olsson HK, Dahlen SE, Viklund E, Gustafsson PM, Mirgorodskaya E, Olin AC.</t>
  </si>
  <si>
    <t>Clin Proteomics. 2022 Jun 6;19(1):20. doi: 10.1186/s12014-022-09348-y.</t>
  </si>
  <si>
    <t>Östling J</t>
  </si>
  <si>
    <t>PMC9167914</t>
  </si>
  <si>
    <t>10.1186/s12014-022-09348-y</t>
  </si>
  <si>
    <t>APOL1 Kidney Risk Variants and Proteomics</t>
  </si>
  <si>
    <t xml:space="preserve">Renal Disease </t>
  </si>
  <si>
    <t>APOL1, APOL2, CLSTN2, MMP-2, SPOCK2, TIMP-2</t>
  </si>
  <si>
    <t xml:space="preserve">APOL1 variants were not associated in APOL1 associated risk for heart failure, but were associated with the level of APOL1 </t>
  </si>
  <si>
    <t>Chen TK, Surapaneni AL, Arking DE, Ballantyne CM, Boerwinkle E, Chen J, Coresh J, Köttgen A, Susztak K, Tin A, Yu B, Grams ME.</t>
  </si>
  <si>
    <t>Clin J Am Soc Nephrol. 2022 May;17(5):684-692. doi: 10.2215/CJN.14701121. Epub 2022 Apr 26.</t>
  </si>
  <si>
    <t>Chen TK</t>
  </si>
  <si>
    <t>Clin J Am Soc Nephrol</t>
  </si>
  <si>
    <t>PMC9269576</t>
  </si>
  <si>
    <t>10.2215/CJN.14701121</t>
  </si>
  <si>
    <t>Plasma proteins, cognitive decline, and 20-year risk of dementia in the Whitehall II and Atherosclerosis Risk in Communities studies</t>
  </si>
  <si>
    <t>N‐terminal pro‐BNP, N‐terminal pro‐BNP; CDCP1, CUB domain‐containing protein 1. MIC‐1, growth/differentiation factor 15. CRDL1, Chordin‐like protein 1; RNAS6, ribonuclease K6; SAP3, ganglioside GM2 activator; HE4, WAP four‐disulfide core domain protein 2; TIMP‐4, metalloproteinase inhibitor 4; IGFBP‐7, insulin‐like growth factor‐binding protein 7; OPG, tumor necrosis factor receptor superfamily member 11B; Siglec‐7, sialic acid‐binding Ig‐like lectin 7; SVEP1, Sushi, von Willebrand factor type A, EGF and pentraxin domain‐containing protein 1; TREM2, triggering receptor expressed on myeloid cells 2; NPS‐PLA2, phospholipase A2, membrane associated; MARCKSL1, MARCKS‐related protein; Spondin‐1, spondin‐1; IGFBP‐2, insulin‐like growth factor‐binding protein 2; Neuropeptide W, neuropeptide W; ST4S6, Carbohydrate sulfotransferase 15; TPPP2, tubulin polymerization‐promoting protein family member 2; LEAP‐1, hepcidin</t>
  </si>
  <si>
    <t>This study identified several plasma proteins in dementia-free people that are associated with long-term risk of cognitive decline and dementia.</t>
  </si>
  <si>
    <t>Lindbohm JV, Mars N, Walker KA, Singh-Manoux A, Livingston G, Brunner EJ, Sipilä PN, Saksela K, Ferrie JE, Lovering RC, Williams SA, Hingorani AD, Gottesman RF, Zetterberg H, Kivimäki M.</t>
  </si>
  <si>
    <t>Alzheimers Dement. 2022 Apr;18(4):612-624. doi: 10.1002/alz.12419. Epub 2021 Aug 2.</t>
  </si>
  <si>
    <t>Lindbohm JV</t>
  </si>
  <si>
    <t>PMC9292245</t>
  </si>
  <si>
    <t>10.1002/alz.12419</t>
  </si>
  <si>
    <t>When comparing samples processed immediately, 24-h, and 48-h later, 55% of assays had an ICC/r ≥ 0.75 and 87% had an ICC/r ≥ 0.40 in Olink compared to 44% with an ICC/r ≥ 0.75 and 72% with an ICC/r ≥ 0.40 in SOMAscan7K. For both platforms, &gt;90% of the assays were stable (ICC/r ≥ 0.40) in samples collected 1-year apart. Among 817 proteins measured with both platforms, Spearman's correlations were high (r &gt; 0.75) for 14.7% and poor (r &lt; 0.40) for 44.8% of proteins. High-throughput proteomics profiling demonstrated reproducibility in archived plasma samples and stability after delayed processing in epidemiological studies, yet correlations between proteins measured with the Olink and SOMAscan7K platforms were highly variable.</t>
  </si>
  <si>
    <t>Severe iatrogenic hypoglycaemia modulates the fibroblast growth factor protein response</t>
  </si>
  <si>
    <t xml:space="preserve">Metabolic (iatrogenic hypoglyceaemia) </t>
  </si>
  <si>
    <t>FGF (FGF1, FGF12. FGF20, FGFF7, FGF2, FGF4, FGF6, FGF8, FGF9, FGF10, FGF21, FGF16, FGF19,FGF18, FGF23) FGFR</t>
  </si>
  <si>
    <t xml:space="preserve">FGF and receptors </t>
  </si>
  <si>
    <t>Taken together, these data suggest that recurrent hypoglycaemia may contribute to the development of complications through changes in FGF proteins.</t>
  </si>
  <si>
    <t>Nandakumar M, Moin ASM, Ramanjaneya M, Qaissi AA, Sathyapalan T, Atkin SL, Butler AE.</t>
  </si>
  <si>
    <t>Diabetes Obes Metab. 2022 Aug;24(8):1483-1497. doi: 10.1111/dom.14716. Epub 2022 May 3.</t>
  </si>
  <si>
    <t>Nandakumar M</t>
  </si>
  <si>
    <t>Diabetes Obes Metab</t>
  </si>
  <si>
    <t>10.1111/dom.14716</t>
  </si>
  <si>
    <t>Patterns and Persistence of Perioperative Plasma and Cerebrospinal Fluid Neuroinflammatory Protein Biomarkers After Elective Orthopedic Surgery Using SOMAscan</t>
  </si>
  <si>
    <t xml:space="preserve">Immunology, Neurology, General Health (Surgical Reaactions) </t>
  </si>
  <si>
    <t xml:space="preserve">IL-6, TGFB1 (and related / regulating protien) </t>
  </si>
  <si>
    <t>neuronal functio, neuroinflammation</t>
  </si>
  <si>
    <t>Differnet proteins were found to be regulated differently between different time points (pre-op, post op, 1 mo post op) in CSF and blood samples.
Comparison of postoperative day 1 (POD1) to preoperative (PREOP) plasma protein levels identified 343 proteins with postsurgical changes (P &lt; .05; absolute value of the fold change [|FC|] &gt; 1.2). Comparing postoperative 1-month (PO1MO) plasma and CSF with PREOP identified 67 proteins in plasma and 79 proteins in CSF with altered levels (P &lt; .05; |FC| &gt; 1.2). In plasma, 21 proteins, primarily linked to immune response and inflammation, were similarly changed at POD1 and PO1MO. Comparison of plasma to CSF at PO1MO identified 8 shared proteins. Comparison of plasma at POD1 to CSF at PO1MO identified a larger number, 15 proteins in common, most of which are regulated by interleukin-6 (IL-6) or transforming growth factor beta-1 (TGFB1) and linked to the inflammatory response. Of the 79 CSF PO1MO-specific proteins, many are involved in neuronal function and neuroinflammation.</t>
  </si>
  <si>
    <t>Dillon ST, Otu HH, Ngo LH, Fong TG, Vasunilashorn SM, Xie Z, Kunze LJ, Vlassakov KV, Abdeen A, Lange JK, Earp BE, Cooper ZR, Schmitt EM, Arnold SE, Hshieh TT, Jones RN, Inouye SK, Marcantonio ER, Libermann TA; RISE Study Group.</t>
  </si>
  <si>
    <t>Anesth Analg. 2022 Apr 7. doi: 10.1213/ANE.0000000000005991. Online ahead of print.</t>
  </si>
  <si>
    <t>Dillon ST</t>
  </si>
  <si>
    <t>Anesth Analg</t>
  </si>
  <si>
    <t>10.1213/ANE.0000000000005991</t>
  </si>
  <si>
    <t>Effects of ivacaftor on systemic inflammation and the plasma proteome in people with CF and G551D</t>
  </si>
  <si>
    <t xml:space="preserve">Respiratory Disease/Gentic Disease (Cystic Fibrosis) </t>
  </si>
  <si>
    <t xml:space="preserve">albumin, afamin, leptin, trypsin, pancreatic stone protein [PSP], pituitary adenylate cyclase-activating polypeptide-38, repulsive guidance molecule A [RGMA], calreticulin, GTPase Kras, HMGB-1, CALPROTECTIN SERUM AMYLOID A, G-CSF, IGF-1, </t>
  </si>
  <si>
    <t xml:space="preserve">The drug has a measurable impact on the proteome that could be beneficial to the patient. </t>
  </si>
  <si>
    <t>Hoppe JE, Wagner BD, Kirk Harris J, Rowe SM, Heltshe SL, DeBoer EM, Sagel SD.</t>
  </si>
  <si>
    <t>J Cyst Fibros. 2022 Apr 16:S1569-1993(22)00089-3. doi: 10.1016/j.jcf.2022.03.012. Online ahead of print.</t>
  </si>
  <si>
    <t>Hoppe JE</t>
  </si>
  <si>
    <t>J Cyst Fibros</t>
  </si>
  <si>
    <t>10.1016/j.jcf.2022.03.012</t>
  </si>
  <si>
    <t>A proteomic surrogate for cardiovascular outcomes that is sensitive to multiple mechanisms of change in risk</t>
  </si>
  <si>
    <t xml:space="preserve">The 27-protein model has potential as a "universal" surrogate end point for cardiovascular risk.
</t>
  </si>
  <si>
    <t>Williams SA, Ostroff R, Hinterberg MA, Coresh J, Ballantyne CM, Matsushita K, Mueller CE, Walter J, Jonasson C, Holman RR, Shah SH, Sattar N, Taylor R, Lean ME, Kato S, Shimokawa H, Sakata Y, Nochioka K, Parikh CR, Coca SG, Omland T, Chadwick J, Astling D, Hagar Y, Kureshi N, Loupy K, Paterson C, Primus J, Simpson M, Trujillo NP, Ganz P.</t>
  </si>
  <si>
    <t>Sci Transl Med. 2022 Apr 6;14(639):eabj9625. doi: 10.1126/scitranslmed.abj9625. Epub 2022 Apr 6.</t>
  </si>
  <si>
    <t>Williams SA</t>
  </si>
  <si>
    <t>Sci Transl Med</t>
  </si>
  <si>
    <t>10.1126/scitranslmed.abj9625</t>
  </si>
  <si>
    <t>Results of untargeted analysis using the SOMAscan proteomics platform indicates novel associations of circulating proteins with risk of progression to kidney failure in diabetes</t>
  </si>
  <si>
    <t>DLL1, MATN2, NRX1B, KLK8, RTN4R and ROR1, LAYN, MAPK11, endostatin</t>
  </si>
  <si>
    <t xml:space="preserve">Proteins were associated with kidney failure and could serve as a diabetic prognostic, 3 markers (DLL1, ESAM, MAPK11) were also selected as candidate biomarkers </t>
  </si>
  <si>
    <t>Kobayashi H, Looker HC, Satake E, Saulnier PJ, Md Dom ZI, O'Neil K, Ihara K, Krolewski B, Galecki AT, Niewczas MA, Wilson JM, Doria A, Duffin KL, Nelson RG, Krolewski AS.</t>
  </si>
  <si>
    <t>Kidney Int. 2022 May 23:S0085-2538(22)00372-6. doi: 10.1016/j.kint.2022.04.022. Online ahead of print.</t>
  </si>
  <si>
    <t>Kobayashi H</t>
  </si>
  <si>
    <t>Kidney Int</t>
  </si>
  <si>
    <t>10.1016/j.kint.2022.04.022</t>
  </si>
  <si>
    <t>Multiomics analysis of rheumatoid arthritis yields sequence variants that have large effects on risk of the seropositive subset</t>
  </si>
  <si>
    <t>Immunology (RA)</t>
  </si>
  <si>
    <t>Mostly a genetic variant study in RA, but there was a signifigant size of proteomic measurements.  Overall led to a decrease in IFNa,b receptor which is involved in pathways impacted by genetic variations. High degree of trans PQTLs identified as a result of the variants studied</t>
  </si>
  <si>
    <t>Saevarsdottir S, Stefansdottir L, Sulem P, Thorleifsson G, Ferkingstad E, Rutsdottir G, Glintborg B, Westerlind H, Grondal G, Loft IC, Sorensen SB, Lie BA, Brink M, Ärlestig L, Arnthorsson AO, Baecklund E, Banasik K, Bank S, Bjorkman LI, Ellingsen T, Erikstrup C, Frei O, Gjertsson I, Gudbjartsson DF, Gudjonsson SA, Halldorsson GH, Hendricks O, Hillert J, Hogdall E, Jacobsen S, Jensen DV, Jonsson H, Kastbom A, Kockum I, Kristensen S, Kristjansdottir H, Larsen MH, Linauskas A, Hauge EM, Loft AG, Ludviksson BR, Lund SH, Markusson T, Masson G, Melsted P, Moore KHS, Munk H, Nielsen KR, Norddahl GL, Oddsson A, Olafsdottir TA, Olason PI, Olsson T, Ostrowski SR, Hørslev-Petersen K, Rognvaldsson S, Sanner H, Silberberg GN, Stefansson H, Sørensen E, Sørensen IJ, Turesson C, Bergman T, Alfredsson L, Kvien TK, Brunak S, Steinsson K, Andersen V, Andreassen OA, Rantapää-Dahlqvist S, Hetland ML, Klareskog L, Askling J, Padyukov L, Pedersen OB, Thorsteinsdottir U, Jonsdottir I, Stefansson K; Members of the DBDS Genomic Consortium; Danish RA Genetics Working Group; Swedish Rheumatology Quality Register Biobank Study Group (SRQb).</t>
  </si>
  <si>
    <t>Ann Rheum Dis. 2022 Aug;81(8):1085-1095. doi: 10.1136/annrheumdis-2021-221754. Epub 2022 Apr 25.</t>
  </si>
  <si>
    <t>Saevarsdottir S</t>
  </si>
  <si>
    <t>10.1136/annrheumdis-2021-221754</t>
  </si>
  <si>
    <t>Serum Protein Signatures Using Aptamer-Based Proteomics for Minimal Change Disease and Membranous Nephropathy</t>
  </si>
  <si>
    <t xml:space="preserve">Rental Disease (membranous nephropathy) </t>
  </si>
  <si>
    <t>cell death, inflammation</t>
  </si>
  <si>
    <t>Various signatures were able to differntiate MCD from MN from eachother and healthy controls.  identified cell death and inflammation as key pathways differentiating MN from MCD and healthy controls. Dysregulation of fatty acid metabolism pathways was confirmed in both MN and MCD as compared with the healthy subjects.</t>
  </si>
  <si>
    <t>Muruve DA, Debiec H, Dillon ST, Gu X, Plaisier E, Can H, Otu HH, Libermann TA, Ronco P.</t>
  </si>
  <si>
    <t>Kidney Int Rep. 2022 Apr 14;7(7):1539-1556. doi: 10.1016/j.ekir.2022.04.006. eCollection 2022 Jul.</t>
  </si>
  <si>
    <t>Muruve DA</t>
  </si>
  <si>
    <t>Kidney Int Rep</t>
  </si>
  <si>
    <t>PMC9263421</t>
  </si>
  <si>
    <t>10.1016/j.ekir.2022.04.006</t>
  </si>
  <si>
    <t>Serum Proteomics Uncovers Biomarkers of Clinical Portal Hypertension in Children With Biliary Atresia</t>
  </si>
  <si>
    <t>SEMA6B, SFRP3, COMMD7, VCAM1, BMX</t>
  </si>
  <si>
    <t>semaphorin 6B (SEMA6B) alone and three other protein combinations (SEMA6B+secreted frizzle protein 3 [SFRP3], SEMA6B+COMM domain containing 7 [COMMD7], and vascular cell adhesion molecule 1 [VCAM1]+BMX nonreceptor tyrosine kinase [BMX]) had AUROCs ≥ 0.90 in both cohorts, with high positive- and negative-predictive value</t>
  </si>
  <si>
    <t>Osborn J, Mourya R, Thanekar U, Su W, Fei L, Shivakumar P, Bezerra JA.</t>
  </si>
  <si>
    <t>Hepatol Commun. 2022 May;6(5):995-1004. doi: 10.1002/hep4.1878. Epub 2021 Dec 27.</t>
  </si>
  <si>
    <t>Osborn J</t>
  </si>
  <si>
    <t>Hepatol Commun</t>
  </si>
  <si>
    <t>PMC9035582</t>
  </si>
  <si>
    <t>10.1002/hep4.1878</t>
  </si>
  <si>
    <t>Placenta-derived proteins across gestation in healthy pregnancies-a novel approach to assess placental function?</t>
  </si>
  <si>
    <t xml:space="preserve"> Among the nearly 5000 measured proteins, we identified 256 placenta-derived proteins and 101 proteins taken up by the placenta (FDR &lt; 0.05). Among the 256 placenta-derived proteins released to maternal circulation, 101 proteins were defined as placenta-specific. These proteins formed two clusters with distinct developmental patterns across gestation. We identified five placenta-derived proteins that closely tracked gestational age when measured in the systemic maternal circulation, termed a "placental proteomic clock."</t>
  </si>
  <si>
    <t>Degnes ML, Westerberg AC, Zucknick M, Powell TL, Jansson T, Henriksen T, Roland MCP, Michelsen TM.</t>
  </si>
  <si>
    <t>BMC Med. 2022 Jul 1;20(1):227. doi: 10.1186/s12916-022-02415-z.</t>
  </si>
  <si>
    <t>Degnes ML</t>
  </si>
  <si>
    <t>BMC Med</t>
  </si>
  <si>
    <t>PMC9248112</t>
  </si>
  <si>
    <t>10.1186/s12916-022-02415-z</t>
  </si>
  <si>
    <t>Circulating proteomic profiles associated with endometriosis in adolescents and young adults</t>
  </si>
  <si>
    <t>First study to look at the proteome in healthy and women with endometriosis, may be a proteomic biomaker that comes out of studies like this</t>
  </si>
  <si>
    <t>Sasamoto N, Ngo L, Vitonis AF, Dillon ST, Missmer SA, Libermann TA, Terry KL.</t>
  </si>
  <si>
    <t>Hum Reprod. 2022 Jun 30:deac146. doi: 10.1093/humrep/deac146. Online ahead of print.</t>
  </si>
  <si>
    <t>Sasamoto N</t>
  </si>
  <si>
    <t>Hum Reprod</t>
  </si>
  <si>
    <t>10.1093/humrep/deac146</t>
  </si>
  <si>
    <t>Effects of age, amyloid, sex, and APOE ε4 on the CSF proteome in normal cognition</t>
  </si>
  <si>
    <t xml:space="preserve">Neurology (various, Alzheimers) </t>
  </si>
  <si>
    <t xml:space="preserve">CSF proteins were measured in many ways. Somascan for the broad strokes, MRM mass spec for peptides, RBM multiplexed panel and a 4 protein ELISA. </t>
  </si>
  <si>
    <t>Wesenhagen KEJ, Gobom J, Bos I, Vos SJB, Martinez-Lage P, Popp J, Tsolaki M, Vandenberghe R, Freund-Levi Y, Verhey F, Lovestone S, Streffer J, Dobricic V, Bertram L; Alzheimer's Disease Neuroimaging Initiative, Blennow K, Pikkarainen M, Hallikainen M, Kuusisto J, Laakso M, Soininen H, Scheltens P, Zetterberg H, Teunissen CE, Visser PJ, Tijms BM.</t>
  </si>
  <si>
    <t>Alzheimers Dement (Amst). 2022 May 6;14(1):e12286. doi: 10.1002/dad2.12286. eCollection 2022.</t>
  </si>
  <si>
    <t>PMC9074716</t>
  </si>
  <si>
    <t>10.1002/dad2.12286</t>
  </si>
  <si>
    <t>Biological Age Acceleration Is Lower in Women With Ischemic Stroke Compared to Men</t>
  </si>
  <si>
    <t>Neurology  (Ischemic Stroke)</t>
  </si>
  <si>
    <t xml:space="preserve">immune effector, platelet degredation </t>
  </si>
  <si>
    <t>Only 26 samples were run on somalogic from an 1000+ sample paper. 
 Additionally, 42 blood protein levels were associated with Hannum-extrinsic EAA (P&lt;0.05), belonging to the immune effector process (P=1.54×10-6) and platelet degranulation (P&lt;8.74×10-6) pathways.</t>
  </si>
  <si>
    <t>Gallego-Fabrega C, Muiño E, Cullell N, Cárcel-Márquez J, Lazcano U, Soriano-Tárraga C, Lledós M, Llucià-Carol L, Aguilera-Simón A, Marín R, Prats-Sánchez L, Camps-Renom P, Delgado-Mederos R, Martín-Campos JM, Delgado P, Martí-Fàbregas J, Montaner J, Krupinski J, Jiménez-Conde J, Roquer J, Fernández-Cadenas I.</t>
  </si>
  <si>
    <t>Stroke. 2022 Jul;53(7):2320-2330. doi: 10.1161/STROKEAHA.121.037419. Epub 2022 Feb 25.</t>
  </si>
  <si>
    <t>Gallego-Fabrega C</t>
  </si>
  <si>
    <t>10.1161/STROKEAHA.121.037419</t>
  </si>
  <si>
    <t>Plasma growth and differentiation factor 15 predict longitudinal changes in bone parameters in women, but not in men</t>
  </si>
  <si>
    <t>Other (Bone Density over time)</t>
  </si>
  <si>
    <t>Somascan called out for its low technical variability.  Higher GDF levels were associateed with bone density loss in women, but not men</t>
  </si>
  <si>
    <t>Osawa Y, Tanaka T, Semba RD, Fantoni G, Moaddel R, Candia J, Simonsick EM, Bandinelli S, Ferrucci L.</t>
  </si>
  <si>
    <t>J Gerontol A Biol Sci Med Sci. 2022 Apr 1:glac079. doi: 10.1093/gerona/glac079. Online ahead of print.</t>
  </si>
  <si>
    <t>Osawa Y</t>
  </si>
  <si>
    <t>10.1093/gerona/glac079</t>
  </si>
  <si>
    <t>Identification of Distinct Inflammatory Programs and Biomarkers in Systemic Juvenile Idiopathic Arthritis and Related Lung Disease by Serum Proteome Analysis</t>
  </si>
  <si>
    <t>Immunology (Juvenile Idiopathic Arthritis)</t>
  </si>
  <si>
    <t>Serum proteins support a systemic JIA-to-MAS continuum; help distinguish systemic JIA, systemic JIA/MAS, and SJIA-LD; and suggest etiologic hypotheses. Select biomarkers, such as ICAM-5, could aid in early detection and management of SJIA-LD.
Serum proteins support a systemic JIA-to-MAS continuum; help distinguish systemic JIA, systemic JIA/MAS, and SJIA-LD; and suggest etiologic hypotheses. Select biomarkers, such as ICAM-5, could aid in early detection and management of SJIA-LD.</t>
  </si>
  <si>
    <t>Chen G, Deutsch GH, Schulert GS, Zheng H, Jang S, Trapnell B, Lee PY, Macaubas C, Ho K, Schneider C, Saper VE, de Jesus AA, Krasnow MA, Grom A, Goldbach-Mansky R, Khatri P, Mellins ED, Canna SW.</t>
  </si>
  <si>
    <t>Arthritis Rheumatol. 2022 Jul;74(7):1271-1283. doi: 10.1002/art.42099. Epub 2022 May 31.</t>
  </si>
  <si>
    <t>Chen G</t>
  </si>
  <si>
    <t>PMC9246966</t>
  </si>
  <si>
    <t>NIHMS1782713</t>
  </si>
  <si>
    <t>10.1002/art.42099</t>
  </si>
  <si>
    <t>Epidermal growth factor receptor signaling in precancerous keratinocytes promotes neighboring head and neck cancer squamous cell carcinoma cancer stem cell-like properties and phosphoinositide 3-kinase inhibitor insensitivity</t>
  </si>
  <si>
    <t>Oncology (HNSCC)</t>
  </si>
  <si>
    <t>EGFR</t>
  </si>
  <si>
    <t>Our results demonstrate that precancerous keratinocytes can directly support neighboring HNSCC by activating EGFR. Importantly, PI3K inhibitor sensitivity was not necessarily a cancer cell-intrinsic property, and the tumor microenvironment impacts therapeutic response and supports CSCs. Additionally, combined inhibition of EGFR with PI3K inhibitor diminished EGFR activation induced by PI3K inhibitor and potently inhibited cancer cell proliferation and CSC maintenance.</t>
  </si>
  <si>
    <t>Nguyen KA, Keith MJ, Keysar SB, Hall SC, Bimali A, Jimeno A, Wang XJ, Young CD.</t>
  </si>
  <si>
    <t>Mol Carcinog. 2022 Jul;61(7):664-676. doi: 10.1002/mc.23409. Epub 2022 Apr 13.</t>
  </si>
  <si>
    <t>Nguyen KA</t>
  </si>
  <si>
    <t>Mol Carcinog</t>
  </si>
  <si>
    <t>PMC9233118</t>
  </si>
  <si>
    <t>NIHMS1795162</t>
  </si>
  <si>
    <t>10.1002/mc.23409</t>
  </si>
  <si>
    <t>SomaLogic</t>
  </si>
  <si>
    <t>Immune imprinting, breadth of variant recognition, and germinal center response in human SARS-CoV-2 infection and vaccination</t>
  </si>
  <si>
    <t>Infectious disease</t>
  </si>
  <si>
    <t>Evaluation of the Performance of a Multiplexed Serological Assay in the Detection of SARS-CoV-2 Infections in a Predominantly Vaccinated Population</t>
  </si>
  <si>
    <t>Age-Associated Seroprevalence of Coronavirus Antibodies: Population-Based Serosurveys in 2013 and 2020, British Columbia, Canada</t>
  </si>
  <si>
    <t>Vaccination of COVID-19 convalescent plasma donors increases binding and neutralizing antibodies against SARS-CoV-2 variants</t>
  </si>
  <si>
    <t>Measurement of SARS-CoV-2 antigens in plasma of pediatric patients with acute COVID-19 or MIS-C using an ultrasensitive and quantitative immunoassay</t>
  </si>
  <si>
    <t>Various proteins associated with coronavirus variants (spike,  or antibodies against these varients, ACE2)</t>
  </si>
  <si>
    <t>V-PLEX Coronavirus Panel 2 (IgG) Kit, V-PLEX Coronavirus Panel 2 (IgM) Kit, V-PLEX Coronavirus Panel 2 (IgA) Kit, V-PLEX SARS-CoV-2 Panel 9 (IgG) Kit, V-PLEX SARS-CoV-2 Panel 11 (IgG) Kit, V-PLEX SARS-CoV-2 Panel 11 (ACE2) Kit, V-PLEX SARS-CoV-2 Panel 20 (IgG) Kit, S-PLEX SARS-CoV-2 Spike Kit</t>
  </si>
  <si>
    <t xml:space="preserve">Used Meso Quick Plex SQ120 </t>
  </si>
  <si>
    <t>Röltgen K, Nielsen SCA, Silva O, Younes SF, Zaslavsky M, Costales C, Yang F, Wirz OF, Solis D, Hoh RA, Wang A, Arunachalam PS, Colburg D, Zhao S, Haraguchi E, Lee AS, Shah MM, Manohar M, Chang I, Gao F, Mallajosyula V, Li C, Liu J, Shoura MJ, Sindher SB, Parsons E, Dashdorj NJ, Dashdorj ND, Monroe R, Serrano GE, Beach TG, Chinthrajah RS, Charville GW, Wilbur JL, Wohlstadter JN, Davis MM, Pulendran B, Troxell ML, Sigal GB, Natkunam Y, Pinsky BA, Nadeau KC, Boyd SD.</t>
  </si>
  <si>
    <t>Cell. 2022 Mar 17;185(6):1025-1040.e14. doi: 10.1016/j.cell.2022.01.018. Epub 2022 Jan 25.</t>
  </si>
  <si>
    <t>Röltgen K</t>
  </si>
  <si>
    <t>Cell</t>
  </si>
  <si>
    <t>PMC8786601</t>
  </si>
  <si>
    <t>10.1016/j.cell.2022.01.018</t>
  </si>
  <si>
    <t xml:space="preserve">SARSCOV2 - N </t>
  </si>
  <si>
    <t xml:space="preserve">S-Plex SARS-COV-2 N  kit </t>
  </si>
  <si>
    <t>Ultra sensitive and  matching sensitivity  to PCR</t>
  </si>
  <si>
    <t>V-PLEX COVID-19 Coronavirus Panel 2 IgG</t>
  </si>
  <si>
    <t>Asamoah-Boaheng M, Goldfarb DM, Barakauskas V, Kirkham TL, Demers PA, Karim ME, Lavoie PM, Marquez AC, Jassem AN, Jenneson S, MacDonald C, Grunau B.</t>
  </si>
  <si>
    <t>Microbiol Spectr. 2022 Feb 23;10(1):e0145421. doi: 10.1128/spectrum.01454-21. Epub 2022 Feb 23.</t>
  </si>
  <si>
    <t>Asamoah-Boaheng M</t>
  </si>
  <si>
    <t>Microbiol Spectr</t>
  </si>
  <si>
    <t>PMC8865468</t>
  </si>
  <si>
    <t>10.1128/spectrum.01454-21</t>
  </si>
  <si>
    <t>Spike, S1 RBD, and Nucleocapsid of SARS-CoV-2, as well as Spike of SARS-CoV-1 and alpha-HCoVs (229E and NL63) and beta-HCoVs (HKU1 and OC43)</t>
  </si>
  <si>
    <t>V-PLEX Coronavirus Panel 2</t>
  </si>
  <si>
    <t xml:space="preserve">Looking into hpw past infections may be playing a roll in SARSCOV2 </t>
  </si>
  <si>
    <t>Tanunliong G, Liu AC, Kaweski S, Irvine M, Reyes RC, Purych D, Krajden M, Morshed M, Sekirov I, Gantt S, Skowronski DM, Jassem AN.</t>
  </si>
  <si>
    <t>Front Immunol. 2022 Mar 23;13:836449. doi: 10.3389/fimmu.2022.836449. eCollection 2022.</t>
  </si>
  <si>
    <t>Tanunliong G</t>
  </si>
  <si>
    <t>PMC8984254</t>
  </si>
  <si>
    <t>10.3389/fimmu.2022.836449</t>
  </si>
  <si>
    <t>SARS-CoV-2 N, S1 RBD, and SARS-CoV-2 Spikes from the ancestral Wuhan-Hu-1, Wuhan-Hu-1 with D614G, and the alpha, beta, and gamma variants</t>
  </si>
  <si>
    <t xml:space="preserve">V-PLEX SARS-CoV-2 </t>
  </si>
  <si>
    <t>Vaccination of previously infected individuals boosts antibodies including neutralizing activity against all SARS-CoV-2 variants.</t>
  </si>
  <si>
    <t>Di Germanio C, Simmons G, Thorbrogger C, Martinelli R, Stone M, Gniadek T, Busch MP.</t>
  </si>
  <si>
    <t>Transfusion. 2022 Mar;62(3):563-569. doi: 10.1111/trf.16823. Epub 2022 Feb 13.</t>
  </si>
  <si>
    <t>Di Germanio C</t>
  </si>
  <si>
    <t>10.1111/trf.16823</t>
  </si>
  <si>
    <t>SARSCOV2 - N, S</t>
  </si>
  <si>
    <t>Ultrasensitive blood SARS-CoV-2 antigen measurement has high diagnostic yield in children with acute COVID-19. Antigens were undetectable in most MIS-C patients, suggesting that persistent antigenemia is not a common contributor to MIS-C pathogenesis.</t>
  </si>
  <si>
    <t>Sigal GB, Novak T, Mathew A, Chou J, Zhang Y, Manjula N, Bathala P, Joe J, Padmanabhan N, Romero D, Allegri-Machado G, Joerger J, Loftis LL, Schwartz SP, Walker TC, Fitzgerald JC, Tarquinio KM, Zinter MS, Schuster JE, Halasa NB, Cullimore ML, Maddux AB, Staat MA, Irby K, Flori HR, Coates BM, Crandall H, Gertz SJ, Randolph AG, Pollock NR; Overcoming COVID-19 Investigators.</t>
  </si>
  <si>
    <t>Clin Infect Dis. 2022 Feb 25:ciac160. doi: 10.1093/cid/ciac160. Online ahead of print.</t>
  </si>
  <si>
    <t>Sigal GB</t>
  </si>
  <si>
    <t>PMC8903440</t>
  </si>
  <si>
    <t>10.1093/cid/ciac160</t>
  </si>
  <si>
    <t>Q1 '22</t>
  </si>
  <si>
    <t>Multiplex serological assay for establishing serological profiles of polymorphic, closely related peptide antigens</t>
  </si>
  <si>
    <t>Circulating Interleukin-7 in Human Pulmonary Arterial Hypertension</t>
  </si>
  <si>
    <t>Evaluation of an Electrochemiluminescence Assay for the Rapid Detection of Abrin Toxin</t>
  </si>
  <si>
    <t>Other (Toxin Screening)</t>
  </si>
  <si>
    <t>Serum protein signatures differentiate paediatric autoimmune/inflammatory disorders</t>
  </si>
  <si>
    <t>Direct comparison of antibody responses to four SARS-CoV-2 vaccines in Mongolia</t>
  </si>
  <si>
    <t>SARS-CoV-2 Nucleocapsid Plasma Antigen for Diagnosis and Monitoring of COVID-19</t>
  </si>
  <si>
    <t>Urinary CXCL10 Measurement in Late Renal Allograft Biopsies Predicts Outcome Even in Histologically Quiescent Patients</t>
  </si>
  <si>
    <t xml:space="preserve">Immunology (transplant) </t>
  </si>
  <si>
    <t>Sensitive assay design for detection of anti-drug antibodies to biotherapeutics that lack an immunoglobulin Fc domain</t>
  </si>
  <si>
    <t xml:space="preserve"> Methods (Drug Development)</t>
  </si>
  <si>
    <t>CSF neurofilament light may predict progression from amnestic mild cognitive impairment to Alzheimer's disease dementia</t>
  </si>
  <si>
    <t>A competitive ligand-binding assay to detect neutralizing antibodies to a bispecific drug using a multiplex Meso Scale Discovery platform</t>
  </si>
  <si>
    <t>The Effect of Tuberculosis Antimicrobials on the Immunometabolic Profiles of Primary Human Macrophages Stimulated with Mycobacterium tuberculosis</t>
  </si>
  <si>
    <t>A novel multiplex electrochemiluminescent immunoassay for detection and quantification of anti-SARS-CoV-2 IgG and anti-seasonal endemic human coronavirus IgG</t>
  </si>
  <si>
    <t xml:space="preserve">Infectious Disease, Methodology </t>
  </si>
  <si>
    <t>People critically ill with COVID-19 exhibit peripheral immune profiles predictive of mortality and reflective of SARS-CoV-2 lung viral burden</t>
  </si>
  <si>
    <t>Effect of Costimulatory Blockade With Abatacept After Ustekinumab Withdrawal in Patients With Moderate to Severe Plaque Psoriasis: The PAUSE Randomized Clinical Trial</t>
  </si>
  <si>
    <t>Immunology, Drug development</t>
  </si>
  <si>
    <t>Simple method to determine the concentration and incorporation ratio of ruthenium-labeled antibodies</t>
  </si>
  <si>
    <t>Identification of biological risk factors for persistent postoperative pain after total knee arthroplasty</t>
  </si>
  <si>
    <t>Validation of the LUMIPULSE automated immunoassay for the measurement of core AD biomarkers in cerebrospinal fluid</t>
  </si>
  <si>
    <t>Neurology, Methods</t>
  </si>
  <si>
    <t>Characterization of the liver immune microenvironment in liver biopsies from patients with chronic HBV infection</t>
  </si>
  <si>
    <t>Methods (animal model optimization)</t>
  </si>
  <si>
    <t>U-Plex Homebrew</t>
  </si>
  <si>
    <t xml:space="preserve">Used Meso QuickPlex Sq 120 </t>
  </si>
  <si>
    <t>Bolton J, Chaudhury S, MacGill RS, Early AM, King CR, Locke E, Neafsey DE, Bergmann-Leitner ES.</t>
  </si>
  <si>
    <t>MethodsX. 2021 Apr 22;8:101345. doi: 10.1016/j.mex.2021.101345. eCollection 2021.</t>
  </si>
  <si>
    <t>Bolton J</t>
  </si>
  <si>
    <t>MethodsX</t>
  </si>
  <si>
    <t>PMC8374401</t>
  </si>
  <si>
    <t>10.1016/j.mex.2021.101345</t>
  </si>
  <si>
    <t>IL-7, VEGF-C, ICAM-1 and VCAM-1</t>
  </si>
  <si>
    <t>Cytokine Panel, Angiogenesis panel, Vascular Injusry panel</t>
  </si>
  <si>
    <t xml:space="preserve">Panels were used but the antigens of interest were already defined; IL-7 and VEGF-C were found to be associated with severity of PAH </t>
  </si>
  <si>
    <t>Diekmann F, Legchenko E, Chouvarine P, Lichtinghagen R, Bertram H, Happel CM, Hansmann G.</t>
  </si>
  <si>
    <t>Front Cardiovasc Med. 2021 Dec 8;8:794549. doi: 10.3389/fcvm.2021.794549. eCollection 2021.</t>
  </si>
  <si>
    <t>Diekmann F</t>
  </si>
  <si>
    <t>PMC8692707</t>
  </si>
  <si>
    <t>10.3389/fcvm.2021.794549</t>
  </si>
  <si>
    <t xml:space="preserve">Various Abrin or other toxins </t>
  </si>
  <si>
    <t>Homebrew toxin detecting assays</t>
  </si>
  <si>
    <t>The results show that the Meso Scale Diagnostics abrin detection assay exhibits good sensitivity and specificity with a limit of detection of 4 ng/mL. However, the dynamic range of the assay for the quantitation of abrin was limited. We observed a hook effect at higher abrin concentrations, which can lead to potential false negative results</t>
  </si>
  <si>
    <t>Pillai CA, Manickam G, Thirunavukkarasu N, Pillai SP, Morse SA, Avila JR, Hodge DR, Anderson K, Sharma S.</t>
  </si>
  <si>
    <t>Health Secur. 2021 Jul-Aug;19(4):431-441. doi: 10.1089/hs.2020.0102. Epub 2021 Jul 2.</t>
  </si>
  <si>
    <t>Pillai CA</t>
  </si>
  <si>
    <t>Health Secur</t>
  </si>
  <si>
    <t>10.1089/hs.2020.0102</t>
  </si>
  <si>
    <t>IL-23, MIP-1β, MCP-1, M-CSF and MDCm; IL-18, MIF, MIP-5 and YKL-40</t>
  </si>
  <si>
    <t>U plex Biomarker Group 1 (CTACK, ENA-78, Eotaxin, Eotaxin-2, Eotaxin-3, EPO, FLT3L, Fractalkine, G-CSF, GM-CSF, GRO-α, I-309, IFN-α2a, IFN-β, IFN-γ, IL-1α, IL-1β, IL-1RA, IL-2, IL-2Rα, IL-3, IL-4, IL-5, IL-6, IL-7, IL-8, IL-9, IL-10, IL-12/IL-23p40, IL-12p70, IL-13, IL-15, IL-16, IL-17A, IL-17A/F, IL-17B, IL-17C, IL-17D, IL-17E/IL-25, IL-17F, IL-18, IL-21, IL-22, IL-23, IL-27, IL-29/IFN-λ1, IL-31, IL-33, IP-10, I-TAC, MCP-1, MCP-2, MCP-3, MCP-4, M-CSF, MDC, MIF, MIP-1α, MIP-1β, MIP-3α, MIP-3β, MIP-5, SDF-1α, TARC, TGF-β1, TGF-β2, TGF-β3, TNF-α, TNF-β, TPO, TRAIL, TSLP, VEGF-A, YKL-40)</t>
  </si>
  <si>
    <t xml:space="preserve">Proteins were founf to be both discriminatory as well as could subtype JIA </t>
  </si>
  <si>
    <t>Carlsson E, Midgley A, Perkins S, Caamano-Gutierrez E, Gritzfeld JF, Beresford MW, Hedrich CM.</t>
  </si>
  <si>
    <t>Clin Immunol. 2021 Aug;229:108790. doi: 10.1016/j.clim.2021.108790. Epub 2021 Jun 29.</t>
  </si>
  <si>
    <t>Carlsson E</t>
  </si>
  <si>
    <t>Clin Immunol</t>
  </si>
  <si>
    <t>10.1016/j.clim.2021.108790</t>
  </si>
  <si>
    <t>CE2, COVID19 Abs</t>
  </si>
  <si>
    <t>V-PLEX SARS-CoV-2 Panel 11 (ACE2) kit, V-PLEX Coronavirus Panel 4 (IgG) kit</t>
  </si>
  <si>
    <t>Dashdorj NJ, Wirz OF, Röltgen K, Haraguchi E, Buzzanco AS 3rd, Sibai M, Wang H, Miller JA, Solis D, Sahoo MK, Arunachalam PS, Lee AS, Shah MM, Liu J, Byambabaatar S, Bat-Ulzii P, Enkhbat A, Batbold E, Zulkhuu D, Ochirsum B, Khurelsukh T, Dalantai G, Burged N, Baatarsuren U, Ariungerel N, Oidovsambuu O, Bungert AS, Genden Z, Yagaanbuyant D, Mordorj A, Pulendran B, Chinthrajah S, Nadeau KC, Jardetzky T, Wilbur JL, Wohlstadter JN, Sigal GB, Pinsky BA, Boyd SD, Dashdorj ND.</t>
  </si>
  <si>
    <t>Cell Host Microbe. 2021 Dec 8;29(12):1738-1743.e4. doi: 10.1016/j.chom.2021.11.004. Epub 2021 Nov 12.</t>
  </si>
  <si>
    <t>Dashdorj NJ</t>
  </si>
  <si>
    <t>Cell Host Microbe</t>
  </si>
  <si>
    <t>PMC8585611</t>
  </si>
  <si>
    <t>10.1016/j.chom.2021.11.004</t>
  </si>
  <si>
    <t>SARSCOV2 N protein</t>
  </si>
  <si>
    <t xml:space="preserve">S-Plex SARS-COV-2 kit </t>
  </si>
  <si>
    <t xml:space="preserve">Plasma antigen detection performed comprable to respiratory NAAT testing </t>
  </si>
  <si>
    <t>Wang H, Hogan CA, Verghese M, Solis D, Sibai M, Huang C, Röltgen K, Stevens BA, Yamamoto F, Sahoo MK, Zehnder J, Boyd SD, Pinsky BA.</t>
  </si>
  <si>
    <t>Clin Chem. 2021 Dec 30;68(1):204-213. doi: 10.1093/clinchem/hvab216.</t>
  </si>
  <si>
    <t>Wang H</t>
  </si>
  <si>
    <t>PMC8522398</t>
  </si>
  <si>
    <t>10.1093/clinchem/hvab216</t>
  </si>
  <si>
    <t>SARSCOV2 N protein, SARSCOV2 S protein</t>
  </si>
  <si>
    <t xml:space="preserve">S-Plex COV-2 N and COV-2-S kits </t>
  </si>
  <si>
    <t>The LOD and assay cut-off for the N assay were 0.64 and 1.28 pg/mL, respectively, and for the S assay were 1.12 and 1.65 pg/mL, respectively (assay details in Supplementary Methods).
 Ultrasensitive blood SARS-CoV-2 antigen measurement has high diagnostic yield in children with acute COVID-19. Antigens were undetectable in most MIS-C patients, suggesting that persistent antigenemia is not a common contributor to MIS-C pathogenesis.</t>
  </si>
  <si>
    <t>Sigal GB, Novak T, Mathew A, Chou J, Zhang Y, Manjula N, Bathala P, Joe J, Padmanabhan N, Romero D, Allegri-Machado G, Joerger J, Loftis LL, Schwartz SP, Walker TC, Fitzgerald JC, Tarquinio KM, Zinter MS, Schuster JE, Halasa NB, Cullimore ML, Maddux AB, Staat MA, Irby K, Flori HR, Coates BM, Crandall H, Gertz SJ, Randolph AG, Pollock NR.</t>
  </si>
  <si>
    <t>medRxiv. 2021 Dec 9:2021.12.08.21267502. doi: 10.1101/2021.12.08.21267502. Preprint.</t>
  </si>
  <si>
    <t>medRxiv</t>
  </si>
  <si>
    <t>PMC8669854</t>
  </si>
  <si>
    <t>10.1101/2021.12.08.21267502</t>
  </si>
  <si>
    <t>V-Plex Chemokine Panel 1</t>
  </si>
  <si>
    <t xml:space="preserve">Urine sample type, urinary CXCL10 was found to be a promising marker of allograft rejection and is an idependent predictor </t>
  </si>
  <si>
    <t>Handschin J, Wehmeier C, Amico P, Hopfer H, Dickenmann M, Schaub S, Hirt-Minkowski P.</t>
  </si>
  <si>
    <t>Transplant Proc. 2021 Sep;53(7):2168-2179. doi: 10.1016/j.transproceed.2021.07.013. Epub 2021 Aug 19.</t>
  </si>
  <si>
    <t>Handschin J</t>
  </si>
  <si>
    <t>Transplant Proc</t>
  </si>
  <si>
    <t>10.1016/j.transproceed.2021.07.013</t>
  </si>
  <si>
    <t>Custom Homebrew</t>
  </si>
  <si>
    <t xml:space="preserve">MSD was used to detect custom anti-drug antibodies in a drug development / QC assay dev effort </t>
  </si>
  <si>
    <t>Johnson D, Simmons E, Abdeen S, Kinne A, Parmer E, Rinker S, Thystrup J, Ramaswamy S, Bowsher RR.</t>
  </si>
  <si>
    <t>Sci Rep. 2021 Jul 29;11(1):15467. doi: 10.1038/s41598-021-95055-x.</t>
  </si>
  <si>
    <t>Johnson D</t>
  </si>
  <si>
    <t>PMC8322160</t>
  </si>
  <si>
    <t>10.1038/s41598-021-95055-x</t>
  </si>
  <si>
    <t xml:space="preserve">Retrospective analysis of CSF NFL comapred to AB42, P-tau and T-tau, NFL did not replace these three alone as Dx but could be used for progression of disease 
The assay has a limit of blank (LOB) of 0.7 pg/mL and lower and upper limit of quantitation (LLOQ, ULOQ) of 3.4 and 1700 pg/mL respectively. LOB was determined by running 20 replicates of zero calibrator and calculating the concentration corresponding to the average zero calibrator signal plus 2.5 standard deviations. LLOQ and ULOQ were determined by running 6 plates on 2 days with 4 replicates per plate. LLOQ was defined as the lowest concentration with a total coefficient of variation (CV) of 20 % or less. ULOQ was defined as the highest concentration with a total CV of 20 % or less. 7 NfL calibrators with concentrations from 6.7 ng/mL to 0.05 pg/mL (7x serially diluted) plus zero calibrator as 8 level were used to establish a standard curve using a weighted logistic fit. Native purified neurofilament light from bovine spinal cord was used to calibrate the assay. Samples were run blinded in duplicates on 14 plates over 2 days. Each plate contained 4 quality control (QC) samples in duplicates: a diluent spiked with 3 NfL concentrations spanning the assay range. Most QC sample concentrations were within 20% of the expected value. Due to limited available sample volume, CSF samples were blinded and diluted 1:10. 25 µL of diluted sample was used per measurement. Despite the fact that samples were diluted, all sample concentrations were measurable and at least one order of magnitude above the assay detection limit.
</t>
  </si>
  <si>
    <t>Lim B, Grøntvedt GR, Bathala P, Kale SS, Campbell CT, Stengelin M, Sando SB, Prassas I, Diamandis EP, Bråthen G.</t>
  </si>
  <si>
    <t>Neurobiol Aging. 2021 Nov;107:78-85. doi: 10.1016/j.neurobiolaging.2021.07.013. Epub 2021 Jul 24.</t>
  </si>
  <si>
    <t>Lim B</t>
  </si>
  <si>
    <t>Neurobiol Aging</t>
  </si>
  <si>
    <t>10.1016/j.neurobiolaging.2021.07.013</t>
  </si>
  <si>
    <t>Developing an assay to detect neutralizing antibodies for bi-specific drugs. 
The assay has sensitivity better than 250 ng/ml and is tolerant to the presence of drug at concentration &gt;600 μg/ml and to the level of soluble target(s) &gt;400 ng/ml. Conclusion: Our data suggest that multiplex approach can be successfully used for development of NAb assays in competitive ligand-binding assay format.</t>
  </si>
  <si>
    <t>Ablamunits V, Basak S, Lawrence-Henderson R, Caiazzo TM, Kamerud J.</t>
  </si>
  <si>
    <t>Bioanalysis. 2021 Nov;13(22):1659-1669. doi: 10.4155/bio-2021-0177. Epub 2021 Nov 8.</t>
  </si>
  <si>
    <t>Ablamunits V</t>
  </si>
  <si>
    <t>Bioanalysis</t>
  </si>
  <si>
    <t>10.4155/bio-2021-0177</t>
  </si>
  <si>
    <t xml:space="preserve">IL-1β, IL-6, IL-8, IL-10, TNFα, IFN-γ, IL-12, IL-13, IL-2, and IL-4, MCP-1, MCP-4, IP-10, MDC, MIP-1β, Eotaxin, Eotaxin-3, TARC, and MIP-1α.
</t>
  </si>
  <si>
    <t xml:space="preserve">Unspecified panels used just biomarkers on cell models. IL-6 was the focal point of the proteomic portion of the paper </t>
  </si>
  <si>
    <t>Cahill C, Cox DJ, O'Connell F, Basdeo SA, Gogan KM, Ó'Maoldomhnaigh C, O'Sullivan J, Keane J, Phelan JJ.</t>
  </si>
  <si>
    <t>Int J Mol Sci. 2021 Nov 10;22(22):12189. doi: 10.3390/ijms222212189.</t>
  </si>
  <si>
    <t>Cahill C</t>
  </si>
  <si>
    <t>PMC8624646</t>
  </si>
  <si>
    <t>10.3390/ijms222212189</t>
  </si>
  <si>
    <t>Spike (S) of Alpha-HCoVs HCoV-229E and HCoV-NL63; Spike of Beta-HCoVs HCoV-OC43 and HCoV-HKU1; Spike of SARS-CoV-1; and Spike, nucleocapsid (NC), and S1 receptor binding domain (RBD) of SARS-CoV-2</t>
  </si>
  <si>
    <t>V-Plex SARS COV2 - Panel 2</t>
  </si>
  <si>
    <t xml:space="preserve">Assay held ip </t>
  </si>
  <si>
    <t>Li FF, Liu A, Gibbs E, Tanunliong G, Marquez AC, Gantt S, Frykman H, Krajden M, Morshed M, Prystajecky NA, Cashman N, Sekirov I, Jassem AN.</t>
  </si>
  <si>
    <t>J Clin Virol. 2022 Jan;146:105050. doi: 10.1016/j.jcv.2021.105050. Epub 2021 Dec 1.</t>
  </si>
  <si>
    <t>Li FF</t>
  </si>
  <si>
    <t>J Clin Virol</t>
  </si>
  <si>
    <t>PMC8632860</t>
  </si>
  <si>
    <t>10.1016/j.jcv.2021.105050</t>
  </si>
  <si>
    <t>Eotaxin, Eotaxin-3, GM-CSF, IFN-γ, IL-1α, IL-1β, IL-1RA, IL-2, IL-3, IL-4, IL-5, IL-6, IL-7, IL-8, IL-8 (HA), IL-9, IL-10, IL-12/IL-23p40, IL-12p70, IL-13, IL-15, IL-16, IL-17A, IL-17A/F, IL-17B, IL-17C, IL-17D, IL-21, IL-22, IL-23, IL-27, IL-31, IP-10, MCP-1, MCP-4, MDC, MIP-1α, MIP-1β, MIP-3α, TARC, TNF-α, TNF-β, TSLP, VEGF-A</t>
  </si>
  <si>
    <t xml:space="preserve">V-Plex Cytikine 44 </t>
  </si>
  <si>
    <t xml:space="preserve">Cytokine measurements combined with single cell and flow cyto mesaurements; CXCL10 and IFN response,  CCL4,  CXCL10, IL-6, TNF-α, and IL-8 came out as interesting </t>
  </si>
  <si>
    <t>Cillo AR, Somasundaram A, Shan F, Cardello C, Workman CJ, Kitsios GD, Ruffin AT, Kunning S, Lampenfeld C, Onkar S, Grebinoski S, Deshmukh G, Methe B, Liu C, Nambulli S, Andrews LP, Duprex WP, Joglekar AV, Benos PV, Ray P, Ray A, McVerry BJ, Zhang Y, Lee JS, Das J, Singh H, Morris A, Bruno TC, Vignali DAA.</t>
  </si>
  <si>
    <t>Cell Rep Med. 2021 Dec 21;2(12):100476. doi: 10.1016/j.xcrm.2021.100476. Epub 2021 Dec 2.</t>
  </si>
  <si>
    <t>Cillo AR</t>
  </si>
  <si>
    <t>PMC8636386</t>
  </si>
  <si>
    <t>10.1016/j.xcrm.2021.100476</t>
  </si>
  <si>
    <t>IL‐2 4 
IL‐6 
IL‐10 9
IL‐17A 
IL‐22 
IFNg
TNFa 
TSLP</t>
  </si>
  <si>
    <t>Serum IL-19 was measured seperately</t>
  </si>
  <si>
    <t>Harris KM, Smilek DE, Byron M, Lim N, Barry WT, McNamara J, Garcet S, Konrad RJ, Stengelin M, Bathala P, Korman NJ, Feldman SR, Boh EE, Barber K, Laumann AE, Helfrich YR, Krueger GG, Sofen H, Bissonnette R, Krueger JG.</t>
  </si>
  <si>
    <t>JAMA Dermatol. 2021 Nov 1;157(11):1306-1315. doi: 10.1001/jamadermatol.2021.3492.</t>
  </si>
  <si>
    <t>Harris KM</t>
  </si>
  <si>
    <t>JAMA Dermatol</t>
  </si>
  <si>
    <t>PMC8515260</t>
  </si>
  <si>
    <t>10.1001/jamadermatol.2021.3492</t>
  </si>
  <si>
    <t>Jiang Y, Mayer AP, Carle K, Mozaffari R, Gunn G.</t>
  </si>
  <si>
    <t>Bioanalysis. 2022 Jan;14(1):19-28. doi: 10.4155/bio-2021-0197. Epub 2021 Nov 23.</t>
  </si>
  <si>
    <t>10.4155/bio-2021-0197</t>
  </si>
  <si>
    <t>Il-10,IL-1B,VEGF, IL12/IL23p40</t>
  </si>
  <si>
    <t xml:space="preserve">V-plex Cytokine 30 plex </t>
  </si>
  <si>
    <t>ostoperative plasma levels of four cytokines were significantly different in patients who developed persistent postoperative pain: interleukin (IL)-10, IL-1β, vascular endothelial growth factor, and IL12/IL23p40. Significantly lower IL-10 levels in the prearthrotomy synovial fluid were associated with development of postoperative persistent pain.</t>
  </si>
  <si>
    <t>Sideris A, Malahias MA, Birch G, Zhong H, Rotundo V, Like BJ, Otero M, Sculco PK, Kirksey M.</t>
  </si>
  <si>
    <t>Reg Anesth Pain Med. 2022 Mar;47(3):161-166. doi: 10.1136/rapm-2021-102953. Epub 2021 Dec 17.</t>
  </si>
  <si>
    <t>Sideris A</t>
  </si>
  <si>
    <t>Reg Anesth Pain Med</t>
  </si>
  <si>
    <t>10.1136/rapm-2021-102953</t>
  </si>
  <si>
    <t>hTau AG, pTau-181, b-amyloid 1-42,</t>
  </si>
  <si>
    <t xml:space="preserve">V-plex Plus AB Peptide Panel 1 </t>
  </si>
  <si>
    <t>Gobom J, Parnetti L, Rosa-Neto P, Vyhnalek M, Gauthier S, Cataldi S, Lerch O, Laczo J, Cechova K, Clarin M, Benet AL, Pascoal TA, Rahmouni N, Vandijck M, Huyck E, Le Bastard N, Stevenson J, Chamoun M, Alcolea D, Lleó A, Andreasson U, Verbeek MM, Bellomo G, Rinaldi R, Ashton NJ, Zetterberg H, Sheardova K, Hort J, Blennow K.</t>
  </si>
  <si>
    <t>Clin Chem Lab Med. 2021 Nov 15;60(2):207-219. doi: 10.1515/cclm-2021-0651. Print 2022 Jan 27.</t>
  </si>
  <si>
    <t>Gobom J</t>
  </si>
  <si>
    <t>10.1515/cclm-2021-0651</t>
  </si>
  <si>
    <t xml:space="preserve">SPD-1, sPDL-1, 39 other proteins including ICAM-1, CXCL10 </t>
  </si>
  <si>
    <t>Vplex Screening Service 1 (39 proteins), MSD U-plex PD-1 and PD-L1</t>
  </si>
  <si>
    <t xml:space="preserve">ICAM-1 and CXCL10 were founf to be potential biomarkers for the immune environment in chronically ill HBV patients </t>
  </si>
  <si>
    <t>van Buuren N, Ramirez R, Turner S, Chen D, Suri V, Aggarwal A, Moon C, Kim S, Kornyeyev D, Bui N, Bhardwaj N, Chan HL, Marcellin P, Buti M, Wallin J, Gaggar A, Fletcher SP, Diehl L, Li L, Mo H, Feierbach B.</t>
  </si>
  <si>
    <t>JHEP Rep. 2021 Oct 24;4(1):100388. doi: 10.1016/j.jhepr.2021.100388. eCollection 2022 Jan.</t>
  </si>
  <si>
    <t>van Buuren N</t>
  </si>
  <si>
    <t>PMC8671126</t>
  </si>
  <si>
    <t>10.1016/j.jhepr.2021.100388</t>
  </si>
  <si>
    <t>recGH, pitGH</t>
  </si>
  <si>
    <t xml:space="preserve">Homebrew HGH assay on MSD's platform </t>
  </si>
  <si>
    <t>Marchand A, Roy D, Monsheimer SA, Lewis J, Ericsson M.</t>
  </si>
  <si>
    <t>Q3 - Q1 '22</t>
  </si>
  <si>
    <t>Large-scale plasma proteomic profiling identifies a high-performance biomarker panel for Alzheimer's disease screening and staging</t>
  </si>
  <si>
    <t xml:space="preserve">KLK4, CD8A, LIF-R, hK14, AOC3, GSAP, NELL1, GAMT, CD164, LGMN, VP237A, VAMP5, NFKBIE, TMSB,10, PRKCQ, PRDX1, CASP-3, CETN2, LYN </t>
  </si>
  <si>
    <t>All Target 96; Cardiometabolic (91802), Cardiovascular II (91202), Cardiovascular III (91203), Cell regulation (91702), Development (91703), Immune response (91701), Inflammation (91301), Metabolism (91801), Neuro exploratory (91502), Neurology (91501), Oncology II (91402), Oncology III (91403), and Organ damage (91901)</t>
  </si>
  <si>
    <t xml:space="preserve">CD8A and CASP-3 were used to validate the plasma proteomics; 19 hub proteins were selected as representative of the Azlheimers plasma protein profile, not necessarily found to be the only significant proteins; Quanterix was also used as a method for common neuro markers; The 19 protein signature was also able to characterize AD the same as a pTau181, but was actually able to sub type and stage the disease better at diagnosis compared to how pTau may be more of a progressive measurement from Dx </t>
  </si>
  <si>
    <t>Jiang Y, Zhou X, Ip FC, Chan P, Chen Y, Lai NCH, Cheung K, Lo RMN, Tong EPS, Wong BWY, Chan ALT, Mok VCT, Kwok TCY, Mok KY, Hardy J, Zetterberg H, Fu AKY, Ip NY.</t>
  </si>
  <si>
    <t>Alzheimers Dement. 2022 Jan;18(1):88-102. doi: 10.1002/alz.12369. Epub 2021 May 25.</t>
  </si>
  <si>
    <t>10.1002/alz.12369</t>
  </si>
  <si>
    <t>Temporal patterns of inflammation-related proteins measured in the cerebrospinal fluid of patients with aneurysmal subarachnoid hemorrhage using multiplex Proximity Extension Assay technology</t>
  </si>
  <si>
    <t>CCL11
CCL20
CCL3 (MIP-1α)
CCL4 (MIP-1β)
CD244
FGF-19
FGF-21
LIF
MMP10
TGF-α
TRAIL (TNFSF10)
BDNF
beta-NGF
CCL28
CST-5
DNER
FGF-5
Flt3L
IL-18R1
LIF-R
OSM
4E-BP1
ADA
CASP-8
CCL13 (MCP-4)
CCL19
CCL23 (MIP-3)
CCL7 (MCP-3)
CCL8 (MCP-2)
CD40
CD5
CDCP-1
CXCL1
CXCL10
CXCL11
CXCL6
CXCL8 (IL-8)
CXCL9
EN-RAGE
HGF
IL-10RB
IL-18
IL-6
IL-7
OPG
SIRT-2
STAMPB
TGF-β1
TNF-B
TWEAK
uPA
CCL2 (MCP-1)
CCL25
CD6
CSF-1
CX3CL1
CXCL5
IL-10
IL-12B
MMP1
SCF
TNFRSF9
TNFSF14
VEGF</t>
  </si>
  <si>
    <t xml:space="preserve">Average valus from different groups was used to calculate the number of sig proteins; Found that there may be interesting biomarkers to follow in aneurysmal subarachnoid hemorrhage to track severity and recovery </t>
  </si>
  <si>
    <t>PLoS One. 2022 Mar 24;17(3):e0263460. doi: 10.1371/journal.pone.0263460. eCollection 2022.</t>
  </si>
  <si>
    <t>PMC8947082</t>
  </si>
  <si>
    <t>10.1371/journal.pone.0263460</t>
  </si>
  <si>
    <t>Identification of Robust Protein Associations With COVID-19 Disease Based on Five Clinical Studies</t>
  </si>
  <si>
    <t>CCL16, CCL7, CXCL10, CCL8, LGALS9, CXCL11, IL1RN, CCL2, CD274, IL6, IL18, MERTK, IFNγ, and IL18R1</t>
  </si>
  <si>
    <t xml:space="preserve">Target 96 Inflammation, Cardiovascular II, III </t>
  </si>
  <si>
    <t xml:space="preserve">13 differentially expressed proteins n COVID-19 patients; Review paper on major COVID studies </t>
  </si>
  <si>
    <t>Suhre K, Sarwath H, Engelke R, Sohail MU, Cho SJ, Whalen W, Alvarez-Mulett S, Krumsiek J, Choi AMK, Schmidt F.</t>
  </si>
  <si>
    <t>Front Immunol. 2022 Jan 25;12:781100. doi: 10.3389/fimmu.2021.781100. eCollection 2021.</t>
  </si>
  <si>
    <t>Suhre K</t>
  </si>
  <si>
    <t>PMC8821526</t>
  </si>
  <si>
    <t>10.3389/fimmu.2021.781100</t>
  </si>
  <si>
    <t>Periodontal Disease Augments Cardiovascular Disease Risk Biomarkers in Rheumatoid Arthritis</t>
  </si>
  <si>
    <t xml:space="preserve">Immunology, Cardiovascular </t>
  </si>
  <si>
    <t>ANGPT1, BOC, CCL17, CCL3, CD4, CD84, CTRC, FGF-21, FGF-23, GLO1, HAOX1, HB-EGF, hOSCAR, HSP 27, IL16, IL-17D, IL18, IL-27, IL6, LEP, LPL, MERTK, MMP12, MMP7, NEMO, PAPPA, PAR-1, PARP-1, PD-L2, PGF, PIgR, PRELP, RAGE, SCF, SLAMF7, SRC, THBS2, THPO, TNFRSF13B, TRAIL-R2, VEGFD, VSIG2, and XCL1</t>
  </si>
  <si>
    <t xml:space="preserve">Target 96 Cardiovascular Disease </t>
  </si>
  <si>
    <t>43 markers were elevated in RA + PD patients vs just RA or PD alone; several markers were associated with associated metabolic and skeletal disease risk, independent of autoimmune status.</t>
  </si>
  <si>
    <t>Panezai J, Ghaffar A, Altamash M, Åberg M, Van Dyke TE, Larsson A, Engström PE.</t>
  </si>
  <si>
    <t>Biomedicines. 2022 Mar 19;10(3):714. doi: 10.3390/biomedicines10030714.</t>
  </si>
  <si>
    <t>Panezai J</t>
  </si>
  <si>
    <t>PMC8945365</t>
  </si>
  <si>
    <t>10.3390/biomedicines10030714</t>
  </si>
  <si>
    <t>The proteome signature of cord blood plasma with high hematopoietic stem and progenitor cell count</t>
  </si>
  <si>
    <t xml:space="preserve">Other (stem cell richness in umbilical cord blood) </t>
  </si>
  <si>
    <t xml:space="preserve">Leptin and platelet degranulation proteins </t>
  </si>
  <si>
    <t>Target 96 panels CARDIOMETABOLIC (v.3603), CARDIOVASCULAR II (v.5006), CARDIOVASCULAR III (v.6113), DEVELOPMENT (v.3512), and METABOLISM (v.3402)</t>
  </si>
  <si>
    <t>Nilsson AK, Rydbeck H, Thorsell A, Frändberg S, Barreto Henriksson H, Hesse C, Hellgren G, Lundgren P, Hellström A.</t>
  </si>
  <si>
    <t>Stem Cell Res. 2022 Mar 14;61:102752. doi: 10.1016/j.scr.2022.102752. Online ahead of print.</t>
  </si>
  <si>
    <t>Nilsson AK</t>
  </si>
  <si>
    <t>Stem Cell Res</t>
  </si>
  <si>
    <t>10.1016/j.scr.2022.102752</t>
  </si>
  <si>
    <t>A serum proteomic study of two case-control cohorts identifies novel biomarkers for bipolar disorder</t>
  </si>
  <si>
    <t>Mental Health (Bipolar)</t>
  </si>
  <si>
    <t>Amphiregulin (AR)
C-C motif chemokine 3 (CCL3)
C-C motif chemokine 4 (CCL4)
C-C motif chemokine 20 (CCL20)
C-C motif chemokine 25 (CCL25)
C-X-C motif chemokine 16 (CXCL16)
Chitinase-3-like protein 1 (CHI3L1)
CUB domain-containing protein 1 (CDCP1)
Fms-related tyrosine kinase 3 ligand (Flt3L)
Folate receptor alpha (FR-alpha)
Galectin-3 (Gal-3)
Growth/differentiation factor 15 (GDF-15)
Interleukin-10 (IL-10)
Interleukin-10 receptor subunit beta (IL-10RB)
Interleukin-12 (IL-12)
Interleukin-12 subunit beta (IL-12B)
Interleukin-17 receptor B (IL-17RB)
Kallikrein-6 (KLK6)
Matrilysin (MMP-7)
Placenta growth factor (PGF)
Pro-adrenomedullin (AM)
Procathepsin L (CTSL1)
Prostasin (PRSS8)
Protransforming growth factor alpha (TGF-alpha)
Renin (REN)
Tumor necrosis factor ligand superfamily member 13B (BAFF)
Tumor necrosis factor receptor superfamily member 10B (TRAIL-R2)
Tumor necrosis factor receptor superfamily member 1A (TNF-R1)
Tumor necrosis factor receptor superfamily member 1B (TNF-R2)
Tumor necrosis factor receptor superfamily member 6 (FAS)
Tumor necrosis factor receptor superfamily member 9 (TNFRSF9)
WAP four-disulfide core domain protein 2 (HE4)</t>
  </si>
  <si>
    <t>Target 96 Cardiovascular 1, inflammation and oncology 2</t>
  </si>
  <si>
    <t xml:space="preserve">Proteins associated with bipolar disorder, MMP7 was spefically called out as an interesting target </t>
  </si>
  <si>
    <t>Göteson A, Isgren A, Sparding T, Holmén-Larsson J, Jakobsson J, Pålsson E, Landén M.</t>
  </si>
  <si>
    <t>Transl Psychiatry. 2022 Feb 8;12(1):55. doi: 10.1038/s41398-022-01819-y.</t>
  </si>
  <si>
    <t>Göteson A</t>
  </si>
  <si>
    <t>PMC8826439</t>
  </si>
  <si>
    <t>10.1038/s41398-022-01819-y</t>
  </si>
  <si>
    <t>Evaluation of Neurofilament Light Chain as a Biomarker of Neurodegeneration in X-Linked Childhood Cerebral Adrenoleukodystrophy</t>
  </si>
  <si>
    <t>GPNMB, NFL, DSG3, and IFI30</t>
  </si>
  <si>
    <t xml:space="preserve">Target 96 Neurology </t>
  </si>
  <si>
    <t xml:space="preserve">CSF was the primary sample type, NFL was the only protein to have good correlation between plasma and CSF </t>
  </si>
  <si>
    <t>Wang H, Davison MD, Kramer ML, Qiu W, Gladysheva T, Chiang RMS, Kayatekin C, Nascene DR, Taghizadeh LA, King CJ, Nolan EE, Gupta AO, Orchard PJ, Lund TC.</t>
  </si>
  <si>
    <t>Cells. 2022 Mar 7;11(5):913. doi: 10.3390/cells11050913.</t>
  </si>
  <si>
    <t>PMC8909395</t>
  </si>
  <si>
    <t>10.3390/cells11050913</t>
  </si>
  <si>
    <t>Kinetics of Severity Biomarkers and Immunological Features of Methylprednisolone Therapy for Severe COVID-19 Patients</t>
  </si>
  <si>
    <t>MCP-3, IL-6, IFN-γ, and CXCL10</t>
  </si>
  <si>
    <t>Core signature was associated with CRP; cytokines were used to measure the reponse to Methylprednisolone Tx in severe covid 19 patients</t>
  </si>
  <si>
    <t>Fan Q, Deng K, Huang H, He R, Deng X, Lan Y, Tan Y, Chen W, Wang Y, Deng X, Hu F, Li F.</t>
  </si>
  <si>
    <t>Front Immunol. 2022 Mar 8;13:758946. doi: 10.3389/fimmu.2022.758946. eCollection 2022.</t>
  </si>
  <si>
    <t>Fan Q</t>
  </si>
  <si>
    <t>PMC8957869</t>
  </si>
  <si>
    <t>10.3389/fimmu.2022.758946</t>
  </si>
  <si>
    <t>Soluble inflammatory mediators identify HCV patients who may be cured with four weeks of antiviral treatment</t>
  </si>
  <si>
    <t>MMP-10, CCL20, CXCL11, FGF-23, TNF, MCP-2, IL-18R1 and CXCL10</t>
  </si>
  <si>
    <t xml:space="preserve">8 markers were able to show the that therapy had an impact on Hep C patients immune profile after treatment </t>
  </si>
  <si>
    <t>Khera T, Madsen LW, Du Y, Lillevang ST, Christensen PB, Wedemeyer H.</t>
  </si>
  <si>
    <t>J Viral Hepat. 2022 Feb 4. doi: 10.1111/jvh.13652. Online ahead of print.</t>
  </si>
  <si>
    <t>J Viral Hepat</t>
  </si>
  <si>
    <t>10.1111/jvh.13652</t>
  </si>
  <si>
    <t>IL1, IL10, IL18</t>
  </si>
  <si>
    <t>Unspecified Target 96</t>
  </si>
  <si>
    <t>Rheumatology (Oxford). 2022 Jan 20:keac030. doi: 10.1093/rheumatology/keac030. Online ahead of print.</t>
  </si>
  <si>
    <t>Elevated mid-pregnancy plasma levels of angiotensin-converting enzyme 2 in women prior to the development of preeclampsia</t>
  </si>
  <si>
    <t xml:space="preserve">Womens Health, Cardiovascular </t>
  </si>
  <si>
    <t xml:space="preserve">Target 96 Cardiovascular II </t>
  </si>
  <si>
    <t>Junus K, Björk Ragnarsdóttir I, Nordlöf Callbo P, Bergman L, Lager S, Wikström AK.</t>
  </si>
  <si>
    <t>Sci Rep. 2022 Mar 8;12(1):4109. doi: 10.1038/s41598-022-08081-8.</t>
  </si>
  <si>
    <t>Junus K</t>
  </si>
  <si>
    <t>PMC8902901</t>
  </si>
  <si>
    <t>10.1038/s41598-022-08081-8</t>
  </si>
  <si>
    <t>A prospective observational cohort study to identify inflammatory biomarkers for the diagnosis and prognosis of patients with sepsis</t>
  </si>
  <si>
    <t xml:space="preserve">variou3 main clusters came out differentiating patients with bbacterial infection, a high SOFA score and outcomes </t>
  </si>
  <si>
    <t>D'Onofrio V, Heylen D, Pusparum M, Grondman I, Vanwalleghem J, Meersman A, Cartuyvels R, Messiaen P, Joosten LAB, Netea MG, Valkenborg D, Ertaylan G, Gyssens IC.</t>
  </si>
  <si>
    <t>J Intensive Care. 2022 Mar 9;10(1):13. doi: 10.1186/s40560-022-00602-x.</t>
  </si>
  <si>
    <t>D'Onofrio V</t>
  </si>
  <si>
    <t>J Intensive Care</t>
  </si>
  <si>
    <t>PMC8905560</t>
  </si>
  <si>
    <t>10.1186/s40560-022-00602-x</t>
  </si>
  <si>
    <t>Soluble CD40 receptor is a biomarker of the burden of carotid artery atherosclerosis in subjects at high cardiovascular risk</t>
  </si>
  <si>
    <t>CD40, PDGF, CD40R, EGF, CXCL1, HBEGF, MMP-17</t>
  </si>
  <si>
    <t xml:space="preserve">Signature developed for atherosclerosis extension; CD40R was the best performing </t>
  </si>
  <si>
    <t>Leonetti S, Tricò D, Nesti L, Baldi S, Kozakova M, Goncalves I, Nilsson J, Shore A, Khan F, Natali A.</t>
  </si>
  <si>
    <t>Atherosclerosis. 2022 Feb;343:1-9. doi: 10.1016/j.atherosclerosis.2022.01.003. Epub 2022 Jan 19.</t>
  </si>
  <si>
    <t>Leonetti S</t>
  </si>
  <si>
    <t>10.1016/j.atherosclerosis.2022.01.003</t>
  </si>
  <si>
    <t>Breast Density and Estradiol Are Major Determinants for Soluble TNF-TNF-R Proteins in vivo in Human Breast Tissue</t>
  </si>
  <si>
    <t>TNFSF10, 13 and 13B, TNFRSF6, 6B, 9, 11A, 11B, 13B, 14, and 19, and TNFR-1 and -2, TNFSF10, 13, and 14, TNFRSF3, 6, 9, 10B, 13B, 14, 19, and TNFR-1 and -2</t>
  </si>
  <si>
    <t>Unspecified</t>
  </si>
  <si>
    <t>Looking at specific tumor necrosis factors + receprtors in women with breast cancer, and those with dense breasts. Linked dense breast and estradol to the presence of TNFS and TNFRSF</t>
  </si>
  <si>
    <t>Ekstrand J, Zemmler M, Abrahamsson A, Lundberg P, Forsgren M, Dabrosin C.</t>
  </si>
  <si>
    <t>Front Immunol. 2022 Mar 30;13:850240. doi: 10.3389/fimmu.2022.850240. eCollection 2022.</t>
  </si>
  <si>
    <t>PMC9005790</t>
  </si>
  <si>
    <t>10.3389/fimmu.2022.850240</t>
  </si>
  <si>
    <t>Experimental rhinovirus infection induces an antiviral response in circulating B cells which is dysregulated in patients with asthma</t>
  </si>
  <si>
    <t>MIP-1α (CCL3), MIP-1β (CCL4), IL-6, TNF, TNFB (LTA) and VEGFA</t>
  </si>
  <si>
    <t>Looking at impact of rhinovirus infection on ccirculating B-cells</t>
  </si>
  <si>
    <t>Wirz OF, Jansen K, Satitsuksanoa P, van de Veen W, Tan G, Sokolowska M, Mirer D, Stanić B, Message SD, Kebadze T, Glanville N, Mallia P, Gern JE, Papadopoulos N, Akdis CA, Johnston SL, Nadeau K, Akdis M.</t>
  </si>
  <si>
    <t>Allergy. 2022 Jan;77(1):130-142. doi: 10.1111/all.14985. Epub 2021 Jul 16.</t>
  </si>
  <si>
    <t>Wirz OF</t>
  </si>
  <si>
    <t>10.1111/all.14985</t>
  </si>
  <si>
    <t>Proteomic differences among patients with heart failure taking furosemide or torsemide</t>
  </si>
  <si>
    <t>Target 96 Cardiovascualr III, Inflammation</t>
  </si>
  <si>
    <t xml:space="preserve">MSD was used for urine protein analysis, blood proteomis did not dig up any biomarkers as differential between different therapy types </t>
  </si>
  <si>
    <t>Cooper LB, Bruce S, Psotka M, Mentz R, Bell R, Seliger SL, O'Connor C, deFilippi C.</t>
  </si>
  <si>
    <t>Clin Cardiol. 2022 Mar;45(3):265-272. doi: 10.1002/clc.23733. Epub 2022 Jan 11.</t>
  </si>
  <si>
    <t>Cooper LB</t>
  </si>
  <si>
    <t>Clin Cardiol</t>
  </si>
  <si>
    <t>PMC8922525</t>
  </si>
  <si>
    <t>10.1002/clc.23733</t>
  </si>
  <si>
    <t>Physical Inactivity Is Associated With Post-discharge Mortality and Re-hospitalization Risk Among Swedish Heart Failure Patients-The HARVEST-Malmö Study</t>
  </si>
  <si>
    <t>4</t>
  </si>
  <si>
    <t>TIMP4, ST2, PI3, TR1</t>
  </si>
  <si>
    <t>Traget 96 Vardiovascular III</t>
  </si>
  <si>
    <t>Proteins were associated with physical inactivity in post discharge heart failure patients</t>
  </si>
  <si>
    <t>Zaghi A, Holm H, Korduner J, Dieden A, Molvin J, Bachus E, Jujic A, Magnusson M.</t>
  </si>
  <si>
    <t>Front Cardiovasc Med. 2022 Feb 21;9:843029. doi: 10.3389/fcvm.2022.843029. eCollection 2022.</t>
  </si>
  <si>
    <t>Zaghi A</t>
  </si>
  <si>
    <t>PMC8899472</t>
  </si>
  <si>
    <t>10.3389/fcvm.2022.843029</t>
  </si>
  <si>
    <t>MEFV and NLRP3 Inflammasome Expression Is Attributed to Immature Macrophages and Correlates with Serum Inflammatory Proteins in Crohn´s Disease Patients</t>
  </si>
  <si>
    <t xml:space="preserve">Immunlogy </t>
  </si>
  <si>
    <t xml:space="preserve">TWEAK, TRAIL, NT-3, and DNER; CASP-8, TNFSF14 were also differentially expressed </t>
  </si>
  <si>
    <t>Gorreja F, Caër C, Rush STA, Forsskål SK, Härtlova A, Magnusson MK, Bexe Lindskog E, Börjesson LG, Block M, Wick MJ.</t>
  </si>
  <si>
    <t>Inflammation. 2022 Feb 21:1-20. doi: 10.1007/s10753-022-01647-8. Online ahead of print.</t>
  </si>
  <si>
    <t>Gorreja F</t>
  </si>
  <si>
    <t>PMC8860375</t>
  </si>
  <si>
    <t>10.1007/s10753-022-01647-8</t>
  </si>
  <si>
    <t>The HFA-PEFF score identifies 'early-HFpEF' phenogroups associated with distinct biomarker profiles</t>
  </si>
  <si>
    <t>N-terminal prohormone brain natriuretic peptide, growth differentiation factor-15, matrix metalloproteinase-2, osteoprotegerin, tissue inhibitor of metalloproteinase-4, chitinase-3-like protein 1, insulin-like growth factor-binding protein 2, and insulin-like growth factor-binding protein 7</t>
  </si>
  <si>
    <t>Target 96 Cardiovascular III</t>
  </si>
  <si>
    <t>Proteins were matched to 4 phenogroups</t>
  </si>
  <si>
    <t>Henkens MTHM, van Ommen AM, Remmelzwaal S, Valstar GB, Wang P, Verdonschot JAJ, Hazebroek MR, Hofstra L, van Empel VPM, Beulens JWJ, den Ruijter HM, Heymans SRB.</t>
  </si>
  <si>
    <t>ESC Heart Fail. 2022 Mar 17. doi: 10.1002/ehf2.13861. Online ahead of print.</t>
  </si>
  <si>
    <t>Henkens MTHM</t>
  </si>
  <si>
    <t>10.1002/ehf2.13861</t>
  </si>
  <si>
    <t>Maternal Blood-Based Protein Biomarkers in Relation to Abdominal Fat Distribution Measured by Ultrasound in Early Mid-Pregnancy</t>
  </si>
  <si>
    <t>Womens Healt</t>
  </si>
  <si>
    <t>LEP, PTX3,VEGFD</t>
  </si>
  <si>
    <t xml:space="preserve">a 3 protein sig and 1 protein sig could differentiate fat depth in pregnant women </t>
  </si>
  <si>
    <t>Lindberger E, Wikström AK, Sundström Poromaa I, Ahlsson F.</t>
  </si>
  <si>
    <t>Reprod Sci. 2022 Feb 11. doi: 10.1007/s43032-022-00876-4. Online ahead of print.</t>
  </si>
  <si>
    <t>10.1007/s43032-022-00876-4</t>
  </si>
  <si>
    <t>Circulating proteins and risk of pancreatic cancer: a case-subcohort study among Chinese adults</t>
  </si>
  <si>
    <t>. MCP3/CCL7: monocyte chemotactic protein 3; ANGPT2: angiopoietin-2; IL18: interleukin-18; IL6: interleukin-6; LAMP3: lysosome-associated membrane glycoprotein 3; CCL3: C-C motif chemokine 3; CD4: T cell surface glycoprotein; CD8A: T cell surface glycoprotein CD8 alpha chain; HO1: haeme oxygenase 1; HGF: hepatocyte growth factor; IL2: interleukin-2; IL4: interleukin-4; GZMA: granzyme A; CRTAM: cytotoxic and regulatory T cell molecule; ADGRG1: adhesion G-protein coupled receptor G1</t>
  </si>
  <si>
    <t>Target96 Immuno-Oncology</t>
  </si>
  <si>
    <t>Kartsonaki C, Pang Y, Millwood I, Yang L, Guo Y, Walters R, Lv J, Hill M, Yu C, Chen Y, Chen X, O' Neill E, Chen J, Travis RC, Clarke R, Li L, Chen Z, Holmes MV.</t>
  </si>
  <si>
    <t>Int J Epidemiol. 2022 Jan 22:dyab274. doi: 10.1093/ije/dyab274. Online ahead of print.</t>
  </si>
  <si>
    <t>Kartsonaki C</t>
  </si>
  <si>
    <t>Int J Epidemiol</t>
  </si>
  <si>
    <t>10.1093/ije/dyab274</t>
  </si>
  <si>
    <t>IL-17RA blockade by brodalumab decreases inflammatory pathways in hidradenitis suppurativa skin and serum</t>
  </si>
  <si>
    <t>LCN2, IL-17</t>
  </si>
  <si>
    <t>2 proteins came out as potential Dx ; patient stratification assay for broduluman</t>
  </si>
  <si>
    <t>Navrazhina K, Frew JW, Grand D, Williams SC, Hur H, Gonzalez J, Garcet S, Krueger JG.</t>
  </si>
  <si>
    <t>Br J Dermatol. 2022 Feb 22. doi: 10.1111/bjd.21060. Online ahead of print.</t>
  </si>
  <si>
    <t>Navrazhina K</t>
  </si>
  <si>
    <t>Br J Dermatol</t>
  </si>
  <si>
    <t>10.1111/bjd.21060</t>
  </si>
  <si>
    <t>The role of caspase-1, caspase-4 and NLRP3 in regulating the host cell response evoked by uropathogenic Escherichia coli</t>
  </si>
  <si>
    <t xml:space="preserve">Association between genes and protein expression, a few key genes were ties to serveral proteins depending on the knockdown </t>
  </si>
  <si>
    <t>Lindblad A, Johansson C, Persson K, Demirel I.</t>
  </si>
  <si>
    <t>Sci Rep. 2022 Feb 7;12(1):2005. doi: 10.1038/s41598-022-06052-7.</t>
  </si>
  <si>
    <t>Lindblad A</t>
  </si>
  <si>
    <t>PMC8821701</t>
  </si>
  <si>
    <t>10.1038/s41598-022-06052-7</t>
  </si>
  <si>
    <t>A cluster of blood-based protein biomarkers reflecting coagulation relates to the burden of cerebral small vessel disease</t>
  </si>
  <si>
    <t>Kuipers S, Overmars LM, van Es B, de Bresser J, Bron EE, Hoefer IE, Kappelle LJ, Teunissen CE, Biessels GJ, Haitjema S.</t>
  </si>
  <si>
    <t>J Cereb Blood Flow Metab. 2022 Jan 27:271678X221077339. doi: 10.1177/0271678X221077339. Online ahead of print.</t>
  </si>
  <si>
    <t>Kuipers S</t>
  </si>
  <si>
    <t>J Cereb Blood Flow Metab</t>
  </si>
  <si>
    <t>10.1177/0271678X221077339</t>
  </si>
  <si>
    <t>Th1, Th2 and Th17 inflammatory pathways synergistically predict cardiometabolic protein expression in serum of COVID-19 patients</t>
  </si>
  <si>
    <t>Infectious disease, cardiometabolic</t>
  </si>
  <si>
    <t>Michels JR, Nazrul MS, Adhikari S, Wilkins D, Pavel AB.</t>
  </si>
  <si>
    <t>Mol Omics. 2022 Mar 14. doi: 10.1039/d2mo00055e. Online ahead of print.</t>
  </si>
  <si>
    <t>Michels JR</t>
  </si>
  <si>
    <t>Mol Omics</t>
  </si>
  <si>
    <t>10.1039/d2mo00055e</t>
  </si>
  <si>
    <t>Dynamic personalized risk prediction in chronic heart failure patients: a longitudinal, clinical investigation of 92 biomarkers (Bio-SHiFT study)</t>
  </si>
  <si>
    <t>NT-proBNP, ST2, vWF, FABP4, IGFBP-1, PAI-1, PON-3, transferrin receptor protein-1, and chitotriosidase-1</t>
  </si>
  <si>
    <t xml:space="preserve">8% - 12% intra-interassay variabililty; 9 proteins may have viability as a risk predictor in patients with chronic heart failure </t>
  </si>
  <si>
    <t>Klimczak-Tomaniak D, de Bakker M, Bouwens E, Akkerhuis KM, Baart S, Rizopoulos D, Mouthaan H, van Ramshorst J, Germans T, Constantinescu A, Manintveld O, Umans V, Boersma E, Kardys I.</t>
  </si>
  <si>
    <t>Sci Rep. 2022 Feb 18;12(1):2795. doi: 10.1038/s41598-022-06698-3.</t>
  </si>
  <si>
    <t>Klimczak-Tomaniak D</t>
  </si>
  <si>
    <t>PMC8857321</t>
  </si>
  <si>
    <t>10.1038/s41598-022-06698-3</t>
  </si>
  <si>
    <t>Influence of BMI on adenosine deaminase and stroke outcomes in mechanical thrombectomy subjects</t>
  </si>
  <si>
    <t>Cardiovascular, Cardiometabolic</t>
  </si>
  <si>
    <t>adenosine deaminase (ADA), Beta-Ala-His dipeptidase (CNDP1), interleukin-7 receptor subunit alpha (IL7R), multiple epidermal growth factor-like domains protein (MEGF9), carbonic anhydrase 4 (CA4), transforming growth factor-beta-induced protein ig-h3 (TGFBI), carbonic anhydrase 1 (CA1), natural killer cell receptor 2B4 (CD244), latent-transforming growth factor beta-binding protein 2 (LTBP2), and cystatin D (CST5)</t>
  </si>
  <si>
    <t xml:space="preserve">Undisclosed, likely Target 96 inflamttion and cardiovascular </t>
  </si>
  <si>
    <t xml:space="preserve">10 proteins were significantly different, but ADA came out as the focal point of the paper </t>
  </si>
  <si>
    <t>Maglinger B, McLouth CJ, Frank JA, Rupareliya C, Sands M, Sheikhi L, Pahwa S, Dornbos D 3rd, Harp JP, Trout AL, Turchan-Cholewo J, Stowe AM, Fraser JF, Pennypacker KR.</t>
  </si>
  <si>
    <t>Brain Behav Immun Health. 2022 Jan 26;20:100422. doi: 10.1016/j.bbih.2022.100422. eCollection 2022 Mar.</t>
  </si>
  <si>
    <t>Maglinger B</t>
  </si>
  <si>
    <t>PMC8814768</t>
  </si>
  <si>
    <t>10.1016/j.bbih.2022.100422</t>
  </si>
  <si>
    <t>Scalp and serum profiling of frontal fibrosing alopecia reveals scalp immune and fibrosis dysregulation with no systemic involvement</t>
  </si>
  <si>
    <t>Genreal Health (Balding, Frontal fibrosing alopecia)</t>
  </si>
  <si>
    <t>ADM, IL-36RN,IL-25</t>
  </si>
  <si>
    <t xml:space="preserve">RNA-Seq + proteomics </t>
  </si>
  <si>
    <t>Dubin C, Glickman JW, Del Duca E, Chennareddy S, Han J, Dahabreh D, Estrada YD, Zhang N, Kimmel GW, Singer G, Chowdhury M, Zheng AY, Angelov M, Gay-Mimbrera J, Ruano Ruiz J, Krueger JG, Pavel AB, Guttman-Yassky E.</t>
  </si>
  <si>
    <t>J Am Acad Dermatol. 2022 Mar;86(3):551-562. doi: 10.1016/j.jaad.2021.05.016. Epub 2021 May 24.</t>
  </si>
  <si>
    <t>Dubin C</t>
  </si>
  <si>
    <t>10.1016/j.jaad.2021.05.016</t>
  </si>
  <si>
    <t>Influence of ejection fraction on biomarker expression and response to spironolactone in people at risk of heart failure: findings from the HOMAGE trial</t>
  </si>
  <si>
    <t>c-c motif chemokine ligand-23 and interleukin-8, tissue plasminogen activator, brain natriuretic peptide (BNP), S100 calcium binding protein A12, and collagen type I alpha 1 chain (COL1A1)</t>
  </si>
  <si>
    <t xml:space="preserve">Undisclosed, likely Target 96 inflamation and cardiovascular </t>
  </si>
  <si>
    <t>Ferreira JP, Verdonschot JAJ, Girerd N, Bozec E, Pellicori P, Collier T, Mariottoni B, Cosmi F, Hazebroek M, Cuthbert J, Petutschnigg J, Heymans S, Staessen JA, Pieske B, Edelman F, Clark AL, Díez J, González A, Rossignol P, Cleland JG, Zannad F.</t>
  </si>
  <si>
    <t>Eur J Heart Fail. 2022 Feb 23. doi: 10.1002/ejhf.2455. Online ahead of print.</t>
  </si>
  <si>
    <t>Ferreira JP</t>
  </si>
  <si>
    <t>Eur J Heart Fail</t>
  </si>
  <si>
    <t>10.1002/ejhf.2455</t>
  </si>
  <si>
    <t>Novel Biomarkers Detected by Proteomics Predict Death and Cardiovascular Events in Hemodialysis Patients</t>
  </si>
  <si>
    <t xml:space="preserve">Cardiovascular, Cardiometabolics </t>
  </si>
  <si>
    <t>HGF, IL6, OPG, TPOA, CTSL1,CCL20, IL8, TIM-1, CHI3L1, BNP, ESM1, ENRAGE, IL27A, AGRO, IL18, MMP7,CXCL1, CTSD, HSO27m Gal3, CXCL16, TRAILR2, PTX3</t>
  </si>
  <si>
    <t>Target 96 Cardiovascular 1</t>
  </si>
  <si>
    <t xml:space="preserve">3 signatures of different lengths, 20, 7 and 17 proteins were associated with death, CV death and CV events respectively </t>
  </si>
  <si>
    <t>Wu PH, Glerup RI, Svensson MHS, Eriksson N, Christensen JH, Laval P, Soveri I, Westerlund M, Linde T, Ljunggren Ö, Fellström B.</t>
  </si>
  <si>
    <t>Biomedicines. 2022 Mar 22;10(4):740. doi: 10.3390/biomedicines10040740.</t>
  </si>
  <si>
    <t>Wu PH</t>
  </si>
  <si>
    <t>PMC9026983</t>
  </si>
  <si>
    <t>10.3390/biomedicines10040740</t>
  </si>
  <si>
    <t>A Linear Discriminant Analysis Model Based on the Changes of 7 Proteins in Plasma Predicts Response to Anlotinib Therapy in Advanced Non-Small Cell Lung Cancer Patients</t>
  </si>
  <si>
    <t>CD70, MIC-A/B, LAG3, CAIX, PDCD1, MMP12, and PD-L2</t>
  </si>
  <si>
    <t xml:space="preserve">Target 96 Immuno-Oncology </t>
  </si>
  <si>
    <t xml:space="preserve">Proomics and all other measures werent able to pick out a baseline signal, but the changes of the proteome was able to show Tx response to antlotinib in NSCLC with 100% accuracy </t>
  </si>
  <si>
    <t>Xu F, Xu H, Wan Z, Yang G, Yang L, Wu X, Song J, Wang Y.</t>
  </si>
  <si>
    <t>Front Oncol. 2022 Jan 7;11:756902. doi: 10.3389/fonc.2021.756902. eCollection 2021.</t>
  </si>
  <si>
    <t>Xu F</t>
  </si>
  <si>
    <t>PMC8777128</t>
  </si>
  <si>
    <t>10.3389/fonc.2021.756902</t>
  </si>
  <si>
    <t>Suppression of IL-12/IL-23 p40 subunit in the skin and blood of psoriasis patients by Tofacitinib is dependent on active interferon-γ signaling in dendritic cells: Implications for the treatment of psoriasis and interferon-driven diseases</t>
  </si>
  <si>
    <t>INFy, IL-12, IL-23</t>
  </si>
  <si>
    <t xml:space="preserve">Target 96 Inflammatory, Cardiovascular disease </t>
  </si>
  <si>
    <t xml:space="preserve">Did not actually run Olink but used a public dataset of people who were on the therapy </t>
  </si>
  <si>
    <t>Vincken NLA, Welsing PMJ, Silva-Cardoso SC, Bekker CPJ, Lopes AP, Olde Nordkamp M, Leijten EFA, Radstake TRDJ, Angiolilli C.</t>
  </si>
  <si>
    <t>Exp Dermatol. 2022 Mar 17. doi: 10.1111/exd.14566. Online ahead of print.</t>
  </si>
  <si>
    <t>Vincken NLA</t>
  </si>
  <si>
    <t>10.1111/exd.14566</t>
  </si>
  <si>
    <t>IL-17 Pathway Members as Potential Biomarkers of Effective Systemic Treatment and Cardiovascular Disease in Patients with Moderate-to-Severe Psoriasis</t>
  </si>
  <si>
    <t>1L-17a, IL-17C, PI3</t>
  </si>
  <si>
    <t xml:space="preserve">Target 96 Cardiovascular II, III, Inflammation </t>
  </si>
  <si>
    <t>Wang X, Kaiser H, Kvist-Hansen A, McCauley BD, Skov L, Hansen PR, Becker C.</t>
  </si>
  <si>
    <t>Int J Mol Sci. 2022 Jan 5;23(1):555. doi: 10.3390/ijms23010555.</t>
  </si>
  <si>
    <t>PMC8745093</t>
  </si>
  <si>
    <t>10.3390/ijms23010555</t>
  </si>
  <si>
    <t>Short Chain Fatty Acids Taken at Time of Thrombectomy in Acute Ischemic Stroke Patients Are Independent of Stroke Severity But Associated With Inflammatory Markers and Worse Symptoms at Discharge</t>
  </si>
  <si>
    <t>APOM, CXCL10, and IL-2, CSF-1, IL-12B, IL-6, TNF-α, and VCAM1, CXCL9, CD8A, IL-17A</t>
  </si>
  <si>
    <t xml:space="preserve">Target 96, Cardiometamolic, Inflammation </t>
  </si>
  <si>
    <t>Various signatures were associated with different SCFAs but  IL-6, TNF-α, VCAM1, IL-17, and MCP-1</t>
  </si>
  <si>
    <t>Henry N, Frank J, McLouth C, Trout AL, Morris A, Chen J, Stowe AM, Fraser JF, Pennypacker K.</t>
  </si>
  <si>
    <t>Front Immunol. 2022 Jan 19;12:797302. doi: 10.3389/fimmu.2021.797302. eCollection 2021.</t>
  </si>
  <si>
    <t>Henry N</t>
  </si>
  <si>
    <t>PMC8807638</t>
  </si>
  <si>
    <t>10.3389/fimmu.2021.797302</t>
  </si>
  <si>
    <t>Proteomics-Based Serum Alterations of the Human Protein Expression after Out-of-Hospital Cardiac Arrest: Pilot Study for Prognostication of Survivors vs. Non-Survivors at Day 1 after Return of Spontaneous Circulation (ROSC)</t>
  </si>
  <si>
    <t>IL-1 alpha, n-CDase, IL5, CRH; Siglec-9, LAYN, SKR3, JAM-B, N2DL-2, TNF-B, BAMBI, NUCB2, STX8, PTK7, and PVLAB</t>
  </si>
  <si>
    <t xml:space="preserve">Target 96, Organ Damage, Neurology, Inflammation </t>
  </si>
  <si>
    <t>Hinkelbein J, Kolaparambil Varghese Johnson L, Kiselev N, Schmitz J, Hellmich M, Drinhaus H, Lichtenstein T, Storm C, Adler C.</t>
  </si>
  <si>
    <t>J Clin Med. 2022 Feb 14;11(4):996. doi: 10.3390/jcm11040996.</t>
  </si>
  <si>
    <t>Hinkelbein J</t>
  </si>
  <si>
    <t>PMC8874966</t>
  </si>
  <si>
    <t>10.3390/jcm11040996</t>
  </si>
  <si>
    <t>The accuracy and robustness of plasma biomarker models for amyloid PET positivity</t>
  </si>
  <si>
    <t>Interferon signature in giant cell arteritis aortitis</t>
  </si>
  <si>
    <t>Development of an age-adjusted model for blood neurofilament light chain</t>
  </si>
  <si>
    <t>General health</t>
  </si>
  <si>
    <t>Biological variation of serum neurofilament light chain</t>
  </si>
  <si>
    <t>Other (Methods)</t>
  </si>
  <si>
    <t>Serum NfL associated with anti-NMDA receptor encephalitis</t>
  </si>
  <si>
    <t>Blood Derived Amyloid Biomarkers for Alzheimer's Disease Prevention</t>
  </si>
  <si>
    <t>Characterization of molecular biomarkers in cerebrospinal fluid and serum of E46K-SNCA mutation carriers</t>
  </si>
  <si>
    <t xml:space="preserve">Neuromuscular </t>
  </si>
  <si>
    <t>Blood-Based Biomarkers for Alzheimer's Disease in Older Adults with Posttraumatic Stress Disorder</t>
  </si>
  <si>
    <t>Levels of Neurofilament Light at the Preataxic and Ataxic Stages of Spinocerebellar Ataxia Type 1</t>
  </si>
  <si>
    <t>Plasma biomarkers for Alzheimer's Disease in relation to neuropathology and cognitive change</t>
  </si>
  <si>
    <t>Up-Regulated Expression of Interferon-Gamma, Interleukin-6 and Tumor Necrosis Factor-Alpha in the Endolymphatic Sac of Meniere's Disease Suggesting the Local Inflammatory Response Underlies the Mechanism of This Disease</t>
  </si>
  <si>
    <t>Other (Meniere's disease)</t>
  </si>
  <si>
    <t>Rapid, high throughput, automated detection of SARS-CoV-2 neutralizing antibodies against native-like vaccine and delta variant spike trimers</t>
  </si>
  <si>
    <t>Other (Method dev), infectious disease</t>
  </si>
  <si>
    <t>Serum Creatine, Not Neurofilament Light, Is Elevated in CHCHD10-Linked Spinal Muscular Atrophy</t>
  </si>
  <si>
    <t xml:space="preserve">Neuromuscular  </t>
  </si>
  <si>
    <t>Neurofilament Levels in CSF and Serum in an Adult SMA Cohort Treated with Nusinersen</t>
  </si>
  <si>
    <t>Plasma amyloid-β40 in relation to subclinical atherosclerosis and cardiovascular disease: A population-based study</t>
  </si>
  <si>
    <t xml:space="preserve">Neurology, Cardiovascular </t>
  </si>
  <si>
    <t>Plasma p-tau231, p-tau181, PET Biomarkers, and Cognitive Change in Older Adults</t>
  </si>
  <si>
    <t>Soluble PD-L1 as an early marker of progressive disease on nivolumab</t>
  </si>
  <si>
    <t>Evaluation of Plasma Neurofilament Light Chain Levels as a Biomarker of Neuronal Injury in the Active and Chronic Phases of Autoimmune Neurologic Disorders</t>
  </si>
  <si>
    <t>Early plasma biomarker dynamic profiles are associated with acute ischemic stroke outcomes</t>
  </si>
  <si>
    <t>Blood-Based Markers of Neuronal Injury in Adult-Onset Myotonic Dystrophy Type 1</t>
  </si>
  <si>
    <t>Baseline Inflammatory Status Reveals Dichotomic Immune Mechanisms Involved In Primary-Progressive Multiple Sclerosis Pathology</t>
  </si>
  <si>
    <t xml:space="preserve">Immunology, Neuromuscular </t>
  </si>
  <si>
    <t>Assessing Neurofilaments as Biomarkers of Neuroprotection in Progressive Multiple Sclerosis: From the MS-STAT Randomized Controlled Trial</t>
  </si>
  <si>
    <t>Rapid, High Throughput, Automated Detection Of SARS-Cov-2 Neutralizing Antibodies Against Native-Like Vaccine And Delta Variant Spike Trimers</t>
  </si>
  <si>
    <t>Infectious Disease, Methods Development</t>
  </si>
  <si>
    <t>Serum NfL in Alzheimer Dementia: Results of the Prospective Dementia Registry Austria</t>
  </si>
  <si>
    <t>Methylation of the AIM2 gene: An epigenetic mediator of PTSD-related inflammation and neuropathology plasma biomarkers</t>
  </si>
  <si>
    <t>Intermediate-Intensity Autologous Hematopoietic Stem Cell Transplantation Reduces Serum Neurofilament Light Chains and Brain Atrophy in Aggressive Multiple Sclerosis</t>
  </si>
  <si>
    <t>Non-linear Character of Plasma Amyloid Beta Over the Course of Cognitive Decline in Alzheimer's Continuum</t>
  </si>
  <si>
    <t>Plasma Biomarkers of Neuropathogenesis in Hospitalized Patients With COVID-19 and Those With Postacute Sequelae of SARS-CoV-2 Infection</t>
  </si>
  <si>
    <t>Infectious disease, neurology</t>
  </si>
  <si>
    <t>Plasma α-synuclein and phosphorylated tau 181 as a diagnostic biomarker panel for de novo Parkinson's disease</t>
  </si>
  <si>
    <t>Pre-analytical stability of serum biomarkers for neurological disease: neurofilament-light, glial fibrillary acidic protein and contactin-1</t>
  </si>
  <si>
    <t>Neuromuscular, Methods Development</t>
  </si>
  <si>
    <t>Tau and Amyloid-β Peptides in Serum of Patients With Parkinson's Disease: Correlations With CSF Levels and Clinical Parameters</t>
  </si>
  <si>
    <t>Cerebrospinal Fluid Biomarkers in Autopsy-Confirmed Alzheimer Disease and Frontotemporal Lobar Degeneration</t>
  </si>
  <si>
    <t>Serum NfL levels in the first five years predict 10-year thalamic fraction in patients with MS</t>
  </si>
  <si>
    <t>Characterization of Blood Mucosal Associated Invariant T (MAIT) cells in Axial Spondyloarthritis and of resident MAITs from control axial enthesis</t>
  </si>
  <si>
    <t>Immunology, musculoskeletal</t>
  </si>
  <si>
    <t>Serum neurofilament light chain and postural instability/gait difficulty (PIGD) subtypes of Parkinson's disease in the MARK-PD study</t>
  </si>
  <si>
    <t>Differential levels of plasma biomarkers of neurodegeneration in Lewy body dementia, Alzheimer's disease, frontotemporal dementia and progressive supranuclear palsy</t>
  </si>
  <si>
    <t>Plasma p217+tau versus NAV4694 amyloid and MK6240 tau PET across the Alzheimer's continuum</t>
  </si>
  <si>
    <t>Plasma Neurofilament Light Is Not Associated with Ongoing Neuroaxonal Injury or Cognitive Decline in Perinatally HIV Infected Adolescents: A Brief Report</t>
  </si>
  <si>
    <t>Association and interaction of TOMM40 and PVRL2 with plasma amyloid-β and Alzheimer's disease among Chinese older adults: a population-based study</t>
  </si>
  <si>
    <t>NTA T-Tau, NTB T-tau, MR t-tau</t>
  </si>
  <si>
    <t>3 homebrews</t>
  </si>
  <si>
    <t xml:space="preserve">CSF homebrew t-tau assays compared to known tau assays; quanterix's T tau was worse than other methods for Ttau. N terminal t tau was the best assay. </t>
  </si>
  <si>
    <t>Brain. 2022 Mar 21:awab481. doi: 10.1093/brain/awab481. Online ahead of print.</t>
  </si>
  <si>
    <t>P-tau181, AB40, AB42, GFAP</t>
  </si>
  <si>
    <t xml:space="preserve">P-tau181 on HD-X, Neuro 4-Plex, AB40 and AB42 Advantage </t>
  </si>
  <si>
    <t xml:space="preserve">AB40/AB42 found to be significant for discriminating AB status, but all 4 worked better in combination </t>
  </si>
  <si>
    <t>Benedet AL, Brum WS, Hansson O; Alzheimer’s Disease Neuroimaging Initiative, Karikari TK, Zimmer ER, Zetterberg H, Blennow K, Ashton NJ.</t>
  </si>
  <si>
    <t>Alzheimers Res Ther. 2022 Feb 7;14(1):26. doi: 10.1186/s13195-021-00942-0.</t>
  </si>
  <si>
    <t>Benedet AL</t>
  </si>
  <si>
    <t>PMC8819863</t>
  </si>
  <si>
    <t>INF-a</t>
  </si>
  <si>
    <t>HD-X Unspecified</t>
  </si>
  <si>
    <t xml:space="preserve">Performed along with transcriptomics, INF-a levels were higher in patients with GCA vs those in remission </t>
  </si>
  <si>
    <t>Vieira M, Régnier P, Maciejewski-Duval A, Le Joncour A, Darasse-Jèze G, Rosenzwajg M, Klatzmann D, Cacoub P, Saadoun D.</t>
  </si>
  <si>
    <t>J Autoimmun. 2022 Feb;127:102796. doi: 10.1016/j.jaut.2022.102796. Epub 2022 Feb 2.</t>
  </si>
  <si>
    <t>Vieira M</t>
  </si>
  <si>
    <t>NFL Advantage kit</t>
  </si>
  <si>
    <t xml:space="preserve">NFL tracked with age </t>
  </si>
  <si>
    <t>Harp C, Thanei GA, Jia X, Kuhle J, Leppert D, Schaedelin S, Benkert P, von Büdingen HC, Hendricks R, Herman A.</t>
  </si>
  <si>
    <t>Ann Clin Transl Neurol. 2022 Apr;9(4):444-453. doi: 10.1002/acn3.51524. Epub 2022 Mar 1.</t>
  </si>
  <si>
    <t>Harp C</t>
  </si>
  <si>
    <t>PMC8994974</t>
  </si>
  <si>
    <t>HD-1 NFL Light</t>
  </si>
  <si>
    <t>Serum NfL is subject to tight homeostatic regulation with none or neglectable semidiurnal and day-to-day variation, but considerable between-subject variation exists. This emphasizes serum NfL as a well-suited biomarker for disease monitoring, but warrants caution when interpreting NfL levels in relation to reference intervals in a diagnosis setting. Furthermore, NfL’s tight regulation requires that the analytical variation is kept at a minimum.</t>
  </si>
  <si>
    <t>Hviid CVB, Madsen AT, Winther-Larsen A.</t>
  </si>
  <si>
    <t>Clin Chem Lab Med. 2021 Mar 23;60(4):569-575. doi: 10.1515/cclm-2020-1276. Print 2022 Mar 28.</t>
  </si>
  <si>
    <t>Hviid CVB</t>
  </si>
  <si>
    <t xml:space="preserve">Elevated in antiNMDAR and may be predictor of 1 yr poor funcitonal status </t>
  </si>
  <si>
    <t>Ma X, Lu Y, Peng F, Wang Y, Sun X, Luo W, Shen S, Liu Z, Kermode AG, Qiu W, Shu Y.</t>
  </si>
  <si>
    <t>Neurol Sci. 2022 Jan 18. doi: 10.1007/s10072-021-05838-3. Online ahead of print.</t>
  </si>
  <si>
    <t>Ma X</t>
  </si>
  <si>
    <t>Neurol Sci</t>
  </si>
  <si>
    <t>Roche and MS were the best platforms for differentiating AD from CU and AB-/+ within the AD group</t>
  </si>
  <si>
    <t>Udeh-Momoh C, Zheng B, Sandebring-Matton A, Novak G, Kivipelto M, Jönsson L, Middleton L.</t>
  </si>
  <si>
    <t>J Prev Alzheimers Dis. 2022;9(1):12-21. doi: 10.14283/jpad.2021.70.</t>
  </si>
  <si>
    <t>Udeh-Momoh C</t>
  </si>
  <si>
    <t>J Prev Alzheimers Dis</t>
  </si>
  <si>
    <t>tau, UCHL1, GFAP, NFL, A-syn</t>
  </si>
  <si>
    <t>CSF based study; CSF a-syn was decreased in symptomatic E46K-SNCA carriers compared to the asymptomatic ones, Carriers with PDD diagnosis displayed increased levels of serum NfL and GFAP compared to matched controls</t>
  </si>
  <si>
    <t>Murueta-Goyena A, Cipriani R, Carmona-Abellán M, Acera M, Ayo N, Del Pino R, Tijero B, Fernández-Valle T, Gabilondo I, Zallo F, Matute C, Sánchez-Pernaute R, Khurana V, Cavaliere F, Capetillo-Zarate E, Gómez-Esteban JC.</t>
  </si>
  <si>
    <t>Parkinsonism Relat Disord. 2022 Feb 5;96:29-35. doi: 10.1016/j.parkreldis.2022.01.024. Online ahead of print.</t>
  </si>
  <si>
    <t>Murueta-Goyena A</t>
  </si>
  <si>
    <t>T-Tau, AB40, AB42</t>
  </si>
  <si>
    <t>Simoa Human Neurology 3-Plex A (N3PA) assay kit</t>
  </si>
  <si>
    <t>Biomarkers were not differentiated between groups</t>
  </si>
  <si>
    <t>Cimino N, Kang MS, Honig LS, Rutherford BR.</t>
  </si>
  <si>
    <t>J Alzheimers Dis Rep. 2022 Feb 2;6(1):49-56. doi: 10.3233/ADR-210048. eCollection 2022.</t>
  </si>
  <si>
    <t>Cimino N</t>
  </si>
  <si>
    <t>J Alzheimers Dis Rep</t>
  </si>
  <si>
    <t>PMC8925121</t>
  </si>
  <si>
    <t>Not specifified</t>
  </si>
  <si>
    <t xml:space="preserve">matched serum and CSF samples; serum NFL could help with Dx and subtyping of disease </t>
  </si>
  <si>
    <t>Wilke C, Mengel D, Schöls L, Hengel H, Rakowicz M, Klockgether T, Durr A, Filla A, Melegh B, Schüle R, Reetz K, Jacobi H, Synofzik M.</t>
  </si>
  <si>
    <t>Neurology. 2022 Mar 9:10.1212/WNL.0000000000200257. doi: 10.1212/WNL.0000000000200257. Online ahead of print.</t>
  </si>
  <si>
    <t>Wilke C</t>
  </si>
  <si>
    <t xml:space="preserve">AB40,AB42, Ttau, Ptau181, p tau231, NFL </t>
  </si>
  <si>
    <t>Neurology 6 plex</t>
  </si>
  <si>
    <t xml:space="preserve">Ptau181 and ptau231 were the best performers as preditctor to cognitive decline, NFL can but wasn’t ass trong, AB40/42 were weakly correlated </t>
  </si>
  <si>
    <t>Smirnov DS, Ashton NJ, Blennow K, Zetterberg H, Simrén J, Lantero-Rodriguez J, Karikari TK, Hiniker A, Rissman RA, Salmon DP, Galasko D.</t>
  </si>
  <si>
    <t>Acta Neuropathol. 2022 Apr;143(4):487-503. doi: 10.1007/s00401-022-02408-5. Epub 2022 Feb 23.</t>
  </si>
  <si>
    <t>Smirnov DS</t>
  </si>
  <si>
    <t>Acta Neuropathol</t>
  </si>
  <si>
    <t>PMC8960664</t>
  </si>
  <si>
    <t>10.1007/s00401-022-02408-5</t>
  </si>
  <si>
    <t>IFN-γ, IL-10, IL-12p70, IL-17A, IL-6 and TNF-α</t>
  </si>
  <si>
    <t>Cytokine 6-Plex Panel</t>
  </si>
  <si>
    <t>TNF-α, IL-6 and IFN-γ were upregulated in MD patients</t>
  </si>
  <si>
    <t>Huang C, Wang Q, Pan X, Li W, Liu W, Jiang W, Huang L, Peng A, Zhang Z.</t>
  </si>
  <si>
    <t>Front Neurol. 2022 Feb 23;13:781031. doi: 10.3389/fneur.2022.781031. eCollection 2022.</t>
  </si>
  <si>
    <t>Huang C</t>
  </si>
  <si>
    <t>PMC8904419</t>
  </si>
  <si>
    <t>hACE-2 binding (BoAb)</t>
  </si>
  <si>
    <t>HD-X</t>
  </si>
  <si>
    <t>Cheedarla N, Verkerke HP, Potlapalli S, McLendon KB, Patel A, Frank F, Damhorst GL, Wu H, Oâ Sick WH, Graciaa D, Hudaib F, Alter DN, Bryksin J, Ortlund EA, Guarner J, Auld S, Shah S, Lam W, Mattoon D, Johnson JM, Wilson DH, Dhodapkar MV, Stowell SR, Neish AS, Roback JD.</t>
  </si>
  <si>
    <t>medRxiv. 2022 Feb 2:2022.02.01.22270279. doi: 10.1101/2022.02.01.22270279. Preprint.</t>
  </si>
  <si>
    <t>Cheedarla N</t>
  </si>
  <si>
    <t>PMC8820678</t>
  </si>
  <si>
    <t>HD-X GFAP and NFL kits</t>
  </si>
  <si>
    <t xml:space="preserve">Other proteins were measured with R&amp;D system ELISA kits. Overall creatine was found to be elevated in CHCDH10 Linked spinal muscular atrophy </t>
  </si>
  <si>
    <t>Järvilehto J, Harjuhaahto S, Palu E, Auranen M, Kvist J, Zetterberg H, Koskivuori J, Lehtonen M, Saukkonen AM, Jokela M, Ylikallio E, Tyynismaa H.</t>
  </si>
  <si>
    <t>Front Neurol. 2022 Feb 17;13:793937. doi: 10.3389/fneur.2022.793937. eCollection 2022.</t>
  </si>
  <si>
    <t>Järvilehto J</t>
  </si>
  <si>
    <t>PMC8891230</t>
  </si>
  <si>
    <t>NFL, pNfH</t>
  </si>
  <si>
    <t>CSF + serum measurements; NF was not found to be a good prognostic marker for patients treated with nusinersen</t>
  </si>
  <si>
    <t>Rich KA, Fox A, Yalvac M, Heintzman S, Tellez M, Bartlett A, Severyn S, Linsenmayer M, Kelly K, Reynolds J, Sterling GB, Weaver T, Rajneesh K, Pino MG, Arnold WD, Elsheikh B, Kolb SJ.</t>
  </si>
  <si>
    <t>J Neuromuscul Dis. 2022;9(1):111-119. doi: 10.3233/JND-210735.</t>
  </si>
  <si>
    <t>Rich KA</t>
  </si>
  <si>
    <t>J Neuromuscul Dis</t>
  </si>
  <si>
    <t>AB40, AB42, Tau</t>
  </si>
  <si>
    <t xml:space="preserve">HD1 Neurology 3 Plex </t>
  </si>
  <si>
    <t>AB40 is not an overly strong marker, it was associated with subclinicalf atherosclerosis, but not first ever ASCVD</t>
  </si>
  <si>
    <t>Wolters FJ, Hilal S, Leening MJG, Kavousi M, Ghanbari M; Heart Brain Connection Consortium, Franco OH, Hofman A, Koudstaal PJ, Vernooij MW, Ikram MK, Bos D, Ikram MA.</t>
  </si>
  <si>
    <t>Atherosclerosis. 2022 Mar 30;348:44-50. doi: 10.1016/j.atherosclerosis.2022.03.025. Online ahead of print.</t>
  </si>
  <si>
    <t>Wolters FJ</t>
  </si>
  <si>
    <t>P-tau231, P-tau181, NFL</t>
  </si>
  <si>
    <t xml:space="preserve">AB40, AB42 and other proteins were measured via other modalities. But p-tau231 + AB40/42 were good biomarkers for AD pathology and cognitive decline. </t>
  </si>
  <si>
    <t>Meyer PF, Ashton NJ, Karikari TK, Strikwerda-Brown C, Köbe T, Gonneaud J, Pichet Binette A, Ozlen H, Yakoub Y, Simrén J, Pannee J, Lantero-Rodriguez J, Labonté A, Baker SL, Schöll M, Vanmechelen E, Breitner JCS, Zetterberg H, Blennow K, Poirier J, Villeneuve S; Presymptomatic Evaluation of Experimental or Novel Treatments for Alzheimer Disease (PREVENT-AD) Research Group.</t>
  </si>
  <si>
    <t>Ann Neurol. 2022 Apr;91(4):548-560. doi: 10.1002/ana.26308. Epub 2022 Feb 18.</t>
  </si>
  <si>
    <t>Meyer PF</t>
  </si>
  <si>
    <t>Ann Neurol</t>
  </si>
  <si>
    <t>PD-L1</t>
  </si>
  <si>
    <t>Homebrew / Accelerator developed test</t>
  </si>
  <si>
    <t xml:space="preserve">sPD-L1 may have value in predicting progression when using nivolumab in RCC. Might be useful for disease subtyping </t>
  </si>
  <si>
    <t>Mahoney KM, Ross-Macdonald P, Yuan L, Song L, Veras E, Wind-Rotolo M, McDermott DF, Stephen Hodi F, Choueiri TK, Freeman GJ.</t>
  </si>
  <si>
    <t>J Immunother Cancer. 2022 Feb;10(2):e003527. doi: 10.1136/jitc-2021-003527.</t>
  </si>
  <si>
    <t>Mahoney KM</t>
  </si>
  <si>
    <t>PMC8823247</t>
  </si>
  <si>
    <t>SR-X NFL serum advantage light</t>
  </si>
  <si>
    <t xml:space="preserve">Mixture of CSF and serum samples; NFL shown to be potential marker of CNS injury </t>
  </si>
  <si>
    <t>Kammeyer R, Mizenko C, Sillau S, Richie A, Owens G, Nair KV, Alvarez E, Vollmer TL, Bennett JL, Piquet AL.</t>
  </si>
  <si>
    <t>Front Neurol. 2022 Mar 2;13:689975. doi: 10.3389/fneur.2022.689975. eCollection 2022.</t>
  </si>
  <si>
    <t>Kammeyer R</t>
  </si>
  <si>
    <t>PMC8924486</t>
  </si>
  <si>
    <t xml:space="preserve">NFL, GFAP, Tau </t>
  </si>
  <si>
    <t xml:space="preserve">Neurology 3 Plex </t>
  </si>
  <si>
    <t>Early changes of these markers might be helpful in AIS treatment, stratification and care</t>
  </si>
  <si>
    <t>Correia M, Silva I, Gabriel D, Simrén J, Carneiro A, Ribeiro S, Dória HM, Varela R, Aires A, Minta K, Antunes R, Felgueiras R, Castro P, Blenow K, Magalhães R, Zetterberg H, Maia LF.</t>
  </si>
  <si>
    <t>Eur J Neurol. 2022 Feb 6. doi: 10.1111/ene.15273. Online ahead of print.</t>
  </si>
  <si>
    <t>Correia M</t>
  </si>
  <si>
    <t>NFL, GFAP, Ttau, UCH-L1</t>
  </si>
  <si>
    <t xml:space="preserve">Markers were not very helpful in understanding progression of Myotonic Dystrophy Type 1, but NFL was sensitive to disease onset and severity </t>
  </si>
  <si>
    <t>van der Plas E, Long JD, Koscik TR, Magnotta V, Monckton DG, Cumming SA, Gottschalk AC, Hefti M, Gutmann L, Nopoulos PC.</t>
  </si>
  <si>
    <t>Front Neurol. 2022 Jan 20;12:791065. doi: 10.3389/fneur.2021.791065. eCollection 2021.</t>
  </si>
  <si>
    <t>van der Plas E</t>
  </si>
  <si>
    <t>PMC8810511</t>
  </si>
  <si>
    <t>NFL Kit</t>
  </si>
  <si>
    <t xml:space="preserve">Siemans was used for immune measurements. Immune markers were the focus of the outcome. </t>
  </si>
  <si>
    <t>Fernández-Velasco JI, Monreal E, Kuhle J, Meca-Lallana V, Meca-Lallana J, Izquierdo G, Oreja-Guevara C, Gascón-Giménez F, Sainz de la Maza S, Walo-Delgado PE, Lapuente-Suanzes P, Maceski A, Rodríguez-Martín E, Roldán E, Villarrubia N, Saiz A, Blanco Y, Diaz-Pérez C, Valero-López G, Diaz-Diaz J, Aladro Y, Brieva L, Íñiguez C, González-Suárez I, Rodríguez de Antonio LA, García-Domínguez JM, Sabin J, Llufriu S, Masjuan J, Costa-Frossard L, Villar LM.</t>
  </si>
  <si>
    <t>Front Immunol. 2022 Mar 21;13:842354. doi: 10.3389/fimmu.2022.842354. eCollection 2022.</t>
  </si>
  <si>
    <t>Fernández-Velasco JI</t>
  </si>
  <si>
    <t>PMC8977599</t>
  </si>
  <si>
    <t>NFl,pNFH</t>
  </si>
  <si>
    <t xml:space="preserve">NFL advantage and NHF advanatge, HD-1 </t>
  </si>
  <si>
    <t>There was no evidence that the drug being assessed was involved in the NFl/h pathways and other markers must be found. Duplicate measurements were taken of each sample. Sample concentrations were extrapolated from a standard curve, fitted using a 4-parameter logistic algorithm. The lower limit of quantification (LLoQ) for NfL is 0.174 pg/mL and for NfH is 2.88 pg/mL.13,14 Values below the LLoQ were assigned the value of half the LLoQ. The coefficient of variation (CoV) between sample replicates tends to be higher for lower value results.</t>
  </si>
  <si>
    <t>Williams TE, Holdsworth KP, Nicholas JM, Eshaghi A, Katsanouli T, Wellington H, Heslegrave A, Zetterberg H, Frost C, Chataway J.</t>
  </si>
  <si>
    <t>Neurol Neuroimmunol Neuroinflamm. 2022 Jan 14;9(2):e1130. doi: 10.1212/NXI.0000000000001130. Print 2022 Mar.</t>
  </si>
  <si>
    <t>Williams TE</t>
  </si>
  <si>
    <t>PMC8759719</t>
  </si>
  <si>
    <t>10.1212/NXI.0000000000001130</t>
  </si>
  <si>
    <t>SARSCOV2-S</t>
  </si>
  <si>
    <t>HD-x homebrew</t>
  </si>
  <si>
    <t xml:space="preserve">Simoa may be a good platform for SARSCOV2 antibody titer testing </t>
  </si>
  <si>
    <t>Cheedarla N, Verkerke H, Potlapalli S, McLendon K, Patel A, Frank F, Damhorst G, Wu H, O'Sick W, Graciaa D, Hudaib F, Alter D, Bryksin J, Ortlund E, Guarner J, Auld S, Shah S, Lam W, Mattoon D, Johnson J, Wilson D, Dhodapkar M, Stowell S, Neish A, Roback J.</t>
  </si>
  <si>
    <t>Res Sq. 2022 Feb 16:rs.3.rs-1322411. doi: 10.21203/rs.3.rs-1322411/v1. Preprint.</t>
  </si>
  <si>
    <t>PMC8863158</t>
  </si>
  <si>
    <t xml:space="preserve">SR-X NFL kit </t>
  </si>
  <si>
    <t xml:space="preserve">Compared to SOC (MRI, cognitive tests). NFL correlated with other markers but there was no significant association </t>
  </si>
  <si>
    <t>Kern D, Khalil M, Pirpamer L, Buchmann A, Hofer E, Dal-Bianco P, Stögmann E, Scherfler C, Benke T, Ransmayr G, Schmidt R.</t>
  </si>
  <si>
    <t>Medicina (Kaunas). 2022 Mar 16;58(3):433. doi: 10.3390/medicina58030433.</t>
  </si>
  <si>
    <t>Kern D</t>
  </si>
  <si>
    <t>Medicina (Kaunas)</t>
  </si>
  <si>
    <t>PMC8955532</t>
  </si>
  <si>
    <t>IL-6, IL10, TNFa,NFL</t>
  </si>
  <si>
    <t xml:space="preserve">Compared to AIM2 methylation; both inflammation and neurology markers were correlated with PTSD - but AIM2 methylation was the overall marker of choice to progress with </t>
  </si>
  <si>
    <t>Hawn SE, Neale Z, Wolf EJ, Zhao X, Pierce M, Fein-Schaffer D, Milberg W, McGlinchey R, Logue M, Miller MW.</t>
  </si>
  <si>
    <t>Depress Anxiety. 2022 Apr;39(4):323-333. doi: 10.1002/da.23247. Epub 2022 Mar 21.</t>
  </si>
  <si>
    <t>Hawn SE</t>
  </si>
  <si>
    <t>Depress Anxiety</t>
  </si>
  <si>
    <t>PMC8996332</t>
  </si>
  <si>
    <t>NIHMS1785778</t>
  </si>
  <si>
    <t>sNfL concentrations correlated with recent inflammatory activity and were massively and persistently reduced by intermediate-intensity AHSCT. Association with response to treatment assessed by clinical or MRI outcomes was not observed, suggesting a good sensitivity of sNfL for recent inflammatory activity but low sensitivity in detecting ongoing axonal damage independent from new focal inflammation.</t>
  </si>
  <si>
    <t>Mariottini A, Marchi L, Innocenti C, Di Cristinzi M, Pasca M, Filippini S, Barilaro A, Mechi C, Fani A, Mazzanti B, Biagioli T, Materozzi F, Saccardi R, Massacesi L, Repice AM.</t>
  </si>
  <si>
    <t>Front Neurol. 2022 Feb 24;13:820256. doi: 10.3389/fneur.2022.820256. eCollection 2022.</t>
  </si>
  <si>
    <t>Mariottini A</t>
  </si>
  <si>
    <t>PMC8907141</t>
  </si>
  <si>
    <t>Ttau, AB40, AB42</t>
  </si>
  <si>
    <t>Neurology 3 Plex  HD-1</t>
  </si>
  <si>
    <t>Serum markers compared to PET scan with 18F-florbetapir amyloid tracer.These findings showed that, in the continuum of AD, plasma Aβ42 had a significantly increasing trend from NC to SCD before decreasing in MCI and AD. Furthermore, the predictive values of plasma Aβ for brain amyloid deposition were inconsistent over the course of cognitive decline.</t>
  </si>
  <si>
    <t>Pan FF, Huang Q, Wang Y, Wang YF, Guan YH, Xie F, Guo QH.</t>
  </si>
  <si>
    <t>Front Aging Neurosci. 2022 Mar 23;14:832700. doi: 10.3389/fnagi.2022.832700. eCollection 2022.</t>
  </si>
  <si>
    <t>Pan FF</t>
  </si>
  <si>
    <t>PMC8984285</t>
  </si>
  <si>
    <t>GFAP, NFL, SARSCOV2-N</t>
  </si>
  <si>
    <t>NFL and GFAP SRX kits, homebrew SARSCOV2-N</t>
  </si>
  <si>
    <t>Showed association of SARSCOV2 infection / severity with neurology markers</t>
  </si>
  <si>
    <t>Hanson BA, Visvabharathy L, Ali ST, Kang AK, Patel TR, Clark JR, Lim PH, Orban ZS, Hwang SS, Mattoon D, Batra A, Liotta EM, Koralnik IJ.</t>
  </si>
  <si>
    <t>Neurol Neuroimmunol Neuroinflamm. 2022 Mar 7;9(3):e1151. doi: 10.1212/NXI.0000000000001151. Print 2022 May.</t>
  </si>
  <si>
    <t>Hanson BA</t>
  </si>
  <si>
    <t>PMC8901169</t>
  </si>
  <si>
    <t>pTau-181</t>
  </si>
  <si>
    <t>pTau-181 HDX Kit</t>
  </si>
  <si>
    <t>pTau181 was not associated with an increased decline assessed using either baseline or repeat pTau181. pTau181 partially discriminated probable MCI-LB from controls and MCI-AD from controls but was not useful in distinguishing probable MCI-LB from MCI-AD.</t>
  </si>
  <si>
    <t>Mov Disord. 2022 Mar 23. doi: 10.1002/mds.28994. Online ahead of print.</t>
  </si>
  <si>
    <t>P-tau181, AB40, AB42, GFAP, NFL</t>
  </si>
  <si>
    <t>pTau-181 HDX Kit, Neurolopgy 4 plex</t>
  </si>
  <si>
    <t>ptau-181 and a-syn combined had the best results as a diagnostic panel for PD</t>
  </si>
  <si>
    <t>Ren J, Pan C, Wang Y, Xue C, Lin H, Xu J, Wang H, Zhang W, Xu P, Chen Y, Liu W.</t>
  </si>
  <si>
    <t>J Neurochem. 2022 Mar 2. doi: 10.1111/jnc.15601. Online ahead of print.</t>
  </si>
  <si>
    <t>Ren J</t>
  </si>
  <si>
    <t>Neurology 2 plex HDx</t>
  </si>
  <si>
    <t>Measured alongside Luminex for CNTN1; Overall, the serum biomarkers tested were relatively unaffected by variations in sample handling. For serum NfL, we recommend storage at RT before centrifugation at 2-8 °C up to 6 h or at RT up to 24 h. For serum CNTN1, we advise a maximum of two freeze-thaw cycles. Our results confirm and expand on recently launched consensus standardized operating procedures.</t>
  </si>
  <si>
    <t>van Lierop ZYGJ, Verberk IMW, van Uffelen KWJ, Koel-Simmelink MJA, In 't Veld L, Killestein J, Teunissen CE.</t>
  </si>
  <si>
    <t>Clin Chem Lab Med. 2022 Mar 28. doi: 10.1515/cclm-2022-0007. Online ahead of print.</t>
  </si>
  <si>
    <t>van Lierop ZYGJ</t>
  </si>
  <si>
    <t>AB40, AB42,</t>
  </si>
  <si>
    <t>Neurology 3 plex</t>
  </si>
  <si>
    <t xml:space="preserve">Split serum and CSF samples used, but CSF was measured using a different company (Fujirebio); Serum biomarkers did not exhibit quantitative differences between patients and controls; however, only PD patients had inter-fluids (serum-CSF) associations in tau and amyloid-β-42 levels. Moreover, serum content of tau protein was inversely correlated with cognitive performances (MoCA score). These findings, albeit preliminary, indicate that brain-derived peptides may change in parallel in both peripheral blood and CSF of PD patients, eventually even in association with some clinical features. Further studies are now needed to validate the use of blood-based biomarkers in PD.
</t>
  </si>
  <si>
    <t>Schirinzi T, Zenuni H, Grillo P, Bovenzi R, Guerrera G, Gargano F, Pieri M, Bernardini S, Biagio Mercuri N, Battistini L, Sancesario GM.</t>
  </si>
  <si>
    <t>Front Neurol. 2022 Feb 25;13:748599. doi: 10.3389/fneur.2022.748599. eCollection 2022.</t>
  </si>
  <si>
    <t>Schirinzi T</t>
  </si>
  <si>
    <t>PMC8914101</t>
  </si>
  <si>
    <t>NFL KIt</t>
  </si>
  <si>
    <t xml:space="preserve">NFL was measured by quanterix but there were several AD markers (Ptau, Abs) all measured on the Elecsys platform, markers correlated to AD progression. </t>
  </si>
  <si>
    <t>Mattsson-Carlgren N, Grinberg LT, Boxer A, Ossenkoppele R, Jonsson M, Seeley W, Ehrenberg A, Spina S, Janelidze S, Rojas-Martinex J, Rosen H, La Joie R, Lesman-Segev O, Iaccarino L, Kollmorgen G, Ljubenkov P, Eichenlaub U, Gorno-Tempini ML, Miller B, Hansson O, Rabinovici GD.</t>
  </si>
  <si>
    <t>Neurology. 2022 Mar 15;98(11):e1137-e1150. doi: 10.1212/WNL.0000000000200040. Epub 2022 Feb 16.</t>
  </si>
  <si>
    <t>Mattsson-Carlgren N</t>
  </si>
  <si>
    <t>PMC8935438</t>
  </si>
  <si>
    <t>Mult Scler. 2022 Mar 14:13524585221081090. doi: 10.1177/13524585221081090. Online ahead of print.</t>
  </si>
  <si>
    <t>Early NFL levels could be used for 10 yr prognosis of MS</t>
  </si>
  <si>
    <t>Lokhande H, Rosso M, Tauhid S, Chu R, Healy BC, Saxena S, Barro C, Paul A, Polgar-Turcsanyi M, Anderson M, Glanz BI, Kropshofer H, Granziera C, Leppert D, Kappos L, Kuhle J, Weiner HL, Bakshi R, Chitnis T.</t>
  </si>
  <si>
    <t>Mult Scler J Exp Transl Clin. 2022 Jan 10;8(1):20552173211069348. doi: 10.1177/20552173211069348. eCollection 2022 Jan-Mar.</t>
  </si>
  <si>
    <t>Lokhande H</t>
  </si>
  <si>
    <t>Mult Scler J Exp Transl Clin</t>
  </si>
  <si>
    <t>PMC8753083</t>
  </si>
  <si>
    <t>IL-17</t>
  </si>
  <si>
    <t xml:space="preserve">matched with ncounter 1l-17 transcript analysis </t>
  </si>
  <si>
    <t>Arthritis Rheumatol. 2022 Feb 14. doi: 10.1002/art.42090. Online ahead of print.</t>
  </si>
  <si>
    <t>NFL Homebrew</t>
  </si>
  <si>
    <t xml:space="preserve">The mean coefficients of variation (CVs) of duplicate determinations for concentration were 8.5% (9.5 pg mL − 1, sample 1), 5.4% (23.2 pg mL − 1, sample 2) and 7.8% (98.5 pg mL − 1, sample 3). Interassay CVs for serum were 7.8% (sample 1), 8.3% (sample 2) and 4.9% (sample 3).
Serum NfL concentrations were higher in PIGD patients independent of age, sex and disease duration. In linear regression analysis, serum NfL levels were associated with MoCA, MDS-UPDRS III and PIGD scores in unadjusted models, but remained significant after adjustment only with PIGD scores. In conclusion, increased serum NfL levels were associated with PIGD subtype and PIGD scores in patients with advanced PD.
</t>
  </si>
  <si>
    <t>Pötter-Nerger M, Dutke J, Lezius S, Buhmann C, Schulz R, Gerloff C, Kuhle J, Choe CU.</t>
  </si>
  <si>
    <t>J Neural Transm (Vienna). 2022 Mar;129(3):295-300. doi: 10.1007/s00702-022-02464-x. Epub 2022 Jan 24.</t>
  </si>
  <si>
    <t>Pötter-Nerger M</t>
  </si>
  <si>
    <t>J Neural Transm (Vienna)</t>
  </si>
  <si>
    <t>PMC8930951</t>
  </si>
  <si>
    <t xml:space="preserve">AB40,AB42, Ttau, NFL </t>
  </si>
  <si>
    <t xml:space="preserve"> We confirm that p-tau181 is elevated in MCI+AD, versus controls, FTD and PSP, but is less accurate in the classification between MCI+AD and LBD or detecting amyloid brain pathology in LBD. NfL was elevated in all dementia groups, while GFAP was elevated in MCI+AD and LBD.</t>
  </si>
  <si>
    <t>Chouliaras L, Thomas A, Malpetti M, Donaghy P, Kane J, Mak E, Savulich G, Prats-Sedano MA, Heslegrave AJ, Zetterberg H, Su L, Rowe JB, O'Brien JT.</t>
  </si>
  <si>
    <t>J Neurol Neurosurg Psychiatry. 2022 Jan 25:jnnp-2021-327788. doi: 10.1136/jnnp-2021-327788. Online ahead of print.</t>
  </si>
  <si>
    <t>Chouliaras L</t>
  </si>
  <si>
    <t>pTau-217</t>
  </si>
  <si>
    <t xml:space="preserve">SR-X </t>
  </si>
  <si>
    <t>Samples were measured in duplicate, yielding average precision of 12% CV (87% of the samples measured with CV &lt; 20%). Functional assay range (after accounting for sample dilution) was: lower limit of detection (LLOD) = 1 fg/mL, lower limit of quantification (LLOQ) = 10 fg/mL, upper limit of quantification (ULOQ) = 20,000 fg/mL. All samples were &gt;LLOD. Data analysis was then performed by AIBL investigators.
Plasma p217+tau levels elevate early in the AD continuum and correlate well with Aβ and tau PET.</t>
  </si>
  <si>
    <t>Doré V, Doecke JD, Saad ZS, Triana-Baltzer G, Slemmon R, Krishnadas N, Bourgeat P, Huang K, Burnham S, Fowler C, Rainey-Smith SR, Bush AI, Ward L, Robertson J, Martins RN, Masters CL, Villemagne VL, Fripp J, Kolb HC, Rowe CC.</t>
  </si>
  <si>
    <t>Alzheimers Dement (Amst). 2022 Apr 5;14(1):e12307. doi: 10.1002/dad2.12307. eCollection 2022.</t>
  </si>
  <si>
    <t>Doré V</t>
  </si>
  <si>
    <t>PMC8984092</t>
  </si>
  <si>
    <t>NFL advatnage HD-X</t>
  </si>
  <si>
    <t>Plasma and CSF samples were measured</t>
  </si>
  <si>
    <t>van der Post J, van Genderen JG, Heijst JA, Blokhuis C, Teunissen CE, Pajkrt D.</t>
  </si>
  <si>
    <t>Viruses. 2022 Mar 24;14(4):671. doi: 10.3390/v14040671.</t>
  </si>
  <si>
    <t>van der Post J</t>
  </si>
  <si>
    <t>PMC9030750</t>
  </si>
  <si>
    <t>AB40, AB42, T-tau</t>
  </si>
  <si>
    <t>Ab42 and AB40/42 ratio differentially identified TOMM40GG subtypes</t>
  </si>
  <si>
    <t>Liang X, Liu C, Liu K, Cong L, Wang Y, Liu R, Fa W, Tian N, Cheng Y, Wang N, Hou T, Du Y, Qiu C.</t>
  </si>
  <si>
    <t>Neurobiol Aging. 2022 May;113:143-151. doi: 10.1016/j.neurobiolaging.2021.12.013. Epub 2022 Jan 5.</t>
  </si>
  <si>
    <t>Liang X</t>
  </si>
  <si>
    <t>Comparison of Aptamer-Based and Antibody-Based Assays for Protein Quantification in Chronic Kidney Disease</t>
  </si>
  <si>
    <t xml:space="preserve">Methods, Renal Disease </t>
  </si>
  <si>
    <t>7k</t>
  </si>
  <si>
    <t>IL-8, TNFRSF1B, Cystatin-C, TNFRSF1A, suPAR, IL-10, IFN-y, TNF-a</t>
  </si>
  <si>
    <t>Renal Disease Markers</t>
  </si>
  <si>
    <t xml:space="preserve">Lack of strong correlation with Immunoassays, only 4/6 had strong correlation values and 3 were totally uncorrelated; it was also claimed that immunoassays correlated better with adverse outcomes for renal patients </t>
  </si>
  <si>
    <t>Lopez-Silva C, Surapaneni A, Coresh J, Reiser J, Parikh CR, Obeid W, Grams ME, Chen TK.</t>
  </si>
  <si>
    <t>Clin J Am Soc Nephrol. 2022 Mar;17(3):350-360. doi: 10.2215/CJN.11700921. Epub 2022 Feb 23.</t>
  </si>
  <si>
    <t>Lopez-Silva C</t>
  </si>
  <si>
    <t>PMC8975030</t>
  </si>
  <si>
    <t>10.2215/CJN.11700921</t>
  </si>
  <si>
    <t>Placental proteins with predicted roles in fetal development decrease in premature infants</t>
  </si>
  <si>
    <t>Endoplasmic reticulum resident protein 29, CD59, Fibroblast growth factor 2 and Dynactin subunit 2</t>
  </si>
  <si>
    <t xml:space="preserve">Neurology and lung fibrosis related proteins </t>
  </si>
  <si>
    <t xml:space="preserve">Could be a use to assess protein development of fetal organs </t>
  </si>
  <si>
    <t>Schreiner C, Powell TL, Palmer C, Jansson T.</t>
  </si>
  <si>
    <t>Pediatr Res. 2022 Feb 7. doi: 10.1038/s41390-022-01942-y. Online ahead of print.</t>
  </si>
  <si>
    <t>Schreiner C</t>
  </si>
  <si>
    <t>10.1038/s41390-022-01942-y</t>
  </si>
  <si>
    <t>Influenza A Virus Uses PSMA2 for Downregulation of the NRF2-Mediated Oxidative Stress Response</t>
  </si>
  <si>
    <t>1.3k</t>
  </si>
  <si>
    <t>phospholipase C signaling, Pak signaling, and nuclear factor erythroid 2p45-related factor 2 (NRF2)-mediated oxidative stress response signaling</t>
  </si>
  <si>
    <t xml:space="preserve">Cell lines used not human samples </t>
  </si>
  <si>
    <t>Rashid MU, Gao A, Coombs KM.</t>
  </si>
  <si>
    <t>J Virol. 2022 Mar 9;96(5):e0199021. doi: 10.1128/jvi.01990-21. Epub 2022 Jan 12.</t>
  </si>
  <si>
    <t>Rashid MU</t>
  </si>
  <si>
    <t>J Virol</t>
  </si>
  <si>
    <t>PMC8906419</t>
  </si>
  <si>
    <t>10.1128/jvi.01990-21</t>
  </si>
  <si>
    <t>Proteome-Wide Analysis Using SOMAscan Identifies and Validates Chitinase-3-Like Protein 1 as a Risk and Disease Marker of Delirium Among Older Adults Undergoing Major Elective Surgery</t>
  </si>
  <si>
    <t>Neurology / Heneral Health</t>
  </si>
  <si>
    <t>CHI3L1/YKL-40, POD2 IL6</t>
  </si>
  <si>
    <t>Neurology markers</t>
  </si>
  <si>
    <t xml:space="preserve">Only one protein was ID'd and ELISA verified </t>
  </si>
  <si>
    <t>Vasunilashorn SM, Dillon ST, Chan NY, Fong TG, Joseph M, Tripp B, Xie Z, Ngo LH, Lee CG, Elias JA, Otu HH, Inouye SK, Marcantonio ER, Libermann TA.</t>
  </si>
  <si>
    <t>J Gerontol A Biol Sci Med Sci. 2022 Mar 3;77(3):484-493. doi: 10.1093/gerona/glaa326.</t>
  </si>
  <si>
    <t>Vasunilashorn SM</t>
  </si>
  <si>
    <t>PMC8893174</t>
  </si>
  <si>
    <t>10.1093/gerona/glaa326</t>
  </si>
  <si>
    <t>Protein prediction for trait mapping in diverse populations</t>
  </si>
  <si>
    <t>Pop Studies</t>
  </si>
  <si>
    <t xml:space="preserve">GWAS + PQTLs analysis to make protein predictions based on ethnicity </t>
  </si>
  <si>
    <t>Schubert R, Geoffroy E, Gregga I, Mulford AJ, Aguet F, Ardlie K, Gerszten R, Clish C, Van Den Berg D, Taylor KD, Durda P, Johnson WC, Cornell E, Guo X, Liu Y, Tracy R, Conomos M, Blackwell T, Papanicolaou G, Lappalainen T, Mikhaylova AV, Thornton TA, Cho MH, Gignoux CR, Lange L, Lange E, Rich SS, Rotter JI; NHLBI TOPMed Consortium, Manichaikul A, Im HK, Wheeler HE.</t>
  </si>
  <si>
    <t>PLoS One. 2022 Feb 24;17(2):e0264341. doi: 10.1371/journal.pone.0264341. eCollection 2022.</t>
  </si>
  <si>
    <t>Schubert R</t>
  </si>
  <si>
    <t>PMC8870552</t>
  </si>
  <si>
    <t>10.1371/journal.pone.0264341</t>
  </si>
  <si>
    <t>Differential Proteomics of Cardiovascular Risk and Coronary Artery Disease in Humans</t>
  </si>
  <si>
    <t>5k</t>
  </si>
  <si>
    <t>MYO, CC22, PS-3, PAF-AH</t>
  </si>
  <si>
    <t>In a CCTA-based cohort, four proteins, involved in opposing vascular processes (healing vs. adverse remodeling), are specifically associated with low CAD burden in high CV-risk individuals (high MYO and C-C-22) and high CAD burden in low-risk subjects (high PS-3 and PAF-AH), in interaction with BMI, smoking, diabetes, HDL-cholesterol, and HbA1c. These findings could contribute to a deeper understanding of the atherosclerotic process beyond traditional risk profile assessment and potentially constitute new treatment targets.</t>
  </si>
  <si>
    <t>Ferrannini E, Manca ML, Ferrannini G, Andreotti F, Andreini D, Latini R, Magnoni M, Williams SA, Maseri A, Maggioni AP.</t>
  </si>
  <si>
    <t>Front Cardiovasc Med. 2022 Feb 4;8:790289. doi: 10.3389/fcvm.2021.790289. eCollection 2021.</t>
  </si>
  <si>
    <t>Ferrannini E</t>
  </si>
  <si>
    <t>PMC8855064</t>
  </si>
  <si>
    <t>10.3389/fcvm.2021.790289</t>
  </si>
  <si>
    <t>Coding and regulatory variants are associated with serum protein levels and disease</t>
  </si>
  <si>
    <t>General Health "Common Disease"</t>
  </si>
  <si>
    <t xml:space="preserve">GWAS + Proteomic analysis to look at proteins / triants associated with common disease in large icelandic populaiton </t>
  </si>
  <si>
    <t>Emilsson V, Gudmundsdottir V, Gudjonsson A, Jonmundsson T, Jonsson BG, Karim MA, Ilkov M, Staley JR, Gudmundsson EF, Launer LJ, Lindeman JH, Morton NM, Aspelund T, Lamb JR, Jennings LL, Gudnason V.</t>
  </si>
  <si>
    <t>Nat Commun. 2022 Jan 25;13(1):481. doi: 10.1038/s41467-022-28081-6.</t>
  </si>
  <si>
    <t>Emilsson V</t>
  </si>
  <si>
    <t>PMC8789809</t>
  </si>
  <si>
    <t>10.1038/s41467-022-28081-6</t>
  </si>
  <si>
    <t>4k</t>
  </si>
  <si>
    <t>31 proteins were able to inform prognosis I, 6 were alble to predict 5 yr outcomes</t>
  </si>
  <si>
    <t>Rhodes CJ, Wharton J, Swietlik EM, Harbaum L, Girerd B, Coghlan JG, Lordan J, Church C, Pepke-Zaba J, Toshner M, Wort SJ, Kiely DG, Condliffe R, Lawrie A, Gräf S, Montani D, Boucly A, Sitbon O, Humbert M, Howard LS, Morrell NW, Wilkins MR; UK National PAH Cohort Study Consortium.</t>
  </si>
  <si>
    <t>Am J Respir Crit Care Med. 2022 Jan 26. doi: 10.1164/rccm.202105-1118OC. Online ahead of print.</t>
  </si>
  <si>
    <t>A genome-wide association study of serum proteins reveals shared loci with common diseases</t>
  </si>
  <si>
    <t xml:space="preserve">GWAS + PQTLS study </t>
  </si>
  <si>
    <t>Gudjonsson A, Gudmundsdottir V, Axelsson GT, Gudmundsson EF, Jonsson BG, Launer LJ, Lamb JR, Jennings LL, Aspelund T, Emilsson V, Gudnason V.</t>
  </si>
  <si>
    <t>Nat Commun. 2022 Jan 25;13(1):480. doi: 10.1038/s41467-021-27850-z.</t>
  </si>
  <si>
    <t>Gudjonsson A</t>
  </si>
  <si>
    <t>PMC8789779</t>
  </si>
  <si>
    <t>10.1038/s41467-021-27850-z</t>
  </si>
  <si>
    <t>Elucidating mechanisms of genetic cross-disease associations at the PROCR vascular disease locus</t>
  </si>
  <si>
    <t>PC, APC, sEPCR, thrombin, FV, FVIIa, protein S and thrombomodulin</t>
  </si>
  <si>
    <t xml:space="preserve">Soma was used for competitive assays with specific SOMAmers; showed some specific binding as well as non-specific binding (such as zymogenic PC vs activated PC), there was a predefined number of targets they were assessing </t>
  </si>
  <si>
    <t>Stacey D, Chen L, Stanczyk PJ, Howson JMM, Mason AM, Burgess S, MacDonald S, Langdown J, McKinney H, Downes K, Farahi N, Peters JE, Basu S, Pankow JS, Tang W, Pankratz N, Sabater-Lleal M, de Vries PS, Smith NL; CHARGE Hemostasis Working Group, Gelinas AD, Schneider DJ, Janjic N, Samani NJ, Ye S, Summers C, Chilvers ER, Danesh J, Paul DS.</t>
  </si>
  <si>
    <t>Nat Commun. 2022 Mar 9;13(1):1222. doi: 10.1038/s41467-022-28729-3.</t>
  </si>
  <si>
    <t>Stacey D</t>
  </si>
  <si>
    <t>PMC8907312</t>
  </si>
  <si>
    <t>10.1038/s41467-022-28729-3</t>
  </si>
  <si>
    <t>Serum proteome analysis of systemic JIA and related lung disease identifies distinct inflammatory programs and biomarkers</t>
  </si>
  <si>
    <t>SAA and S100A9, IL-18, ICAM5,MMP7</t>
  </si>
  <si>
    <t>Serum proteins support an sJIA-to-MAS continuum, help distinguish sJIA, sJIA/MAS, and sJIA-LD and suggest etiologic hypotheses. Select biomarkers, such as ICAM5, could aid in early detection and management of sJIA-LD.</t>
  </si>
  <si>
    <t>Chen G, Deutsch GH, Schulert G, Zheng H, Jang S, Trapnell B, Lee P, Macaubas C, Ho K, Schneider C, Saper VE, de Jesus AA, Krasnow M, Grom A, Goldbach-Mansky R, Khatri P, Mellins ED, Canna SW.</t>
  </si>
  <si>
    <t>Arthritis Rheumatol. 2022 Feb 21. doi: 10.1002/art.42099. Online ahead of print.</t>
  </si>
  <si>
    <t>Proteins in the pathway from high red blood cell width distribution to all-cause mortality</t>
  </si>
  <si>
    <t>EGFR, GHR, NTRK3, SOD2, KLRF1, THBS2, TIMP1, IGFBP2, C9, APOB, and LRP1B, C7</t>
  </si>
  <si>
    <t xml:space="preserve">Red blood cell width and protein level and level over time were markers off all cause death, IGFBP2 was specificlly focused on </t>
  </si>
  <si>
    <t>EBioMedicine. 2022 Feb;76:103816. doi: 10.1016/j.ebiom.2022.103816. Epub 2022 Jan 19.</t>
  </si>
  <si>
    <t>PMC8784626</t>
  </si>
  <si>
    <t>10.1016/j.ebiom.2022.103816</t>
  </si>
  <si>
    <t>Acute serum protein and cytokine response of single dose of prednisone in adult volunteers</t>
  </si>
  <si>
    <t>Drug Development</t>
  </si>
  <si>
    <t>IL-10, IL-8, beta-2 microglobulin, TNFSF15, TSH, CST3, NBL1, CXCL13</t>
  </si>
  <si>
    <t>MSD was measured alongside SOMAscan</t>
  </si>
  <si>
    <t>Roy R, Soldin SJ, Stolze B, Barbieri M, Tawalbeh SM, Rouhana N, Fronczek AE, Nagaraju K, van den Anker J, Dang UJ, Hoffman EP.</t>
  </si>
  <si>
    <t>Steroids. 2022 Feb;178:108953. doi: 10.1016/j.steroids.2021.108953. Epub 2022 Jan 10.</t>
  </si>
  <si>
    <t>Roy R</t>
  </si>
  <si>
    <t>Steroids</t>
  </si>
  <si>
    <t>10.1016/j.steroids.2021.108953</t>
  </si>
  <si>
    <t>Immune effector and platelet degradation</t>
  </si>
  <si>
    <t>Proteins were associated with Hannum-extrinsic EAA</t>
  </si>
  <si>
    <t>Stroke. 2022 Feb 25:STROKEAHA121037419. doi: 10.1161/STROKEAHA.121.037419. Online ahead of print.</t>
  </si>
  <si>
    <t>An Approach to Biomarker Discovery of Cannabis Use Utilizing Proteomic, Metabolomic, and Lipidomic Analyses</t>
  </si>
  <si>
    <t xml:space="preserve">Immune system pathways </t>
  </si>
  <si>
    <t>Hinckley JD, Saba L, Raymond K, Bartels K, Klawitter J, Christians U, Hopfer C.</t>
  </si>
  <si>
    <t>Cannabis Cannabinoid Res. 2022 Feb;7(1):65-77. doi: 10.1089/can.2020.0002. Epub 2020 Jun 19.</t>
  </si>
  <si>
    <t>Hinckley JD</t>
  </si>
  <si>
    <t>Cannabis Cannabinoid Res</t>
  </si>
  <si>
    <t>PMC8864439</t>
  </si>
  <si>
    <t>10.1089/can.2020.0002</t>
  </si>
  <si>
    <t>Proteomic analysis of serum in workers exposed to diesel engine exhaust</t>
  </si>
  <si>
    <t>Serum Proteomics and Plasma Fibulin-3 in Differentiation of Mesothelioma From Asbestos-Exposed Controls and Patients With Other Pleural Diseases</t>
  </si>
  <si>
    <t>Discovery of Novel Proteomic Biomarkers for the Prediction of Kidney Recovery from Dialysis-Dependent AKI Patients</t>
  </si>
  <si>
    <t>Renal Disease</t>
  </si>
  <si>
    <t>The Proteomic Signature of Recombinant Growth Hormone in Recreational Athletes</t>
  </si>
  <si>
    <t xml:space="preserve">Performance Drug Screening </t>
  </si>
  <si>
    <t>Proteomic Approaches to Defining Remission and the Risk of Relapse in Rheumatoid Arthritis</t>
  </si>
  <si>
    <t>Integrated plasma proteomics and lung transcriptomics reveal novel biomarkers in idiopathic pulmonary fibrosis</t>
  </si>
  <si>
    <t>Proteomic Biomarker Analysis of Serum from Japanese Field Mice (Apodemus Speciosus) Collected within the Fukushima Difficult-to-return Zone</t>
  </si>
  <si>
    <t xml:space="preserve">Other (Changes in mice exposed to raidation) </t>
  </si>
  <si>
    <t>Effects of adiposity on the human plasma proteome: observational and Mendelian randomisation estimates</t>
  </si>
  <si>
    <t>Identification and Evaluation of Serum Protein Biomarkers That Differentiate Psoriatic Arthritis From Rheumatoid Arthritis</t>
  </si>
  <si>
    <t>Large-scale plasma proteomics can reveal distinct endotypes in chronic obstructive pulmonary disease and severe asthma</t>
  </si>
  <si>
    <t>Heat Shock-Related Protein Responses and Inflammatory Protein Changes Are Associated with Mild Prolonged Hypoglycemia</t>
  </si>
  <si>
    <t>Metabolism</t>
  </si>
  <si>
    <t>Proteome-wide associations with short- and long-term weight loss and regain after Roux-en-Y gastric bypass surgery</t>
  </si>
  <si>
    <t>Vitamin D association with the renin angiotensin system in polycystic ovary syndrome</t>
  </si>
  <si>
    <t xml:space="preserve">Endocrinology </t>
  </si>
  <si>
    <t>CXCL11, HAPLN1, FLT4, CD40LG, PES1, IGHE.IGK..IGL, TNFSF9, PGD, NAGK, CCL25, CCL4L1, PDXK, and PLA2G1B</t>
  </si>
  <si>
    <t>Whole 1.3 k assay; looking for those involved with carcinogens</t>
  </si>
  <si>
    <t xml:space="preserve">CXCL11 was the most associated, but overall immune and inflammation pathways were influenced by diesel engine exhasut </t>
  </si>
  <si>
    <t>Rahman ML, Bassig BA, Dai Y, Hu W, Wong JYY, Blechter B, Hosgood HD, Ren D, Duan H, Niu Y, Xu J, Fu W, Meliefste K, Zhou B, Yang J, Ye M, Jia X, Meng T, Bin P, Silverman DT, Vermeulen R, Rothman N, Zheng Y, Lan Q.</t>
  </si>
  <si>
    <t>Environ Mol Mutagen. 2021 Dec 11. doi: 10.1002/em.22469. Online ahead of print.</t>
  </si>
  <si>
    <t>Rahman ML</t>
  </si>
  <si>
    <t>Environ Mol Mutagen</t>
  </si>
  <si>
    <t>10.1002/em.22469</t>
  </si>
  <si>
    <t xml:space="preserve">Whole 1.3 k assay </t>
  </si>
  <si>
    <t xml:space="preserve">Not found to be useful for diagnosis or pathway stratificaiton, but may be a screem for asbestos exposed patients; whole somascan was used but there was a focus on a 13 protein signature </t>
  </si>
  <si>
    <t>Tsim S, Alexander L, Kelly C, Shaw A, Hinsley S, Clark S, Evison M, Holme J, Cameron EJ, Sharma D, Wright A, Grundy S, Grieve D, Ionescu A, Breen DP, Paramasivam E, Psallidas I, Mukherjee D, Chetty M, Cox G, Hart-Thomas A, Naseer R, Edwards J, Daneshvar C, Panchal R, Munavvar M, Ostroff R, Alexander L, Hall H, Neilson M, Miller C, McCormick C, Thomson F, Chalmers AJ, Maskell NA, Blyth KG.</t>
  </si>
  <si>
    <t>J Thorac Oncol. 2021 Oct;16(10):1705-1717. doi: 10.1016/j.jtho.2021.05.018. Epub 2021 Jun 9.</t>
  </si>
  <si>
    <t>Tsim S</t>
  </si>
  <si>
    <t>J Thorac Oncol</t>
  </si>
  <si>
    <t>PMC8514249</t>
  </si>
  <si>
    <t>10.1016/j.jtho.2021.05.018</t>
  </si>
  <si>
    <t>CXCL11, CXCL2/CXCL3, CD86, Wnt-7a, BTK, c-Myc, TIMP-3, CCL5, ghrelin, PDGF-C, survivin, CA2, IL-9, EGF, and neuregulin-1, and lower levels of soluble CXCL16, IL1RL1, stanniocalcin-1, IL-6, and FGF23</t>
  </si>
  <si>
    <t>Proteins identified were associated with better kidney recovery and mya be predictive</t>
  </si>
  <si>
    <t>Daniels JR, Ma JZ, Cao Z, Beger RD, Sun J, Schnackenberg L, Pence L, Choudhury D, Palevsky PM, Portilla D, Yu LR.</t>
  </si>
  <si>
    <t>Kidney360. 2021 Nov 25;2(11):1716-1727. doi: 10.34067/kid.0002642021.</t>
  </si>
  <si>
    <t>Daniels JR</t>
  </si>
  <si>
    <t>Kidney360</t>
  </si>
  <si>
    <t>PMC8670726</t>
  </si>
  <si>
    <t>NIHMS1740476</t>
  </si>
  <si>
    <t>10.34067/kid.0002642021</t>
  </si>
  <si>
    <t xml:space="preserve">Table 2 </t>
  </si>
  <si>
    <t xml:space="preserve">Whole 1.3 k assay; hGH pathway analysis  </t>
  </si>
  <si>
    <t>Esefeld M, Pastor A, de la Torre R, Barroso O, Aikin R, Sarwath H, Engelke R, Schmidt F, Suhre K.</t>
  </si>
  <si>
    <t>J Endocr Soc. 2021 Nov 2;5(12):bvab156. doi: 10.1210/jendso/bvab156. eCollection 2021 Dec 1.</t>
  </si>
  <si>
    <t>Esefeld M</t>
  </si>
  <si>
    <t>J Endocr Soc</t>
  </si>
  <si>
    <t>PMC8577606</t>
  </si>
  <si>
    <t>10.1210/jendso/bvab156</t>
  </si>
  <si>
    <t xml:space="preserve">N/A </t>
  </si>
  <si>
    <t>4 clusters were made using 200 proteins in stable RA</t>
  </si>
  <si>
    <t>O'Neil LJ, Hu P, Liu Q, Islam MM, Spicer V, Rech J, Hueber A, Anaparti V, Smolik I, El-Gabalawy HS, Schett G, Wilkins JA.</t>
  </si>
  <si>
    <t>Front Immunol. 2021 Nov 18;12:729681. doi: 10.3389/fimmu.2021.729681. eCollection 2021.</t>
  </si>
  <si>
    <t>O'Neil LJ</t>
  </si>
  <si>
    <t>PMC8636686</t>
  </si>
  <si>
    <t>10.3389/fimmu.2021.729681</t>
  </si>
  <si>
    <t>CCL25, CCL28, CCL17, CCL22, CXCL12, C3M, C6M</t>
  </si>
  <si>
    <t xml:space="preserve">Panel of 34 identified, 7 were called out </t>
  </si>
  <si>
    <t xml:space="preserve">Panel identified that may have clinical utulity for IPF </t>
  </si>
  <si>
    <t>Sivakumar P, Ammar R, Thompson JR, Luo Y, Streltsov D, Porteous M, McCoubrey C, Cantu E 3rd, Beers MF, Jarai G, Christie JD.</t>
  </si>
  <si>
    <t>Respir Res. 2021 Oct 24;22(1):273. doi: 10.1186/s12931-021-01860-3.</t>
  </si>
  <si>
    <t>Sivakumar P</t>
  </si>
  <si>
    <t>PMC8543878</t>
  </si>
  <si>
    <t>10.1186/s12931-021-01860-3</t>
  </si>
  <si>
    <t>Not Specified</t>
  </si>
  <si>
    <t xml:space="preserve">injury, respiratory, renal, urological, and gastrointestinal disease, and cancer </t>
  </si>
  <si>
    <t>1.5 fold change was the cutoff used to be considered regulated differently</t>
  </si>
  <si>
    <t>Sproull M, Hayes J, Ishiniwa H, Nanba K, Shankavaram U, Camphausen K, Johnson TE.</t>
  </si>
  <si>
    <t>Health Phys. 2021 Dec 1;121(6):564-573. doi: 10.1097/HP.0000000000001467.</t>
  </si>
  <si>
    <t>Health Phys</t>
  </si>
  <si>
    <t>PMC8556248</t>
  </si>
  <si>
    <t>NIHMS1714110</t>
  </si>
  <si>
    <t>10.1097/HP.0000000000001467</t>
  </si>
  <si>
    <t>SEMA6B; SEMA6B+secreted frizzle protein 3 [SFRP3], SEMA6B+COMM domain containing 7 [COMMD7], and vascular cell adhesion molecule 1 [VCAM1]+BMX nonreceptor tyrosine kinase [BMX])</t>
  </si>
  <si>
    <t xml:space="preserve">1 and 2 protein signatures were associated with portal hypertension in children with Biliary Atresia </t>
  </si>
  <si>
    <t>Hepatol Commun. 2021 Dec 27. doi: 10.1002/hep4.1878. Online ahead of print.</t>
  </si>
  <si>
    <t>Leptin, FABP4, SHBG</t>
  </si>
  <si>
    <t>Proteins impacted by BMI</t>
  </si>
  <si>
    <t xml:space="preserve">Mendelian randomisation identified 8 overall proteins but the 3 stated had the strongest relationships </t>
  </si>
  <si>
    <t>Goudswaard LJ, Bell JA, Hughes DA, Corbin LJ, Walter K, Davey Smith G, Soranzo N, Danesh J, Di Angelantonio E, Ouwehand WH, Watkins NA, Roberts DJ, Butterworth AS, Hers I, Timpson NJ.</t>
  </si>
  <si>
    <t>Int J Obes (Lond). 2021 Oct;45(10):2221-2229. doi: 10.1038/s41366-021-00896-1. Epub 2021 Jul 5.</t>
  </si>
  <si>
    <t>Goudswaard LJ</t>
  </si>
  <si>
    <t>Int J Obes (Lond)</t>
  </si>
  <si>
    <t>PMC8455324</t>
  </si>
  <si>
    <t>EMS128858</t>
  </si>
  <si>
    <t>10.1038/s41366-021-00896-1</t>
  </si>
  <si>
    <t>Sup Table 3</t>
  </si>
  <si>
    <t xml:space="preserve">Whole assay used, 175 proteins were associated and mapped to LCMS data, 48 were selected to make a bead based array out of </t>
  </si>
  <si>
    <t xml:space="preserve">Somalogic was used to compliment MS proteomics </t>
  </si>
  <si>
    <t>Mc Ardle A, Kwasnik A, Szentpetery A, Hernandez B, Parnell A, de Jager W, de Roock S, FitzGerald O, Pennington SR.</t>
  </si>
  <si>
    <t>Arthritis Rheumatol. 2022 Jan;74(1):81-91. doi: 10.1002/art.41899. Epub 2021 Nov 23.</t>
  </si>
  <si>
    <t>Mc Ardle A</t>
  </si>
  <si>
    <t>10.1002/art.41899</t>
  </si>
  <si>
    <t>11 proteins were also checked with an ELISA and radioimmunoassay, 10 of them found to be significantly correlated  (IgE, leptin, CRP, CCL18, adiponectin, YKL40, CD5L, periostin, SPP1, but not albumin)
Our results indicate that the SOMAscan abundance data compare well to other protein analysis platforms. However, use of single protein assessment measures to validate the SOMAscan data has some limitations as follows: a) not all proteins in the SOMAscan array have suitable low throughput options to validate a result; b) the SOMAscan platform has a large dynamic range which may not always be the case for other platforms; c) in general single assessment measures have larger coefficient of variability (CoV) than SOMAscan platform with a 3%–4% CoV 62 which drives greater precision in any analysis; d) and finally subtly different epitopes may be assessed between the two methods which is common even between ELISAs to the same protein.</t>
  </si>
  <si>
    <t>Suzuki M, Cole JJ, Konno S, Makita H, Kimura H, Nishimura M, Maciewicz RA.</t>
  </si>
  <si>
    <t>Clin Transl Allergy. 2021 Dec;11(10):e12091. doi: 10.1002/clt2.12091.</t>
  </si>
  <si>
    <t>Suzuki M</t>
  </si>
  <si>
    <t>PMC8686766</t>
  </si>
  <si>
    <t>10.1002/clt2.12091</t>
  </si>
  <si>
    <t>MD-2, HSPA8, UBE2N, STIP1, UBE2L3,CXCL10,SIGLEC1, IL5, isoprostane 8-iso PGF2α, HSPA1A</t>
  </si>
  <si>
    <t xml:space="preserve">HSP-related proteins, inflammatory stress markers, and oxidative stress markers </t>
  </si>
  <si>
    <t>Early and small scale study</t>
  </si>
  <si>
    <t>Moin ASM, Nandakumar M, Kahal H, Sathyapalan T, Atkin SL, Butler AE.</t>
  </si>
  <si>
    <t>Cells. 2021 Nov 10;10(11):3109. doi: 10.3390/cells10113109.</t>
  </si>
  <si>
    <t>Moin ASM</t>
  </si>
  <si>
    <t>PMC8618421</t>
  </si>
  <si>
    <t>10.3390/cells10113109</t>
  </si>
  <si>
    <t>CCL11, CDH1,CRP,FAM3B,MET,NCAM1,OMD,SERPINC1, TNFRSF17, ANGPT2, IL23R, F9</t>
  </si>
  <si>
    <t>inflammation, complement, lipid, and adipocyte pathways</t>
  </si>
  <si>
    <t>The change in BMI caused several proteins to fall out of being significant, uo to 99 proteins identified as interesting depending on the timeframe after surgery</t>
  </si>
  <si>
    <t>Yousri NA, Engelke R, Sarwath H, McKinlay RD, Simper SC, Adams TD, Schmidt F, Suhre K, Hunt SC.</t>
  </si>
  <si>
    <t>Obesity (Silver Spring). 2022 Jan;30(1):129-141. doi: 10.1002/oby.23303. Epub 2021 Nov 18.</t>
  </si>
  <si>
    <t>Yousri NA</t>
  </si>
  <si>
    <t>PMC8692443</t>
  </si>
  <si>
    <t>NIHMS1741583</t>
  </si>
  <si>
    <t>10.1002/oby.23303</t>
  </si>
  <si>
    <t>ACE2, renin and angiotensinogen</t>
  </si>
  <si>
    <t>RAS proteins</t>
  </si>
  <si>
    <t xml:space="preserve">Increased renin and decreased ACE2 came out as related to vitamin D defficienct and PCOS </t>
  </si>
  <si>
    <t>Butler AE, Moin ASM, Sathyapalan T, Atkin SL.</t>
  </si>
  <si>
    <t>J Steroid Biochem Mol Biol. 2021 Nov;214:105965. doi: 10.1016/j.jsbmb.2021.105965. Epub 2021 Oct 5.</t>
  </si>
  <si>
    <t>Butler AE</t>
  </si>
  <si>
    <t>J Steroid Biochem Mol Biol</t>
  </si>
  <si>
    <t>10.1016/j.jsbmb.2021.105965</t>
  </si>
  <si>
    <t>Q4 '21</t>
  </si>
  <si>
    <t>Systemic Inflammation in Preclinical Ulcerative Colitis</t>
  </si>
  <si>
    <t xml:space="preserve">MMP10, CXCL9, CCL11, SLAMF1, CXCL11 and MCP-1; SLAMF1 and CCL11 were not found to be significant </t>
  </si>
  <si>
    <t xml:space="preserve">Target 96, Inflammation </t>
  </si>
  <si>
    <t xml:space="preserve">Proteins were upregualted several years before diagnosis </t>
  </si>
  <si>
    <t>Bergemalm D, Andersson E, Hultdin J, Eriksson C, Rush ST, Kalla R, Adams AT, Keita ÅV, D'Amato M, Gomollon F, Jahnsen J; IBD Character Consortium, Ricanek P, Satsangi J, Repsilber D, Karling P, Halfvarson J.</t>
  </si>
  <si>
    <t>Gastroenterology. 2021 Nov;161(5):1526-1539.e9. doi: 10.1053/j.gastro.2021.07.026. Epub 2021 Jul 21.</t>
  </si>
  <si>
    <t>Bergemalm D</t>
  </si>
  <si>
    <t>Gastroenterology</t>
  </si>
  <si>
    <t>10.1053/j.gastro.2021.07.026</t>
  </si>
  <si>
    <t>Differential effects of estradiol and progesterone on human T cell activation in vitro</t>
  </si>
  <si>
    <t>Papapavlou G, Hellberg S, Raffetseder J, Brynhildsen J, Gustafsson M, Jenmalm MC, Ernerudh J.</t>
  </si>
  <si>
    <t>Eur J Immunol. 2021 Oct;51(10):2430-2440. doi: 10.1002/eji.202049144. Epub 2021 Jul 26.</t>
  </si>
  <si>
    <t>Papapavlou G</t>
  </si>
  <si>
    <t>Eur J Immunol</t>
  </si>
  <si>
    <t>10.1002/eji.202049144</t>
  </si>
  <si>
    <t>Variation in Plasma Levels of TRAF2 Protein During Development of Squamous Cell Carcinoma of the Oral Tongue</t>
  </si>
  <si>
    <t xml:space="preserve">Target 96, cell regulation, Immune response, immuno-oncology </t>
  </si>
  <si>
    <t xml:space="preserve">Proteins were found to able to separate groups but nothing was found to be diagnostic </t>
  </si>
  <si>
    <t>Gu X, Coates P, Wang L, Erdogan B, Salehi A, Sgaramella N, Zborayova K, Nylander K.</t>
  </si>
  <si>
    <t>Front Oncol. 2021 Nov 23;11:753699. doi: 10.3389/fonc.2021.753699. eCollection 2021.</t>
  </si>
  <si>
    <t>Gu X</t>
  </si>
  <si>
    <t>PMC8649619</t>
  </si>
  <si>
    <t>10.3389/fonc.2021.753699</t>
  </si>
  <si>
    <t>Large-Scale Plasma Protein Profiling of Incident Myocardial Infarction, Ischemic Stroke, and Heart Failure</t>
  </si>
  <si>
    <t>41,53,13,26</t>
  </si>
  <si>
    <t xml:space="preserve">9 Target 96 panels, cardiometabolic, CVI,III,development, immune repsonse, inflammation, metabolism, organ damage and oncology) </t>
  </si>
  <si>
    <t xml:space="preserve">various signatures were associated with various states, including being associated with the incident CVD, MI, ischemic stoke and heart failure </t>
  </si>
  <si>
    <t>Lind L, Zanetti D, Ingelsson M, Gustafsson S, Ärnlöv J, Assimes TL.</t>
  </si>
  <si>
    <t>J Am Heart Assoc. 2021 Dec 7;10(23):e023330. doi: 10.1161/JAHA.121.023330. Epub 2021 Nov 30.</t>
  </si>
  <si>
    <t>Lind L</t>
  </si>
  <si>
    <t>J Am Heart Assoc</t>
  </si>
  <si>
    <t>10.1161/JAHA.121.023330</t>
  </si>
  <si>
    <t>Multiplex proteomics as risk predictor of infection in patients treated with hemodialysis-A prospective multicenter study</t>
  </si>
  <si>
    <t xml:space="preserve">Renal Disease/ infectious disease </t>
  </si>
  <si>
    <t>cathepsin-L1 and interleukin-6</t>
  </si>
  <si>
    <t>Not specified</t>
  </si>
  <si>
    <t>Glerup R, Svensson M, Jakobsen LH, Fellstrøm B, Jensen JD, Christensen JH.</t>
  </si>
  <si>
    <t>Hemodial Int. 2021 Dec 29. doi: 10.1111/hdi.12987. Online ahead of print.</t>
  </si>
  <si>
    <t>Glerup R</t>
  </si>
  <si>
    <t>Hemodial Int</t>
  </si>
  <si>
    <t>10.1111/hdi.12987</t>
  </si>
  <si>
    <t>Proteins associated with incident metabolic syndrome in population-based cohorts</t>
  </si>
  <si>
    <t xml:space="preserve">Cardiometabolic </t>
  </si>
  <si>
    <t>IL-1RA</t>
  </si>
  <si>
    <t>Target 96, Cardiovascular Proteins</t>
  </si>
  <si>
    <t xml:space="preserve">9 proteins associated with all 5 compliments of metabolic syndrome, but only 1 was significantly associated mendelian rnadomization did not suport this conclusion though </t>
  </si>
  <si>
    <t>Lind L, Sundström J, Ärnlöv J.</t>
  </si>
  <si>
    <t>Diabetol Metab Syndr. 2021 Nov 10;13(1):131. doi: 10.1186/s13098-021-00752-2.</t>
  </si>
  <si>
    <t>Diabetol Metab Syndr</t>
  </si>
  <si>
    <t>PMC8579529</t>
  </si>
  <si>
    <t>10.1186/s13098-021-00752-2</t>
  </si>
  <si>
    <t>The Serum Proteome and Ursodeoxycholic Acid Response in Primary Biliary Cholangitis</t>
  </si>
  <si>
    <t xml:space="preserve">Immunology (autoimmune disorder) </t>
  </si>
  <si>
    <t>CCL20, CXCL9, CXCL11, CCL19, CXCL10, CXCL13</t>
  </si>
  <si>
    <t xml:space="preserve">Target 96, Cardiovascular I &amp; II, inflammation and oncology II </t>
  </si>
  <si>
    <t>19 remained significant but only 6 were tightly linked and could have value in identifying high risk disease; clinical utility TBD</t>
  </si>
  <si>
    <t>Barron-Millar B, Ogle L, Mells G, Flack S, Badrock J, Sandford R, Kirby J, Palmer J, Jopson L, Brain J, Smith GR, Rushton S, Hegade VS, Jones R, Rushbrook S, Thorburn D, Ryder S, Hirschfield G; UK-PBC Research Consortium, Dyson JK, Jones DEJ.</t>
  </si>
  <si>
    <t>Hepatology. 2021 Dec;74(6):3269-3283. doi: 10.1002/hep.32011. Epub 2021 Nov 2.</t>
  </si>
  <si>
    <t>Barron-Millar B</t>
  </si>
  <si>
    <t>10.1002/hep.32011</t>
  </si>
  <si>
    <t>Plasma Proteome Fingerprints Reveal Distinctiveness and Clinical Outcome of SARS-CoV-2 Infection</t>
  </si>
  <si>
    <t>Infection; (CXCL10, CXCL11, CXCL5, Gal-9, INF-gamma, IL-18, IL-18R1, LIF-R, MCP-2, MCP-3, MERTK, MMP-1, PD-L1, TNF). Hospitalization; (ADM, CTSL1, HGF, IL-27, IL-6, KIM1, MERTK, MMP-1, MMP-12, OPG, TNFRSF10A, TRAIL-R2)</t>
  </si>
  <si>
    <t>Target 96; Cardiovascular II, Inflammation (2 96 plex assay)</t>
  </si>
  <si>
    <t>14 markers associated with COVID infection, 12 associated with hospitalization; ADM, IL-6, MCP-3, TRAIL-R2, and PD-L1 were each predictive of death</t>
  </si>
  <si>
    <t>Bauer W, Weber M, Diehl-Wiesenecker E, Galtung N, Prpic M, Somasundaram R, Tauber R, Schwenk JM, Micke P, Kappert K.</t>
  </si>
  <si>
    <t>Viruses. 2021 Dec 7;13(12):2456. doi: 10.3390/v13122456.</t>
  </si>
  <si>
    <t>Bauer W</t>
  </si>
  <si>
    <t>PMC8706135</t>
  </si>
  <si>
    <t>10.3390/v13122456</t>
  </si>
  <si>
    <t>Proteomics-Enabled Deep Learning Machine Algorithms Can Enhance Prediction of Mortality</t>
  </si>
  <si>
    <t>Cardiovascualar</t>
  </si>
  <si>
    <t xml:space="preserve">Not specified </t>
  </si>
  <si>
    <t xml:space="preserve">Not specified, predictive multi-protein models were used </t>
  </si>
  <si>
    <t xml:space="preserve">Used the full assay to make models and compared them to classical regression mdoels to predict mortality in patients with cardiovascular disease </t>
  </si>
  <si>
    <t>Unterhuber M, Kresoja KP, Rommel KP, Besler C, Baragetti A, Klöting N, Ceglarek U, Blüher M, Scholz M, Catapano AL, Thiele H, Lurz P.</t>
  </si>
  <si>
    <t>J Am Coll Cardiol. 2021 Oct 19;78(16):1621-1631. doi: 10.1016/j.jacc.2021.08.018.</t>
  </si>
  <si>
    <t>Unterhuber M</t>
  </si>
  <si>
    <t>J Am Coll Cardiol</t>
  </si>
  <si>
    <t>10.1016/j.jacc.2021.08.018</t>
  </si>
  <si>
    <t xml:space="preserve">Metabolic Disease (renal) / Immunology </t>
  </si>
  <si>
    <t>3,9</t>
  </si>
  <si>
    <t>CD40,TNFRSF9,IL10RB</t>
  </si>
  <si>
    <t xml:space="preserve">Not specified, likely Target 96 Inlfammatory </t>
  </si>
  <si>
    <t xml:space="preserve">Discovered markers that may be relevant to chronic kidney disease care </t>
  </si>
  <si>
    <t>Nephrol Dial Transplant. 2021 Oct 6:gfab294. doi: 10.1093/ndt/gfab294. Online ahead of print.</t>
  </si>
  <si>
    <t>Multiomic study of skin, peripheral blood, and serum: is serum proteome a reflection of disease process at the end-organ level in systemic sclerosis?</t>
  </si>
  <si>
    <t xml:space="preserve">Muscoloskeletal / Immunology </t>
  </si>
  <si>
    <t>Table 3</t>
  </si>
  <si>
    <t>10 target 96 panels (cardiovascular / cardiometabolox (each2x) ell regulation, development, immune response, inflammation, metabolism, neurology, oncology and organ damage); 70 proteins were excluded</t>
  </si>
  <si>
    <t>Multiomic study of the diseas. SSc serum protein profile shows an upregulation of profibrotic cytokines and a downregulation of soluble EGF and other key receptors. Our multilevel comparative analysis indicates that the serum protein profile in SSc correlates more closely with molecular dysregulations of skin than PBCs and might serve as a reflection of disease severity at the end-organ level.</t>
  </si>
  <si>
    <t>Farutin V, Kurtagic E, Pradines JR, Capila I, Mayes MD, Wu M, Manning AM, Assassi S.</t>
  </si>
  <si>
    <t>Arthritis Res Ther. 2021 Oct 15;23(1):259. doi: 10.1186/s13075-021-02633-5.</t>
  </si>
  <si>
    <t>Farutin V</t>
  </si>
  <si>
    <t>PMC8518248</t>
  </si>
  <si>
    <t>10.1186/s13075-021-02633-5</t>
  </si>
  <si>
    <t>Risk of Late-Onset Depression and Cognitive Decline: Results From Inflammatory Proteome Analyses in a Prospective Population-Based Cohort Study</t>
  </si>
  <si>
    <t xml:space="preserve">Neurology / Other (mental health) </t>
  </si>
  <si>
    <t>CCL4,IL-10</t>
  </si>
  <si>
    <t xml:space="preserve">No markers associated with reccurent depression, but may link late-onset depression and vascular dementia </t>
  </si>
  <si>
    <t>Perna L, Trares K, Perneczky R, Tato M, Stocker H, Möllers T, Holleczek B, Schöttker B, Brenner H.</t>
  </si>
  <si>
    <t>Am J Geriatr Psychiatry. 2021 Dec 3:S1064-7481(21)00553-4. doi: 10.1016/j.jagp.2021.12.001. Online ahead of print.</t>
  </si>
  <si>
    <t>Am J Geriatr Psychiatry</t>
  </si>
  <si>
    <t>10.1016/j.jagp.2021.12.001</t>
  </si>
  <si>
    <t>Multiplex immune protein profiling of fine-needle aspirates from patients with non-small-cell lung cancer reveals signatures associated with PD-L1 expression and tumor stage</t>
  </si>
  <si>
    <t>22, 11</t>
  </si>
  <si>
    <t>8,9</t>
  </si>
  <si>
    <t>CD73, Granzyme A, CCL3, CCL23, EphA2, CXCL10, IL12RB1</t>
  </si>
  <si>
    <t>Target 96, Immuno-oncology I,II</t>
  </si>
  <si>
    <t xml:space="preserve">Matched to genomic profiling and PD-L1 expression, used  Qlucore bioinformatics vs Olink provided analytics, various signatures were generatedd as part of this study </t>
  </si>
  <si>
    <t>Franzén B, Viktorsson K, Kamali C, Darai-Ramqvist E, Grozman V, Arapi V, Hååg P, Kaminskyy VO, Hydbring P, Kanter L, Nyrén S, Ekman S, De Petris L, Lewensohn R.</t>
  </si>
  <si>
    <t>Mol Oncol. 2021 Nov;15(11):2941-2957. doi: 10.1002/1878-0261.12952. Epub 2021 May 1.</t>
  </si>
  <si>
    <t>Franzén B</t>
  </si>
  <si>
    <t>PMC8564641</t>
  </si>
  <si>
    <t>10.1002/1878-0261.12952</t>
  </si>
  <si>
    <t>Plasma tumour and metabolism related biomarkers AMBP, LPL and Glyoxalase I differentiate heart failure with preserved ejection fraction with pulmonary hypertension from pulmonary arterial hypertension</t>
  </si>
  <si>
    <t xml:space="preserve">AMBP, LPL, glyoxalase </t>
  </si>
  <si>
    <t>Target 96, cardio I,II,oncology</t>
  </si>
  <si>
    <t>Ahmed S, Ahmed A, Rådegran G.</t>
  </si>
  <si>
    <t>Int J Cardiol. 2021 Dec 15;345:68-76. doi: 10.1016/j.ijcard.2021.10.136. Epub 2021 Oct 25.</t>
  </si>
  <si>
    <t>Ahmed S</t>
  </si>
  <si>
    <t>10.1016/j.ijcard.2021.10.136</t>
  </si>
  <si>
    <t>Differential chemokine alteration in the variants of primary progressive aphasia-a role for neuroinflammation</t>
  </si>
  <si>
    <t>CCL19, CXCL6,CXCL5,CCL2,CCL3, CXCL1,CCL8?</t>
  </si>
  <si>
    <t xml:space="preserve">Target 96, Neuroinflammatory </t>
  </si>
  <si>
    <t>Sogorb-Esteve A, Swift IJ, Woollacott IOC, Warren JD, Zetterberg H, Rohrer JD.</t>
  </si>
  <si>
    <t>J Neuroinflammation. 2021 Oct 3;18(1):224. doi: 10.1186/s12974-021-02247-3.</t>
  </si>
  <si>
    <t>Sogorb-Esteve A</t>
  </si>
  <si>
    <t>PMC8489077</t>
  </si>
  <si>
    <t>10.1186/s12974-021-02247-3</t>
  </si>
  <si>
    <t>Synergistic insights into human health from aptamer- and antibody-based proteomic profiling</t>
  </si>
  <si>
    <t xml:space="preserve">Other (General Health) </t>
  </si>
  <si>
    <t>n/a</t>
  </si>
  <si>
    <t xml:space="preserve">n/a </t>
  </si>
  <si>
    <t xml:space="preserve">12 Target 96 panels </t>
  </si>
  <si>
    <t>Comparison with Somalogic 5k platform. They looked at the overlapping proteins between the two platforms and found 36% of the proteome / phenome connections were unique</t>
  </si>
  <si>
    <t>Pietzner M, Wheeler E, Carrasco-Zanini J, Kerrison ND, Oerton E, Koprulu M, Luan J, Hingorani AD, Williams SA, Wareham NJ, Langenberg C.</t>
  </si>
  <si>
    <t>Nat Commun. 2021 Nov 24;12(1):6822. doi: 10.1038/s41467-021-27164-0.</t>
  </si>
  <si>
    <t>Pietzner M</t>
  </si>
  <si>
    <t>PMC8613205</t>
  </si>
  <si>
    <t>10.1038/s41467-021-27164-0</t>
  </si>
  <si>
    <t>Biomarkers of subclinical atherosclerosis in patients with psoriasis</t>
  </si>
  <si>
    <t>TRAIL, GDF-15, TRANCE</t>
  </si>
  <si>
    <t>Target 96, Cardiovascular I,II, inflammation</t>
  </si>
  <si>
    <t xml:space="preserve">TRAIL borderline significant after BMI adjustment; GDF-15 might serve as a biomarker of subclinical atherosclerosis </t>
  </si>
  <si>
    <t>Kaiser H, Wang X, Kvist-Hansen A, Krakauer M, Gørtz PM, McCauley BD, Skov L, Becker C, Hansen PR.</t>
  </si>
  <si>
    <t>Sci Rep. 2021 Nov 2;11(1):21438. doi: 10.1038/s41598-021-00999-9.</t>
  </si>
  <si>
    <t>Kaiser H</t>
  </si>
  <si>
    <t>PMC8564536</t>
  </si>
  <si>
    <t>10.1038/s41598-021-00999-9</t>
  </si>
  <si>
    <t>A role for CXCR3 ligands as biomarkers of post-operative Crohn's disease recurrence</t>
  </si>
  <si>
    <t>Immology / Gastrointestinal</t>
  </si>
  <si>
    <t>CXCL9,MMP1,anti-TNF,CXCL9,CXCL11</t>
  </si>
  <si>
    <t xml:space="preserve">Target 96, inflammation </t>
  </si>
  <si>
    <t xml:space="preserve">CXCR3 ligands increased ability to detect reccurent chrons disease better than CRP following ICR; they were also identified to be from immune cells. </t>
  </si>
  <si>
    <t>Walshe M, Nayeri S, Ji J, Hernandez-Rocha C, Sabic K, Hu L, Giri M, Nayar S, Brant S, McGovern DPB, Rioux JD, Duerr RH, Cho JH, Schumm PL, Lazarev M, Silverberg MS.</t>
  </si>
  <si>
    <t>J Crohns Colitis. 2021 Oct 26:jjab186. doi: 10.1093/ecco-jcc/jjab186. Online ahead of print.</t>
  </si>
  <si>
    <t>Walshe M</t>
  </si>
  <si>
    <t>10.1093/ecco-jcc/jjab186</t>
  </si>
  <si>
    <t>Multiplex Protein Biomarker Profiling in Patients with Familial Hypercholesterolemia</t>
  </si>
  <si>
    <t xml:space="preserve">10 / 18 </t>
  </si>
  <si>
    <t>(TM, DKK1, CCL3, CD4, PDGF subunit B, AGRP, IL18, THPO, and LOX1 decreased; ST2 increased) / (LDLR, PCSK9, MMP-3, GDF2, CTRC, SORT1, VEGFD, IL27, CCL24, and KIM1 decreased; OPN, COL1A1, KLK6, IL4RA, PLC, TNFR1, GLO1, and PTX3 increased)</t>
  </si>
  <si>
    <t>Target 96, Cardiovascular III,II</t>
  </si>
  <si>
    <t>Dlouha D, Blaha M, Rohlova E, Hubacek JA, Lanska V, Visek J, Blaha V.</t>
  </si>
  <si>
    <t>Genes (Basel). 2021 Oct 12;12(10):1599. doi: 10.3390/genes12101599.</t>
  </si>
  <si>
    <t>Dlouha D</t>
  </si>
  <si>
    <t>Genes (Basel)</t>
  </si>
  <si>
    <t>PMC8535274</t>
  </si>
  <si>
    <t>10.3390/genes12101599</t>
  </si>
  <si>
    <t>Early Postnatal Comprehensive Biomarkers Cannot Identify Extremely Preterm Infants at Risk of Developing Necrotizing Enterocolitis</t>
  </si>
  <si>
    <t>GI</t>
  </si>
  <si>
    <t xml:space="preserve">none were significant </t>
  </si>
  <si>
    <t xml:space="preserve">Target 96, cardiovascular I, oncology I, inflammation I </t>
  </si>
  <si>
    <t>Hoffsten A, Markasz L, Lilja HE, Olsson KW, Sindelar R.</t>
  </si>
  <si>
    <t>Front Pediatr. 2021 Oct 22;9:755437. doi: 10.3389/fped.2021.755437. eCollection 2021.</t>
  </si>
  <si>
    <t>Hoffsten A</t>
  </si>
  <si>
    <t>PMC8570110</t>
  </si>
  <si>
    <t>10.3389/fped.2021.755437</t>
  </si>
  <si>
    <t>Peripheral immune cell reactivity and neural response to reward in patients with depression and anhedonia</t>
  </si>
  <si>
    <t xml:space="preserve">TNF, CCL20, IL6, IL12B, MCP3, PC2, PC3 </t>
  </si>
  <si>
    <t xml:space="preserve">Target 96, inflammatory panel </t>
  </si>
  <si>
    <t xml:space="preserve">Paired with MRI and other clinical measures of depression / anhedonia; identified aditional markers and marker classdess that may be involved with these neurological states </t>
  </si>
  <si>
    <t>Costi S, Morris LS, Collins A, Fernandez NF, Patel M, Xie H, Kim-Schulze S, Stern ER, Collins KA, Cathomas F, Parides MK, Whitton AE, Pizzagalli DA, Russo SJ, Murrough JW.</t>
  </si>
  <si>
    <t>Transl Psychiatry. 2021 Nov 5;11(1):565. doi: 10.1038/s41398-021-01668-1.</t>
  </si>
  <si>
    <t>Costi S</t>
  </si>
  <si>
    <t>PMC8571388</t>
  </si>
  <si>
    <t>10.1038/s41398-021-01668-1</t>
  </si>
  <si>
    <t>Elevated CSF inflammatory markers in patients with idiopathic normal pressure hydrocephalus do not promote NKCC1 hyperactivity in rat choroid plexus</t>
  </si>
  <si>
    <t>CCL28, CCL23, CCL3, OPG, CXCL1, IL-18, IL-8, OSM, 4E-BP1, CXCL6, and Flt3L, CDCP1</t>
  </si>
  <si>
    <t xml:space="preserve">Target 96 Inflammatory </t>
  </si>
  <si>
    <t xml:space="preserve">CSF sample type in rats; while some proteins were up and down regulated, they did not promote NKCC1 hyper activity </t>
  </si>
  <si>
    <t>Lolansen SD, Rostgaard N, Andreassen SN, Simonsen AH, Juhler M, Hasselbalch SG, MacAulay N.</t>
  </si>
  <si>
    <t>Fluids Barriers CNS. 2021 Dec 4;18(1):54. doi: 10.1186/s12987-021-00289-6.</t>
  </si>
  <si>
    <t>PMC8645122</t>
  </si>
  <si>
    <t>10.1186/s12987-021-00289-6</t>
  </si>
  <si>
    <t>Whole Genome Sequence Analysis of the Plasma Proteome in Black Adults Provides Novel Insights into Cardiovascular Disease</t>
  </si>
  <si>
    <t xml:space="preserve">9 (although more were identified depending on the state) </t>
  </si>
  <si>
    <t>b-Endorphin, matrix metalloproteinase-3 (MMP-3), Sonic Hedgehog, Zeta chain of T Cell receptor associated protein kinase 70 (ZAP70), Kelch-like ECH-associated protein 1, and matrix metalloproteinase-; Bone morphogenetic protein receptor type-2, Natural killer cell receptor 2B4, K-Ras, Glial cell line-derived neurotrophic factor, Tumor necrosis factor alpha, and Tumor necrosis factor ligand superfamily member 18</t>
  </si>
  <si>
    <t>Olink Explore</t>
  </si>
  <si>
    <t>Conpared to the Somascan platform, as well as whole genome seq</t>
  </si>
  <si>
    <t>Katz DH, Tahir UA, Bick AG, Pampana A, Ngo D, Benson MD, Yu Z, Robbins JM, Chen ZZ, Cruz DE, Deng S, Farrell L, Sinha S, Schmaier AA, Shen D, Gao Y, Hall ME, Correa A, Tracy RP, Durda P, Taylor KD, Liu Y, Johnson WC, Guo X, Yao J, Chen YI, Manichaikul AW, Jain D, Bouchard C, Sarzynski MA, Rich SS, Rotter JI, Wang TJ, Wilson JG, Natarajan P, Gerszten RE; NHLBI Trans-Omics for Precision Medicine (TOPMed) Consortium.</t>
  </si>
  <si>
    <t>Circulation. 2021 Nov 24. doi: 10.1161/CIRCULATIONAHA.121.055117. Online ahead of print.</t>
  </si>
  <si>
    <t>10.1161/CIRCULATIONAHA.121.055117</t>
  </si>
  <si>
    <t>Novel associations between inflammation-related proteins and adiposity: A targeted proteomics approach across four population-based studies</t>
  </si>
  <si>
    <t xml:space="preserve">Immunology / Cardiometabolic </t>
  </si>
  <si>
    <t xml:space="preserve"> DNER, SLAMF1, RANKL, and CSF-1, CCL19, CCL28, FGF-21, HGF, IL-10RB, IL-18, IL-18R1, IL-6, SCF, and VEGF-A</t>
  </si>
  <si>
    <t>Ponce-de-Leon M, Linseisen J, Peters A, Linkohr B, Heier M, Grallert H, Schöttker B, Trares K, Bhardwaj M, Gào X, Brenner H, Kamiński KA, Paniczko M, Kowalska I, Baumeister SE, Meisinger C.</t>
  </si>
  <si>
    <t>Transl Res. 2021 Nov 12:S1931-5244(21)00267-X. doi: 10.1016/j.trsl.2021.11.004. Online ahead of print.</t>
  </si>
  <si>
    <t>Ponce-de-Leon M</t>
  </si>
  <si>
    <t>Transl Res</t>
  </si>
  <si>
    <t>10.1016/j.trsl.2021.11.004</t>
  </si>
  <si>
    <t>The role of circulating galectin-1 in type 2 diabetes and chronic kidney disease: evidence from cross-sectional, longitudinal and Mendelian randomisation analyses</t>
  </si>
  <si>
    <t xml:space="preserve">Cardiometabolic / Renal Disease </t>
  </si>
  <si>
    <t xml:space="preserve"> galectin-1</t>
  </si>
  <si>
    <t xml:space="preserve">Target 96, Immuno-oncology </t>
  </si>
  <si>
    <t xml:space="preserve">could be a target for type 2 diabetics for renal improvement </t>
  </si>
  <si>
    <t>Drake I, Fryk E, Strindberg L, Lundqvist A, Rosengren AH, Groop L, Ahlqvist E, Borén J, Orho-Melander M, Jansson PA.</t>
  </si>
  <si>
    <t>Diabetologia. 2022 Jan;65(1):128-139. doi: 10.1007/s00125-021-05594-1. Epub 2021 Nov 7.</t>
  </si>
  <si>
    <t>Drake I</t>
  </si>
  <si>
    <t>PMC8660752</t>
  </si>
  <si>
    <t>10.1007/s00125-021-05594-1</t>
  </si>
  <si>
    <t>Tissue Proteomic Analysis Identifies Mechanisms and Stages of Immunopathology in Fatal COVID-19</t>
  </si>
  <si>
    <t xml:space="preserve">Infectious Disease / Immunology </t>
  </si>
  <si>
    <t xml:space="preserve">MCP-3, antiviral TRIM21 and pro-thrombotic TYMP,OSM and EN-RAGE/S100A12, CD8A, DDX58, IL-18, MCP-3 and CSF-1 and oghers </t>
  </si>
  <si>
    <t xml:space="preserve">Target 96, immune resposne, organ damage, inflammation, metabolism </t>
  </si>
  <si>
    <t>Russell CD, Valanciute A, Gachanja NN, Stephen J, Penrice-Randal R, Armstrong SD, Clohisey S, Wang B, Al Qsous W, Wallace WA, Oniscu GC, Stevens J, Harrison DJ, Dhaliwal K, Hiscox JA, Baillie JK, Akram AR, Dorward DA, Lucas CD.</t>
  </si>
  <si>
    <t>Am J Respir Cell Mol Biol. 2021 Oct 28. doi: 10.1165/rcmb.2021-0358OC. Online ahead of print.</t>
  </si>
  <si>
    <t>Russell CD</t>
  </si>
  <si>
    <t>10.1165/rcmb.2021-0358OC</t>
  </si>
  <si>
    <t>Temporal changes in soluble angiotensin-converting enzyme 2 associated with metabolic health, body composition, and proteome dynamics during a weight loss diet intervention: a randomized trial with implications for the COVID-19 pandemic</t>
  </si>
  <si>
    <t xml:space="preserve">Cardiometabolic / Infectious Disease </t>
  </si>
  <si>
    <t xml:space="preserve">Target 96, Cardiovascular II,III, inflammation </t>
  </si>
  <si>
    <t xml:space="preserve">was a part of a clinical trial; https://clinicaltrials.gov/ct2/show/NCT01826591;  linked ACE2 to various metabolic states </t>
  </si>
  <si>
    <t>Cauwenberghs N, Prunicki M, Sabovčik F, Perelman D, Contrepois K, Li X, Snyder MP, Nadeau KC, Kuznetsova T, Haddad F, Gardner CD.</t>
  </si>
  <si>
    <t>Am J Clin Nutr. 2021 Nov 8;114(5):1655-1665. doi: 10.1093/ajcn/nqab243.</t>
  </si>
  <si>
    <t>Cauwenberghs N</t>
  </si>
  <si>
    <t>Am J Clin Nutr</t>
  </si>
  <si>
    <t>PMC8574695</t>
  </si>
  <si>
    <t>10.1093/ajcn/nqab243</t>
  </si>
  <si>
    <t>Neurofilaments light: Possible biomarker of brain modifications in bipolar disorder</t>
  </si>
  <si>
    <t>Development of molecular tools for diagnosis of Alzheimer's disease that are based on detection of amyloidogenic proteins</t>
  </si>
  <si>
    <t>Constitutive IFNα Protein Production in Bats</t>
  </si>
  <si>
    <t xml:space="preserve">Infectious disease </t>
  </si>
  <si>
    <t>Fast quantification of extracellular vesicles levels in early breast cancer patients by Single Molecule Detection Array (SiMoA)</t>
  </si>
  <si>
    <t>Oncology / methods</t>
  </si>
  <si>
    <t>Neurofilament Light Chain Is a Promising Biomarker in Alcohol Dependence</t>
  </si>
  <si>
    <t>Neurology / Other (Alcohol dependence)</t>
  </si>
  <si>
    <t>Serum Neurofilament Light Chain as a Marker of Progression in Parkinson's Disease: Long-Term Observation and Implications of Clinical Subtypes</t>
  </si>
  <si>
    <t>Effect of Long-Term Storage on the Reliability of Blood Biomarkers for Alzheimer's Disease and Neurodegeneration</t>
  </si>
  <si>
    <t>Thirty years after anorexia nervosa onset, serum neurofilament light chain protein concentration indicates neuronal injury</t>
  </si>
  <si>
    <t xml:space="preserve">Neurology / Other (Anorexia) </t>
  </si>
  <si>
    <t>A longitudinal and cross-sectional study of plasma neurofilament light chain concentration in Charcot-Marie-Tooth disease</t>
  </si>
  <si>
    <t>Antibodies to neurofilament light as potential biomarkers in multiple sclerosis</t>
  </si>
  <si>
    <t>Neurofilament Light Chain Predicts Disease Severity and Progression in Multiple System Atrophy</t>
  </si>
  <si>
    <t>Correlation between cerebrospinal fluid and plasma neurofilament light protein in treated HIV infection: results from the COBRA study</t>
  </si>
  <si>
    <t>Neurology / Infectious disease</t>
  </si>
  <si>
    <t>Comparison of plasma neurofilament light and total tau as neurodegeneration markers: associations with cognitive and neuroimaging outcomes</t>
  </si>
  <si>
    <t>Quantifying SARS-CoV-2 nucleocapsid antigen in oropharyngeal swabs using single molecule array technology</t>
  </si>
  <si>
    <t>Iron Rims in Patients With Multiple Sclerosis as Neurodegenerative Marker? A 7-Tesla Magnetic Resonance Study</t>
  </si>
  <si>
    <t>Serum Neurofilament Light as a Biomarker of Traumatic Brain Injury in the Presence of Concomitant Peripheral Injury</t>
  </si>
  <si>
    <t>Neural and glial damage markers in women after long-term weight-recovery from anorexia nervosa</t>
  </si>
  <si>
    <t xml:space="preserve">Neurology / Other (anorexia) </t>
  </si>
  <si>
    <t>Challenges with development of a pharmacokinetics assay to measure a variably glycosylated fusion protein</t>
  </si>
  <si>
    <t>Other (Methods for drug development)</t>
  </si>
  <si>
    <t>Serum neurofilament light chain levels as biomarker of paclitaxel-induced cognitive impairment in patients with breast cancer: a prospective study</t>
  </si>
  <si>
    <t xml:space="preserve">Neurology / Oncology </t>
  </si>
  <si>
    <t>JAK inhibitors are effective in a subset of patients with juvenile dermatomyositis: a monocentric retrospective study</t>
  </si>
  <si>
    <t>Detection of Glial Fibrillary Acidic Protein in Patient Plasma Using On-Chip Graphene Field-Effect Biosensors, in Comparison with ELISA and Single-Molecule Array</t>
  </si>
  <si>
    <t>Methods (Assay Dev)</t>
  </si>
  <si>
    <t>Serum neurofilament light chain and glial fibrillary acidic protein in AQP4-IgG-seropositive neuromyelitis optica spectrum disorders and multiple sclerosis: A cohort study</t>
  </si>
  <si>
    <t>Blood neurofilament light concentration at admittance: a potential prognostic marker in COVID-19</t>
  </si>
  <si>
    <t>Neurofilament light: a possible prognostic biomarker for treatment of vascular contributions to cognitive impairment and dementia</t>
  </si>
  <si>
    <t>Plasma and CSF Neurofilament Light Chain in Amyotrophic Lateral Sclerosis: A Cross-Sectional and Longitudinal Study</t>
  </si>
  <si>
    <t>NT1-Tau Is Increased in CSF and Plasma of CJD Patients, and Correlates with Disease Progression</t>
  </si>
  <si>
    <t>Evaluation of Three Commercial and Two Non-Commercial Immunoassays for the Detection of Prior Infection to SARS-CoV-2</t>
  </si>
  <si>
    <t>N/a</t>
  </si>
  <si>
    <t>Sex Differences in Behavioral Symptoms and the Levels of Circulating GFAP, Tau, and NfL in Patients With Traumatic Brain Injury</t>
  </si>
  <si>
    <t>High Level of Inflammatory Cytokines in the Tears: A Bridge of Patients with Concomitant Exotropia and Dry Eye</t>
  </si>
  <si>
    <t xml:space="preserve">Other (ocular health) </t>
  </si>
  <si>
    <t>Lower plasma total tau in adolescent psychosis: Involvement of the orbitofrontal cortex</t>
  </si>
  <si>
    <t xml:space="preserve">Neurology / Other (Schizophrenia / phychosis) </t>
  </si>
  <si>
    <t>Differences Between Plasma and Cerebrospinal Fluid Glial Fibrillary Acidic Protein Levels Across the Alzheimer Disease Continuum</t>
  </si>
  <si>
    <t>Evaluation of Blood Glial Fibrillary Acidic Protein as a Potential Marker in Huntington's Disease</t>
  </si>
  <si>
    <t>Factors influencing serum neurofilament light chain levels in normal aging</t>
  </si>
  <si>
    <t xml:space="preserve">Neurology / aging </t>
  </si>
  <si>
    <t>Neurofilament light chain as novel blood biomarker of disturbed neuroaxonal integrity in patients with ketamine dependence</t>
  </si>
  <si>
    <t xml:space="preserve">Neurology / Other (ketamine addiction) </t>
  </si>
  <si>
    <t>Neurofilament light chain in a phase 2 clinical trial of ibudilast in progressive multiple sclerosis</t>
  </si>
  <si>
    <t>P-tau235: a novel biomarker for staging preclinical Alzheimer's disease</t>
  </si>
  <si>
    <t>Performance of Plasma Amyloid β, Total Tau, and Neurofilament Light Chain in the Identification of Probable Alzheimer's Disease in South China</t>
  </si>
  <si>
    <t>Plasma neurofilament light chain levels are predictors of disease activity in multiple sclerosis as measured by four-domain NEDA status, including brain volume loss</t>
  </si>
  <si>
    <t>Universal extracellular vesicles and PD-L1+ extracellular vesicles detected by single molecule array technology as circulating biomarkers for diffuse large B cell lymphoma</t>
  </si>
  <si>
    <t>Ultrasensitive detection of blood biomarkers of Alzheimer's and Parkinson's diseases: a systematic review</t>
  </si>
  <si>
    <t>Plasma neurofilament L to amyloid β42 ratio in differentiating Alzheimer's type from non-Alzheimer's dementia: A cross-sectional pilot study from India</t>
  </si>
  <si>
    <t>Development of a Plasma Biomarker Diagnostic Model Incorporating Ultrasensitive Digital Immunoassay as a Screening Strategy for Alzheimer Disease in a Chinese Population</t>
  </si>
  <si>
    <t>SARS-CoV-2 mRNA Vaccines in Allogeneic Hematopoietic Stem Cell Transplant Recipients: Immunogenicity and Reactogenicity</t>
  </si>
  <si>
    <t xml:space="preserve">Infectious disease / Immunology (in Stem cell transplant pts) </t>
  </si>
  <si>
    <t>NFL kit</t>
  </si>
  <si>
    <t>The positive association between NfL levels and AD, may reflect a condition of remyelination and axonal regeneration.</t>
  </si>
  <si>
    <t>Aggio V, Fabbella L, Finardi A, Mazza EB, Colombo C, Falini A, Benedetti F, Furlan R.</t>
  </si>
  <si>
    <t>J Affect Disord. 2021 Dec 31;300:243-248. doi: 10.1016/j.jad.2021.12.122. Online ahead of print.</t>
  </si>
  <si>
    <t>Aggio V</t>
  </si>
  <si>
    <t>J Affect Disord</t>
  </si>
  <si>
    <t>AB42, AB40</t>
  </si>
  <si>
    <t xml:space="preserve">AB kit </t>
  </si>
  <si>
    <t>CSF compared to blood assays</t>
  </si>
  <si>
    <t>Kulichikhin KY, Fedotov SA, Rubel MS, Zalutskaya NM, Zobnina AE, Malikova OA, Neznanov NG, Chernoff YO, Rubel AA.</t>
  </si>
  <si>
    <t>Prion. 2021 Dec;15(1):56-69. doi: 10.1080/19336896.2021.1917289.</t>
  </si>
  <si>
    <t>Kulichikhin KY</t>
  </si>
  <si>
    <t>Prion</t>
  </si>
  <si>
    <t>PMC8096329</t>
  </si>
  <si>
    <t>hIFNα2</t>
  </si>
  <si>
    <t>Homebrew, matched to RNA seq and PCR testing for coronavirus</t>
  </si>
  <si>
    <t>Bondet V, Le Baut M, Le Poder S, Lécu A, Petit T, Wedlarski R, Duffy D, Le Roux D.</t>
  </si>
  <si>
    <t>Front Immunol. 2021 Nov 1;12:735866. doi: 10.3389/fimmu.2021.735866. eCollection 2021.</t>
  </si>
  <si>
    <t>Bondet V</t>
  </si>
  <si>
    <t>PMC8591296</t>
  </si>
  <si>
    <t>CD9,CD63</t>
  </si>
  <si>
    <t>Quantification of EVs</t>
  </si>
  <si>
    <t>Morasso C, Ricciardi A, Sproviero D, Truffi M, Albasini S, Piccotti F, Sottotetti F, Mollica L, Cereda C, Sorrentino L, Corsi F.</t>
  </si>
  <si>
    <t>Breast Cancer Res Treat. 2021 Dec 21. doi: 10.1007/s10549-021-06474-3. Online ahead of print.</t>
  </si>
  <si>
    <t>Morasso C</t>
  </si>
  <si>
    <t>Breast Cancer Res Treat</t>
  </si>
  <si>
    <t xml:space="preserve">NLRP3 was also dete3cted but with a different ELISA; NFL is a potential marker for alcholo dependence and a way to assess severity of brain damage resulting from it; NFL also matched to MRI data </t>
  </si>
  <si>
    <t>Li Y, Duan R, Gong Z, Jing L, Zhang T, Zhang Y, Jia Y.</t>
  </si>
  <si>
    <t>Front Psychiatry. 2021 Nov 18;12:754969. doi: 10.3389/fpsyt.2021.754969. eCollection 2021.</t>
  </si>
  <si>
    <t>Li Y</t>
  </si>
  <si>
    <t>Front Psychiatry</t>
  </si>
  <si>
    <t>PMC8637455</t>
  </si>
  <si>
    <t xml:space="preserve">Average intra-assay and inter-assay coefficients of variability were 6.3% and 15.8%; linked to MRI imaging </t>
  </si>
  <si>
    <t>Ygland Rödström E, Mattsson-Carlgren N, Janelidze S, Hansson O, Puschmann A.</t>
  </si>
  <si>
    <t>J Parkinsons Dis. 2021 Nov 17. doi: 10.3233/JPD-212866. Online ahead of print.</t>
  </si>
  <si>
    <t>Ygland Rödström E</t>
  </si>
  <si>
    <t>J Parkinsons Dis</t>
  </si>
  <si>
    <t>NFL, AB40, AB42, TTau</t>
  </si>
  <si>
    <t xml:space="preserve">Markers found to be stable over time in cold storage </t>
  </si>
  <si>
    <t>Schubert CR, Paulsen AJ, Pinto AA, Merten N, Cruickshanks KJ.</t>
  </si>
  <si>
    <t>J Alzheimers Dis. 2021 Dec 11. doi: 10.3233/JAD-215096. Online ahead of print.</t>
  </si>
  <si>
    <t>Schubert CR</t>
  </si>
  <si>
    <t>NFL kit, in house</t>
  </si>
  <si>
    <t>More studies needed, correlative results and NFL was elevated in those thzt hadnt gained nromal weight</t>
  </si>
  <si>
    <t>Wentz E, Dobrescu SR, Dinkler L, Gillberg C, Gillberg C, Blennow K, Råstam M, Zetterberg H.</t>
  </si>
  <si>
    <t>Eur Child Adolesc Psychiatry. 2021 Dec;30(12):1907-1915. doi: 10.1007/s00787-020-01657-7. Epub 2020 Oct 11.</t>
  </si>
  <si>
    <t>Wentz E</t>
  </si>
  <si>
    <t>Eur Child Adolesc Psychiatry</t>
  </si>
  <si>
    <t>PMC8563534</t>
  </si>
  <si>
    <t>Not specified, likely NFL kit</t>
  </si>
  <si>
    <t xml:space="preserve">NFL was not a sufficient marker </t>
  </si>
  <si>
    <t>Rossor AM, Kapoor M, Wellington H, Spaulding E, Sleigh JN, Burgess RW, Laura M, Zetterberg H, Bacha A, Wu X, Heslegrave A, Shy ME, Reilly MM.</t>
  </si>
  <si>
    <t>J Peripher Nerv Syst. 2021 Dec 1. doi: 10.1111/jns.12477. Online ahead of print.</t>
  </si>
  <si>
    <t>Rossor AM</t>
  </si>
  <si>
    <t>10.1111/jns.12477</t>
  </si>
  <si>
    <t xml:space="preserve">NFL was matched to NFL antibodies, which were the ultimate marker </t>
  </si>
  <si>
    <t>Puentes F, Benkert P, Amor S, Kuhle J, Giovannoni G.</t>
  </si>
  <si>
    <t>BMJ Neurol Open. 2021 Nov 11;3(2):e000192. doi: 10.1136/bmjno-2021-000192. eCollection 2021.</t>
  </si>
  <si>
    <t>Puentes F</t>
  </si>
  <si>
    <t>BMJ Neurol Open</t>
  </si>
  <si>
    <t>PMC8587694</t>
  </si>
  <si>
    <t>Plasma NFL is a reliable biomarker for the disease severity of MSA and monitoring the progression of MSA, but not the progression of cognition</t>
  </si>
  <si>
    <t>Zhang L, Cao B, Hou Y, Gu X, Wei Q, Ou R, Zhao B, Luo C, Shang H.</t>
  </si>
  <si>
    <t>Mov Disord. 2021 Oct 31. doi: 10.1002/mds.28847. Online ahead of print.</t>
  </si>
  <si>
    <t>Zhang L</t>
  </si>
  <si>
    <t>HD-1 NFL kit</t>
  </si>
  <si>
    <t>CSF also measured with a different ELISA,plasma NFL fwas measured here; the lower limit of quantification (LLOQ) determined by the  manufacturer is 0.174 pg/mL;The intra- and inter-assay coefficients of variations were below 6% and 15%, respectively. NFL either CSF or serum didnt vary significantly between HIV or HIV negative patients</t>
  </si>
  <si>
    <t>Alagaratnam J, De Francesco D, Zetterberg H, Heslegrave A, Toombs J, Kootstra NA, Underwood J, Gisslen M, Reiss P, Fidler S, Sabin CA, Winston A.</t>
  </si>
  <si>
    <t>J Neurovirol. 2021 Dec 7. doi: 10.1007/s13365-021-01026-3. Online ahead of print.</t>
  </si>
  <si>
    <t>Alagaratnam J</t>
  </si>
  <si>
    <t>J Neurovirol</t>
  </si>
  <si>
    <t>TTau, NFL</t>
  </si>
  <si>
    <t>HD-1 NFL kit and 3 plex kit</t>
  </si>
  <si>
    <t>markers were matched to cognitive measures and imaging modalities, NFL came out to be a better marker</t>
  </si>
  <si>
    <t>Marks JD, Syrjanen JA, Graff-Radford J, Petersen RC, Machulda MM, Campbell MR, Algeciras-Schimnich A, Lowe V, Knopman DS, Jack CR Jr, Vemuri P, Mielke MM; Alzheimer’s Disease Neuroimaging Initiative.</t>
  </si>
  <si>
    <t>Alzheimers Res Ther. 2021 Dec 14;13(1):199. doi: 10.1186/s13195-021-00944-y.</t>
  </si>
  <si>
    <t>Marks JD</t>
  </si>
  <si>
    <t>PMC8672619</t>
  </si>
  <si>
    <t xml:space="preserve">COVID-19 N antigen </t>
  </si>
  <si>
    <t>HD-1 home brew kit and  SARS N antigen kit</t>
  </si>
  <si>
    <t xml:space="preserve">Sino supplied the antibodies for the home brew, compared directly to the Quanterix SARS-COV2 kit; LOD was lower in the home brew (0.02 pg vs 0.15pg) but overall the tests performed pretty much the same (9^% for quanterix, 95% sensitivity for the home brew at 100% specificity) </t>
  </si>
  <si>
    <t>Olsen DA, Brasen CL, Kahns S, Madsen JB, Kierkegaard H, Christensen H, Jensen A, Sydenham TV, Møller JK, Madsen JS, Brandslund I.</t>
  </si>
  <si>
    <t>Sci Rep. 2021 Oct 13;11(1):20323. doi: 10.1038/s41598-021-99807-7.</t>
  </si>
  <si>
    <t>Olsen DA</t>
  </si>
  <si>
    <t>PMC8514595</t>
  </si>
  <si>
    <t>SRSx- NFL kit</t>
  </si>
  <si>
    <t xml:space="preserve">NFL + iron rim lesions were. Analyzed and consdiered indicative of neurodegenerative process, IRL was measured via MRI </t>
  </si>
  <si>
    <t>Dal-Bianco A, Schranzer R, Grabner G, Lanzinger M, Kolbrink S, Pusswald G, Altmann P, Ponleitner M, Weber M, Kornek B, Zebenholzer K, Schmied C, Berger T, Lassmann H, Trattnig S, Hametner S, Leutmezer F, Rommer P.</t>
  </si>
  <si>
    <t>Front Neurol. 2021 Dec 21;12:632749. doi: 10.3389/fneur.2021.632749. eCollection 2021.</t>
  </si>
  <si>
    <t>Dal-Bianco A</t>
  </si>
  <si>
    <t>PMC8724313</t>
  </si>
  <si>
    <t>HD-X NFL kit</t>
  </si>
  <si>
    <t xml:space="preserve"> 106 μl. All samples measured above the lower limit of quantification for NfL (0.174 pg/ml). NFL was a good marker even in th epresence of other injuries </t>
  </si>
  <si>
    <t>Wong KR, O'Brien WT, Sun M, Yamakawa G, O'Brien TJ, Mychasiuk R, Shultz SR, McDonald SJ, Brady RD.</t>
  </si>
  <si>
    <t>Biomark Insights. 2021 Oct 26;16:11772719211053449. doi: 10.1177/11772719211053449. eCollection 2021.</t>
  </si>
  <si>
    <t>Wong KR</t>
  </si>
  <si>
    <t>Biomark Insights</t>
  </si>
  <si>
    <t>PMC8554541</t>
  </si>
  <si>
    <t>NFT, Tau, GFAP</t>
  </si>
  <si>
    <t>Normalized levels after recovery</t>
  </si>
  <si>
    <t>Doose A, Hellerhoff I, Tam FI, King JA, Seidel M, Geisler D, Plähn HCI, Roessner V, Akgün K, Ziemssen T, Ehrlich S.</t>
  </si>
  <si>
    <t>Psychoneuroendocrinology. 2022 Jan;135:105576. doi: 10.1016/j.psyneuen.2021.105576. Epub 2021 Oct 28.</t>
  </si>
  <si>
    <t>Doose A</t>
  </si>
  <si>
    <t>Psychoneuroendocrinology</t>
  </si>
  <si>
    <t>10.1016/j.psyneuen.2021.105576</t>
  </si>
  <si>
    <t>Glycosylated protein</t>
  </si>
  <si>
    <t>HD-1</t>
  </si>
  <si>
    <t xml:space="preserve">HD-1 and immune capture LC-MS paltforms were found able to meet the assay requiermetns to detect a glycosylated protein, however, the MS platform was pursued dut to its robustness and ease of methods transfer </t>
  </si>
  <si>
    <t>Sperinde G, Liu L, Xu K, Bentley T, Sukumaran S, Lutman J, Huang C, Williams K, Hokom M, Fischer SK.</t>
  </si>
  <si>
    <t>Bioanalysis. 2022 Jan;14(1):7-18. doi: 10.4155/bio-2021-0186. Epub 2021 Nov 18.</t>
  </si>
  <si>
    <t>Sperinde G</t>
  </si>
  <si>
    <t xml:space="preserve">NFL was not a good marker for cognitive impairment in patients undegoing chemotherapy </t>
  </si>
  <si>
    <t>Argyriou AA, Karteri S, Bruna J, Mariotto S, Simo M, Velissaris D, Kalofonou F, Cavaletti G, Ferrari S, Kalofonos HP.</t>
  </si>
  <si>
    <t>Support Care Cancer. 2022 Feb;30(2):1807-1814. doi: 10.1007/s00520-021-06509-x. Epub 2021 Oct 2.</t>
  </si>
  <si>
    <t>Argyriou AA</t>
  </si>
  <si>
    <t>Support Care Cancer</t>
  </si>
  <si>
    <t>10.1007/s00520-021-06509-x</t>
  </si>
  <si>
    <t>IFN-a</t>
  </si>
  <si>
    <t>Le Voyer T, Gitiaux C, Authier FJ, Bodemer C, Melki I, Quartier P, Aeschlimann F, Isapof A, Herbeuval JP, Bondet V, Charuel JL, Frémond ML, Duffy D, Rodero MP, Bader-Meunier B.</t>
  </si>
  <si>
    <t>Rheumatology (Oxford). 2021 Dec 1;60(12):5801-5808. doi: 10.1093/rheumatology/keab116.</t>
  </si>
  <si>
    <t>Le Voyer T</t>
  </si>
  <si>
    <t xml:space="preserve">GFET was found to have a similar LOD as Simoa and a TAT of 15min, could be a good POC tool for brain injuries </t>
  </si>
  <si>
    <t>Xu L, Ramadan S, Akingbade OE, Zhang Y, Alodan S, Graham N, Zimmerman KA, Torres E, Heslegrave A, Petrov PK, Zetterberg H, Sharp DJ, Klein N, Li B.</t>
  </si>
  <si>
    <t>ACS Sens. 2021 Dec 15. doi: 10.1021/acssensors.1c02232. Online ahead of print.</t>
  </si>
  <si>
    <t>Xu L</t>
  </si>
  <si>
    <t>ACS Sens</t>
  </si>
  <si>
    <t>Liu C, Lu Y, Wang J, Chang Y, Wang Y, Chen C, Liu Z, Kermode AG, Zhang Y, Qiu W.</t>
  </si>
  <si>
    <t>J Neurochem. 2021 Dec;159(5):913-922. doi: 10.1111/jnc.15478. Epub 2021 Jul 28.</t>
  </si>
  <si>
    <t>Liu C</t>
  </si>
  <si>
    <t>10.1111/jnc.15478</t>
  </si>
  <si>
    <t>Aamodt AH, Høgestøl EA, Popperud TH, Holter JC, Dyrhol-Riise AM, Tonby K, Stiksrud B, Quist-Paulsen E, Berge T, Barratt-Due A, Aukrust P, Heggelund L, Blennow K, Zetterberg H, Harbo HF.</t>
  </si>
  <si>
    <t>J Neurol. 2021 Oct;268(10):3574-3583. doi: 10.1007/s00415-021-10517-6. Epub 2021 Mar 20.</t>
  </si>
  <si>
    <t>Aamodt AH</t>
  </si>
  <si>
    <t>PMC7980743</t>
  </si>
  <si>
    <t xml:space="preserve">broad Luminex cytokine panel was also measured ; showed thst NFL is a good prognostic biomaker and might be good for tx selection and response m,onitoring; nNFL was negatively associated with cognitive funciton and brain cytokines </t>
  </si>
  <si>
    <t>Hoyer-Kimura C, Konhilas JP, Mansour HM, Polt R, Doyle KP, Billheimer D, Hay M.</t>
  </si>
  <si>
    <t>J Neuroinflammation. 2021 Oct 15;18(1):236. doi: 10.1186/s12974-021-02281-1.</t>
  </si>
  <si>
    <t>Hoyer-Kimura C</t>
  </si>
  <si>
    <t>PMC8520282</t>
  </si>
  <si>
    <t>SR-X NFL kit</t>
  </si>
  <si>
    <t xml:space="preserve">plasma and CSF NFL levels measured ;NFL showed good diagnsotic  and prognostic potential for ALS, CSF performed slightly better, </t>
  </si>
  <si>
    <t>Vacchiano V, Mastrangelo A, Zenesini C, Masullo M, Quadalti C, Avoni P, Polischi B, Cherici A, Capellari S, Salvi F, Liguori R, Parchi P.</t>
  </si>
  <si>
    <t>Front Aging Neurosci. 2021 Oct 22;13:753242. doi: 10.3389/fnagi.2021.753242. eCollection 2021.</t>
  </si>
  <si>
    <t>Vacchiano V</t>
  </si>
  <si>
    <t>PMC8569186</t>
  </si>
  <si>
    <t>10.3389/fnagi.2021.753242</t>
  </si>
  <si>
    <t>NFL, Tau, NT1-Tau</t>
  </si>
  <si>
    <t>Homebrew NTL-tau, homebrew tau, Quanterix NFL</t>
  </si>
  <si>
    <t xml:space="preserve">NT1-Tau might be a good Dx and prognostic for CJD, able to distinguish AD from CJD; may be good for progression and TX resposne </t>
  </si>
  <si>
    <t>Mengel D, Mok TH, Nihat A, Liu W, Rissman RA, Galasko D, Zetterberg H, Mead S, Collinge J, Walsh DM.</t>
  </si>
  <si>
    <t>Cells. 2021 Dec 13;10(12):3514. doi: 10.3390/cells10123514.</t>
  </si>
  <si>
    <t>PMC8700417</t>
  </si>
  <si>
    <t>SARVS COZV2 IgG, IgM</t>
  </si>
  <si>
    <t>SARS COV2 Assays</t>
  </si>
  <si>
    <t xml:space="preserve">Simoa wsa found to be the highest in sensitivity, but lowest (although close) in specificity </t>
  </si>
  <si>
    <t>Nilles EJ, Karlson EW, Norman M, Gilboa T, Fischinger S, Atyeo C, Zhou G, Bennett CL, Tolan NV, Oganezova K, Walt DR, Alter G, Simmons DP, Schur P, Jarolim P, Woolley AE, Baden LR.</t>
  </si>
  <si>
    <t>J Appl Lab Med. 2021 Nov 1;6(6):1561-1570. doi: 10.1093/jalm/jfab072.</t>
  </si>
  <si>
    <t>Nilles EJ</t>
  </si>
  <si>
    <t>PMC8420636</t>
  </si>
  <si>
    <t>10.1093/jalm/jfab072</t>
  </si>
  <si>
    <t xml:space="preserve">NFL, tTau, GFAP, UCH-L1 </t>
  </si>
  <si>
    <t xml:space="preserve">HD-X, 4 plex neurology panel </t>
  </si>
  <si>
    <t xml:space="preserve">Various associations across biomakers; biomarker data was linekd back to various cognative measurements but overall study suggested more research is warrented and that there are sex specific differences in TBI outcomes </t>
  </si>
  <si>
    <t>Sass D, Guedes VA, Smith EG, Vorn R, Devoto C, Edwards KA, Mithani S, Hentig J, Lai C, Wagner C, Dunbar K, Hyde DR, Saligan L, Roy MJ, Gill J.</t>
  </si>
  <si>
    <t>Front Pharmacol. 2021 Nov 26;12:746491. doi: 10.3389/fphar.2021.746491. eCollection 2021.</t>
  </si>
  <si>
    <t>Sass D</t>
  </si>
  <si>
    <t>PMC8662747</t>
  </si>
  <si>
    <t xml:space="preserve"> IL-6, IL-10, IL-17A, IL-12P70, INF-γ, and TNF-α</t>
  </si>
  <si>
    <t xml:space="preserve">HD-X Cytokine 6 plex </t>
  </si>
  <si>
    <t xml:space="preserve">IL-6 and TNF-a were significantly associated, but others were elevated </t>
  </si>
  <si>
    <t>Gao F, Hong X, Ding F, Huang S, Lian W, Wang H, Zheng W, Ni J, Chen M, Liu Q.</t>
  </si>
  <si>
    <t>Oxid Med Cell Longev. 2021 Oct 7;2021:5662550. doi: 10.1155/2021/5662550. eCollection 2021.</t>
  </si>
  <si>
    <t>Gao F</t>
  </si>
  <si>
    <t>Oxid Med Cell Longev</t>
  </si>
  <si>
    <t>PMC8516558</t>
  </si>
  <si>
    <t>tTAau</t>
  </si>
  <si>
    <t>not specified</t>
  </si>
  <si>
    <t xml:space="preserve">Lower Tau levels in phychotic patients, but more researhc is needed </t>
  </si>
  <si>
    <t>Andreou D, Jørgensen KN, Nerland S, Smelror RE, Wedervang-Resell K, Johannessen CH, Myhre AM, Andreassen OA, Blennow K, Zetterberg H, Agartz I.</t>
  </si>
  <si>
    <t>J Psychiatr Res. 2021 Dec;144:255-261. doi: 10.1016/j.jpsychires.2021.10.031. Epub 2021 Oct 20.</t>
  </si>
  <si>
    <t>Andreou D</t>
  </si>
  <si>
    <t>J Psychiatr Res</t>
  </si>
  <si>
    <t xml:space="preserve">HDX GFAP kits </t>
  </si>
  <si>
    <t xml:space="preserve">CSF and plasma, plasma GFAP was better </t>
  </si>
  <si>
    <t>Benedet AL, Milà-Alomà M, Vrillon A, Ashton NJ, Pascoal TA, Lussier F, Karikari TK, Hourregue C, Cognat E, Dumurgier J, Stevenson J, Rahmouni N, Pallen V, Poltronetti NM, Salvadó G, Shekari M, Operto G, Gispert JD, Minguillon C, Fauria K, Kollmorgen G, Suridjan I, Zimmer ER, Zetterberg H, Molinuevo JL, Paquet C, Rosa-Neto P, Blennow K, Suárez-Calvet M; Translational Biomarkers in Aging and Dementia (TRIAD) study, Alzheimer’s and Families (ALFA) study, and BioCogBank Paris Lariboisière cohort.</t>
  </si>
  <si>
    <t>JAMA Neurol. 2021 Dec 1;78(12):1471-1483. doi: 10.1001/jamaneurol.2021.3671.</t>
  </si>
  <si>
    <t>PMC8524356</t>
  </si>
  <si>
    <t>HD-X, NFL + GFAP kits</t>
  </si>
  <si>
    <t xml:space="preserve">GFAP and NFL correlated, but GFAP was the marker of interest and may be a good marker for HD progression </t>
  </si>
  <si>
    <t>You H, Wu T, Du G, Huang Y, Zeng Y, Lin L, Chen D, Wu C, Li X, Burgunder JM, Pei Z.</t>
  </si>
  <si>
    <t>Front Neurol. 2021 Nov 19;12:779890. doi: 10.3389/fneur.2021.779890. eCollection 2021.</t>
  </si>
  <si>
    <t>You H</t>
  </si>
  <si>
    <t>PMC8639701</t>
  </si>
  <si>
    <t>NFL homebrew</t>
  </si>
  <si>
    <t>BMI and age impacted NFL levels</t>
  </si>
  <si>
    <t>Koini M, Pirpamer L, Hofer E, Buchmann A, Pinter D, Ropele S, Enzinger C, Benkert P, Leppert D, Kuhle J, Schmidt R, Khalil M.</t>
  </si>
  <si>
    <t>Aging (Albany NY). 2021 Dec 18;13(24):25729-25738. doi: 10.18632/aging.203790. Epub 2021 Dec 18.</t>
  </si>
  <si>
    <t>Koini M</t>
  </si>
  <si>
    <t>Aging (Albany NY)</t>
  </si>
  <si>
    <t>PMC8751593</t>
  </si>
  <si>
    <t xml:space="preserve">The pronounced increase of NFL levels in the MDD subgroup warrants further investigation of a potential neuroaxonal vulnerability of depressed patients to ketamine.
The pronounced increase of NFL levels in the MDD subgroup warrants further investigation of a potential neuroaxonal vulnerability of depressed patients to ketamine.
The pronounced increase of NFL levels in the MDD subgroup warrants further investigation of a potential neuroaxonal vulnerability of depressed patients to ketamine.
The pronounced increase of NFL levels in the MDD subgroup warrants further investigation of a potential neuroaxonal vulnerability of depressed patients to ketamine.
The pronounced increase of NFL levels in the MDD subgroup warrants further investigation of a potential neuroaxonal vulnerability of depressed patients to ketamine.
</t>
  </si>
  <si>
    <t>Liu YL, Bavato F, Chung AN, Liu TH, Chen YL, Huang MC, Quednow BB.</t>
  </si>
  <si>
    <t>World J Biol Psychiatry. 2021 Nov;22(9):713-721. doi: 10.1080/15622975.2021.1907709. Epub 2021 Apr 27.</t>
  </si>
  <si>
    <t>Liu YL</t>
  </si>
  <si>
    <t>World J Biol Psychiatry</t>
  </si>
  <si>
    <t xml:space="preserve">Measured in CSF, drug didn’t impact NFL levels </t>
  </si>
  <si>
    <t>Fox RJ, Raska P, Barro C, Karafa M, Konig V, Bermel RA, Chase M, Coffey CS, Goodman AD, Klawiter EC, Naismith RT, Kuhle J.</t>
  </si>
  <si>
    <t>Mult Scler. 2021 Nov;27(13):2014-2022. doi: 10.1177/1352458520986956. Epub 2021 Feb 26.</t>
  </si>
  <si>
    <t>Fox RJ</t>
  </si>
  <si>
    <t>PMC8387506</t>
  </si>
  <si>
    <t>NIHMS1656519</t>
  </si>
  <si>
    <t>pTau-181, NFL, tTau</t>
  </si>
  <si>
    <t xml:space="preserve">pTau-181 was the best marker,  and had direct association with cognitive diagnosis </t>
  </si>
  <si>
    <t>Alzheimers Dement. 2021 Dec 2. doi: 10.1002/alz.12508. Online ahead of print.</t>
  </si>
  <si>
    <t>pTau-235</t>
  </si>
  <si>
    <t>In-house HDX pTau-235</t>
  </si>
  <si>
    <t xml:space="preserve">all done in CSF; mass spec was used for other protein analysis, as well as imaging modalities; inhouse assay was compared to other Tau assays (pTau-231,217) potentially useful marker </t>
  </si>
  <si>
    <t>Lantero-Rodriguez J, Snellman A, Benedet AL, Milà-Alomà M, Camporesi E, Montoliu-Gaya L, Ashton NJ, Vrillon A, Karikari TK, Gispert JD, Salvadó G, Shekari M, Toomey CE, Lashley TL, Zetterberg H, Suárez-Calvet M, Brinkmalm G, Rosa Neto P, Blennow K.</t>
  </si>
  <si>
    <t>EMBO Mol Med. 2021 Dec 7;13(12):e15098. doi: 10.15252/emmm.202115098. Epub 2021 Nov 2.</t>
  </si>
  <si>
    <t>EMBO Mol Med</t>
  </si>
  <si>
    <t>PMC8649868</t>
  </si>
  <si>
    <t>tTau, NFL, AB42, AB40</t>
  </si>
  <si>
    <t>Neuro 3 plex, NFL on HD-1</t>
  </si>
  <si>
    <t xml:space="preserve">Quanterix used for blood, ELISA used for CSF; tTau and NFL came out as potential biomarkers for AD and worked best when combined together and with clinical factors, Dx but only plasma Ttau was correlated with CSF-tTau </t>
  </si>
  <si>
    <t>Jiao B, Liu H, Guo L, Liao X, Zhou Y, Weng L, Xiao X, Zhou L, Wang X, Jiang Y, Yang Q, Zhu Y, Zhou L, Zhang W, Wang J, Yan X, Tang B, Shen L.</t>
  </si>
  <si>
    <t>Front Aging Neurosci. 2021 Oct 27;13:749649. doi: 10.3389/fnagi.2021.749649. eCollection 2021.</t>
  </si>
  <si>
    <t>Jiao B</t>
  </si>
  <si>
    <t>PMC8579066</t>
  </si>
  <si>
    <t>Szilasiová J, Mikula P, Rosenberger J, Fedičová M, Gdovinová Z, Urban P, Frigová L.</t>
  </si>
  <si>
    <t>Mult Scler. 2021 Nov;27(13):2023-2030. doi: 10.1177/1352458521998039. Epub 2021 Feb 26.</t>
  </si>
  <si>
    <t>Szilasiová J</t>
  </si>
  <si>
    <t>10.1177/1352458521998039</t>
  </si>
  <si>
    <t>PD-L1, CD-9</t>
  </si>
  <si>
    <t>matched to PD-L1 IHC on tumor samples; overall found that plasma EV and PD-L1 EVS may be able to predict survival in DLBCL</t>
  </si>
  <si>
    <t>Li JW, Shi D, Wan XC, Hu J, Su YF, Zeng YP, Hu ZJ, Yu BH, Zhang QL, Wei P, Zhou XY.</t>
  </si>
  <si>
    <t>Oncoimmunology. 2021 Oct 29;10(1):1995166. doi: 10.1080/2162402X.2021.1995166. eCollection 2021.</t>
  </si>
  <si>
    <t>Li JW</t>
  </si>
  <si>
    <t>Oncoimmunology</t>
  </si>
  <si>
    <t>PMC8565827</t>
  </si>
  <si>
    <t>10.1080/2162402X.2021.1995166</t>
  </si>
  <si>
    <t xml:space="preserve">Better markers for alzheimers but also could be markers for parkinsons as well </t>
  </si>
  <si>
    <t>Singh K, Cheung BM, Xu A.</t>
  </si>
  <si>
    <t>Biomark Med. 2021 Dec;15(17):1693-1708. doi: 10.2217/bmm-2021-0219. Epub 2021 Nov 8.</t>
  </si>
  <si>
    <t>Singh K</t>
  </si>
  <si>
    <t>Biomark Med</t>
  </si>
  <si>
    <t xml:space="preserve">Combination of markers may be a good screening tool for clinical trial enrollment </t>
  </si>
  <si>
    <t>Subramanian S, Krishna G, Sivakumar PT, Dahale AB, Kumar J S, Sinha P, Varghese M.</t>
  </si>
  <si>
    <t>Asian J Psychiatr. 2021 Dec;66:102914. doi: 10.1016/j.ajp.2021.102914. Epub 2021 Oct 29.</t>
  </si>
  <si>
    <t>Subramanian S</t>
  </si>
  <si>
    <t>Asian J Psychiatr</t>
  </si>
  <si>
    <t>10.1016/j.ajp.2021.102914</t>
  </si>
  <si>
    <t>ptau-181,AB42 (AB40,NFL,tTau)`</t>
  </si>
  <si>
    <t>Combination of all 5 markers worke the best (AB40/42 ratio was also measured) as a way to diagnose AD</t>
  </si>
  <si>
    <t>Wu X, Xiao Z, Yi J, Ding S, Gu H, Wu W, Luo J, Liang X, Zheng L, Xu H, Zhao Q, Ding D.</t>
  </si>
  <si>
    <t>Clin Chem. 2021 Nov 26;67(12):1628-1639. doi: 10.1093/clinchem/hvab192.</t>
  </si>
  <si>
    <t>Wu X</t>
  </si>
  <si>
    <t>SARS Cov N and S proteins</t>
  </si>
  <si>
    <t xml:space="preserve">Simoa Kit </t>
  </si>
  <si>
    <t>Clin Infect Dis. 2021 Nov 2:ciab930. doi: 10.1093/cid/ciab930. Online ahead of print.</t>
  </si>
  <si>
    <t>Q3 '21</t>
  </si>
  <si>
    <t>Plasma Protein Profiling by Proximity Extension Assay Technology Reveals Novel Biomarkers of Traumatic Brain Injury-A Pilot Study</t>
  </si>
  <si>
    <t>Multi-proteomic approach to predict specific cardiovascular events in patients with diabetes and myocardial infarction: findings from the EXAMINE trial</t>
  </si>
  <si>
    <t>Statistical and machine learning methods for analysis of multiplex protein data from a novel proximity extension assay in patients with ST-elevation myocardial infarction</t>
  </si>
  <si>
    <t>Novel severe traumatic brain injury blood outcome biomarkers identified with proximity extension assay</t>
  </si>
  <si>
    <t>Hyperglycaemia-associated Caspase-3 predicts diabetes and coronary artery disease events</t>
  </si>
  <si>
    <t>Patterns of Immune Activation in HIV and Non HIV Subjects and Its Relation to Cardiovascular Disease Risk</t>
  </si>
  <si>
    <t>Proteomic profiling identifies CLEC4C expression as a novel biomarker of primary graft dysfunction after heart transplantation</t>
  </si>
  <si>
    <t>Associations of circulating mediators of inflammation, cell regulation and immune response with esophageal squamous cell carcinoma</t>
  </si>
  <si>
    <t>SARS-CoV-2 viremia is associated with distinct proteomic pathways and predicts COVID-19 outcomes</t>
  </si>
  <si>
    <t>Neuroinflammation and Alzheimer's Disease: A Machine Learning Approach to CSF Proteomics</t>
  </si>
  <si>
    <t>Identification of sex-specific biomarkers predicting new-onset heart failure</t>
  </si>
  <si>
    <t>Antimicrobial protein REG3A and signaling networks are predictive of stroke outcomes</t>
  </si>
  <si>
    <t>Circulating immune- and inflammation-related biomarkers and early-stage noncardia gastric cancer risk</t>
  </si>
  <si>
    <t>Proteomic profiling for detection of early-stage heart failure in the community</t>
  </si>
  <si>
    <t>Storm of Cardiovascular Markers After LPS Administration in Human Volunteers</t>
  </si>
  <si>
    <t>Biomarker profiles in obesity patients and their relation to cardiac dysfunction</t>
  </si>
  <si>
    <t>Distinct plasma biomarkers confirm the diagnosis of mastocytosis and identify increased risk of anaphylaxis</t>
  </si>
  <si>
    <t>Electrical impedance spectroscopy for the characterization of skin barrier in atopic dermatitis</t>
  </si>
  <si>
    <t>Large-scale serum analysis identifies unique systemic biomarkers in psoriasis and hidradenitis suppurativa</t>
  </si>
  <si>
    <t>Cardiovascular Proteomics: A Post Hoc Analysis from a Phase II Randomized Clinical Trial Comparing GnRH Antagonist vs GnRH Agonist among Men with Advanced Prostate Cancer</t>
  </si>
  <si>
    <t>Predicting outcome in acute myocardial infarction: an analysis investigating 175 circulating biomarkers</t>
  </si>
  <si>
    <t>Proteomic profiling of low muscle and high fat mass: a machine learning approach in the KORA S4/FF4 study</t>
  </si>
  <si>
    <t>Sleep duration is associated with protein biomarkers for cardiometabolic health: A large-scale population study</t>
  </si>
  <si>
    <t>Screening of biomarkers for prediction of multisite artery disease in patients with recent myocardial infarction</t>
  </si>
  <si>
    <t>Non-invasive Embryo Assessment: Altered Individual Protein Profile in Spent Culture Media from Embryos Transferred at Day 5</t>
  </si>
  <si>
    <t>Vitreous proteomics, a gateway to improved understanding and stratification of diverse uveitis aetiologies</t>
  </si>
  <si>
    <t>Distinct immune signatures discriminate between asymptomatic and presymptomatic SARS-CoV-2(pos) subjects</t>
  </si>
  <si>
    <t>Virological and immunological features of SARS-COV-2 infected children with distinct symptomatology</t>
  </si>
  <si>
    <t>Long-term effect of hematopoietic cell transplantation on systemic inflammation in patients with mucopolysaccharidoses</t>
  </si>
  <si>
    <t>Multiplex protein screening of biomarkers associated with major bleeding in patients with atrial fibrillation treated with oral anticoagulation</t>
  </si>
  <si>
    <t>Using multimarker screening to identify biomarkers associated with cardiovascular death in patients with atrial fibrillation</t>
  </si>
  <si>
    <t>Strong Associations Between Early Tubular Damage and Urinary Cytokine, Chemokine, and Growth Factor Levels in Elderly Males and Females</t>
  </si>
  <si>
    <t>In Uveal Melanoma, Angiopoietin-2 but Not Angiopoietin-1 Is Increased in High-Risk Tumors, Providing a Potential Druggable Target</t>
  </si>
  <si>
    <t>The inflammatory proteome of hidradenitis suppurativa skin is more expansive than that of psoriasis vulgaris</t>
  </si>
  <si>
    <t>Urinary cytokines correlate with acute kidney injury in critically ill COVID-19 patients</t>
  </si>
  <si>
    <t>Proteomics to improve phenotyping in obese patients with heart failure with preserved ejection fraction</t>
  </si>
  <si>
    <t>An integrated scalp and blood biomarker approach suggests the systemic nature of alopecia areata</t>
  </si>
  <si>
    <t>Differences in biomarker concentrations and predictions of long-term outcome in patients with ST-elevation and non-ST-elevation myocardial infarction</t>
  </si>
  <si>
    <t>Proteins linked to atherosclerosis and cell proliferation are associated with the shrunken pore syndrome in heart failure patients: Shrunken pore syndrome and proteomic associations</t>
  </si>
  <si>
    <t>Association between Cardiorespiratory Fitness and Circulating Proteins in 50-Year-Old Swedish Men and Women: a Cross-Sectional Study</t>
  </si>
  <si>
    <t>Association between cardiovascular disease- and inflammation-related serum biomarkers and poor lung function in elderly</t>
  </si>
  <si>
    <t>Periodontitis is associated to increased systemic inflammation in postmyocardial infarction patients</t>
  </si>
  <si>
    <t>Hepatocyte growth factor, colony-stimulating factor 1, CD40, and 11 other inflammation-related proteins are associated with pain in diabetic neuropathy: exploration and replication serum data from the Pain in Neuropathy Study</t>
  </si>
  <si>
    <t>Plasma ADAMTS13 and von Willebrand factor in diagnosis and prediction of prognosis in pulmonary arterial hypertension</t>
  </si>
  <si>
    <t>Chen M, Ren AH, Prassas I, Soosaipillai A, Lim B, Fraser DD, Diamandis EP.</t>
  </si>
  <si>
    <t>J Appl Lab Med. 2021 Sep 1;6(5):1165-1178. doi: 10.1093/jalm/jfab004.</t>
  </si>
  <si>
    <t>Chen M</t>
  </si>
  <si>
    <t>10.1093/jalm/jfab004</t>
  </si>
  <si>
    <t>Ferreira JP, Sharma A, Mehta C, Bakris G, Rossignol P, White WB, Zannad F.</t>
  </si>
  <si>
    <t>Clin Res Cardiol. 2021 Jul;110(7):1006-1019. doi: 10.1007/s00392-020-01729-3. Epub 2020 Aug 13.</t>
  </si>
  <si>
    <t>Clin Res Cardiol</t>
  </si>
  <si>
    <t>10.1007/s00392-020-01729-3</t>
  </si>
  <si>
    <t>Maag E, Kulasingam A, Grove EL, Pedersen KS, Kristensen SD, Hvas AM.</t>
  </si>
  <si>
    <t>Sci Rep. 2021 Jul 2;11(1):13787. doi: 10.1038/s41598-021-93162-3.</t>
  </si>
  <si>
    <t>Maag E</t>
  </si>
  <si>
    <t>PMC8253786</t>
  </si>
  <si>
    <t>10.1038/s41598-021-93162-3</t>
  </si>
  <si>
    <t>Fraser DD, Chen M, Ren A, Miller MR, Martin C, Daley M, Diamandis EP, Prassas I.</t>
  </si>
  <si>
    <t>Clin Chem Lab Med. 2021 Jun 21;59(10):1662-1669. doi: 10.1515/cclm-2021-0103. Print 2021 Sep 27.</t>
  </si>
  <si>
    <t>Fraser DD</t>
  </si>
  <si>
    <t>10.1515/cclm-2021-0103</t>
  </si>
  <si>
    <t>Sun J, Singh P, Österlund J, Orho-Melander M, Melander O, Engström G, Edsfeldt A.</t>
  </si>
  <si>
    <t>J Intern Med. 2021 Oct;290(4):855-865. doi: 10.1111/joim.13327. Epub 2021 Jul 26.</t>
  </si>
  <si>
    <t>Sun J</t>
  </si>
  <si>
    <t>10.1111/joim.13327</t>
  </si>
  <si>
    <t>Vos AG, Dodd CN, Delemarre EM, Nierkens S, Serenata C, Grobbee DE, Klipstein-Grobusch K, Venter WDF.</t>
  </si>
  <si>
    <t>Front Immunol. 2021 Jul 5;12:647805. doi: 10.3389/fimmu.2021.647805. eCollection 2021.</t>
  </si>
  <si>
    <t>Vos AG</t>
  </si>
  <si>
    <t>PMC8287326</t>
  </si>
  <si>
    <t>10.3389/fimmu.2021.647805</t>
  </si>
  <si>
    <t>Truby LK, Kwee LC, Agarwal R, Grass E, DeVore AD, Patel CB, Chen D, Schroder JN, Bowles D, Milano CA, Shah SH, Holley CL.</t>
  </si>
  <si>
    <t>J Heart Lung Transplant. 2021 Dec;40(12):1589-1598. doi: 10.1016/j.healun.2021.07.024. Epub 2021 Aug 11.</t>
  </si>
  <si>
    <t>Truby LK</t>
  </si>
  <si>
    <t>J Heart Lung Transplant</t>
  </si>
  <si>
    <t>10.1016/j.healun.2021.07.024</t>
  </si>
  <si>
    <t>Camargo MC, Song M, Ito H, Oze I, Koyanagi YN, Kasugai Y, Rabkin CS, Matsuo K.</t>
  </si>
  <si>
    <t>J Cancer Res Clin Oncol. 2021 Oct;147(10):2885-2892. doi: 10.1007/s00432-021-03687-3. Epub 2021 Jun 14.</t>
  </si>
  <si>
    <t>Camargo MC</t>
  </si>
  <si>
    <t>J Cancer Res Clin Oncol</t>
  </si>
  <si>
    <t>10.1007/s00432-021-03687-3</t>
  </si>
  <si>
    <t>Li Y, Schneider AM, Mehta A, Sade-Feldman M, Kays KR, Gentili M, Charland NC, Gonye AL, Gushterova I, Khanna HK, LaSalle TJ, Lavin-Parsons KM, Lilley BM, Lodenstein CL, Manakongtreecheep K, Margolin JD, McKaig BN, Parry BA, Rojas-Lopez M, Russo BC, Sharma N, Tantivit J, Thomas MF, Regan J, Flynn JP, Villani AC, Hacohen N, Goldberg MB, Filbin MR, Li JZ.</t>
  </si>
  <si>
    <t>J Clin Invest. 2021 Jul 1;131(13):e148635. doi: 10.1172/JCI148635.</t>
  </si>
  <si>
    <t>J Clin Invest</t>
  </si>
  <si>
    <t>PMC8245177</t>
  </si>
  <si>
    <t>10.1172/JCI148635</t>
  </si>
  <si>
    <t>Gaetani L, Bellomo G, Parnetti L, Blennow K, Zetterberg H, Di Filippo M.</t>
  </si>
  <si>
    <t>Cells. 2021 Jul 29;10(8):1930. doi: 10.3390/cells10081930.</t>
  </si>
  <si>
    <t>Gaetani L</t>
  </si>
  <si>
    <t>PMC8391540</t>
  </si>
  <si>
    <t>10.3390/cells10081930</t>
  </si>
  <si>
    <t>Raafs A, Verdonschot J, Ferreira JP, Wang P, Collier T, Henkens M, Björkman J, Boccanelli A, Clark AL, Delles C, Diez J, González A, Girerd N, Jukema JW, Pinet F, Rossignol P, Thum T, Vodovar N, de Boer RA, van Empel V, Staessen JA, Hazebroek M, Cleland J, Zannad F, Heymans S.</t>
  </si>
  <si>
    <t>ESC Heart Fail. 2021 Oct;8(5):3512-3520. doi: 10.1002/ehf2.13476. Epub 2021 Jun 22.</t>
  </si>
  <si>
    <t>Raafs A</t>
  </si>
  <si>
    <t>PMC8497379</t>
  </si>
  <si>
    <t>10.1002/ehf2.13476</t>
  </si>
  <si>
    <t>Sands M, Frank JA, Maglinger B, McLouth CJ, Trout AL, Turchan-Cholewo J, Stowe AM, Fraser JF, Pennypacker KR.</t>
  </si>
  <si>
    <t>J Neurochem. 2021 Sep 24. doi: 10.1111/jnc.15520. Online ahead of print.</t>
  </si>
  <si>
    <t>Sands M</t>
  </si>
  <si>
    <t>10.1111/jnc.15520</t>
  </si>
  <si>
    <t>Song M, Rabkin CS, Ito H, Oze I, Koyanagi YN, Pfeiffer RM, Kasugai Y, Matsuo K, Camargo MC.</t>
  </si>
  <si>
    <t>Eur J Cancer Prev. 2021 Jul 8. doi: 10.1097/CEJ.0000000000000706. Online ahead of print.</t>
  </si>
  <si>
    <t>Song M</t>
  </si>
  <si>
    <t>Eur J Cancer Prev</t>
  </si>
  <si>
    <t>10.1097/CEJ.0000000000000706</t>
  </si>
  <si>
    <t>Cauwenberghs N, Sabovčik F, Magnus A, Haddad F, Kuznetsova T.</t>
  </si>
  <si>
    <t>ESC Heart Fail. 2021 Aug;8(4):2928-2939. doi: 10.1002/ehf2.13375. Epub 2021 May 29.</t>
  </si>
  <si>
    <t>PMC8318505</t>
  </si>
  <si>
    <t>10.1002/ehf2.13375</t>
  </si>
  <si>
    <t>Resl M, Heinzl MW, Klammer C, Egger M, Feldbauer R, Pohlhammer J, Dieplinger B, Clodi M.</t>
  </si>
  <si>
    <t>J Cardiovasc Transl Res. 2021 Oct;14(5):941-947. doi: 10.1007/s12265-021-10109-9. Epub 2021 Mar 22.</t>
  </si>
  <si>
    <t>Resl M</t>
  </si>
  <si>
    <t>PMC7983963</t>
  </si>
  <si>
    <t>10.1007/s12265-021-10109-9</t>
  </si>
  <si>
    <t>Snelder SM, Pouw N, Aga Y, Cabezas MC, Zijlstra F, Kardys I, van Dalen BM.</t>
  </si>
  <si>
    <t>Biomark Med. 2021 Oct;15(14):1211-1221. doi: 10.2217/bmm-2021-0101. Epub 2021 Sep 9.</t>
  </si>
  <si>
    <t>Snelder SM</t>
  </si>
  <si>
    <t>10.2217/bmm-2021-0101</t>
  </si>
  <si>
    <t>Gülen T, Teufelberger A, Ekoff M, Westerberg CM, Lyberg K, Dahlén SE, Dahlén B, Nilsson G.</t>
  </si>
  <si>
    <t>J Allergy Clin Immunol. 2021 Sep;148(3):889-894. doi: 10.1016/j.jaci.2021.02.023. Epub 2021 Mar 2.</t>
  </si>
  <si>
    <t>Gülen T</t>
  </si>
  <si>
    <t>10.1016/j.jaci.2021.02.023</t>
  </si>
  <si>
    <t>Rinaldi AO, Korsfeldt A, Ward S, Burla D, Dreher A, Gautschi M, Stolpe B, Tan G, Bersuch E, Melin D, Askary Lord N, Grant S, Svedenhag P, Tsekova K, Schmid-Grendelmeier P, Möhrenschlager M, Renner ED, Akdis CA.</t>
  </si>
  <si>
    <t>Allergy. 2021 Oct;76(10):3066-3079. doi: 10.1111/all.14842. Epub 2021 May 15.</t>
  </si>
  <si>
    <t>Rinaldi AO</t>
  </si>
  <si>
    <t>10.1111/all.14842</t>
  </si>
  <si>
    <t>Navrazhina K, Renert-Yuval Y, Frew JW, Grand D, Gonzalez J, Williams SC, Garcet S, Krueger JG.</t>
  </si>
  <si>
    <t>Br J Dermatol. 2021 Jul 13. doi: 10.1111/bjd.20642. Online ahead of print.</t>
  </si>
  <si>
    <t>10.1111/bjd.20642</t>
  </si>
  <si>
    <t>Lifshitz K, Ber Y, Shenhar C, Nillson J, Peer A, Rosenbaum E, Baniel J, Kedar D, Ben Zadok OI, Margel D.</t>
  </si>
  <si>
    <t>J Urol. 2021 Oct;206(4):952-959. doi: 10.1097/JU.0000000000001879. Epub 2021 May 25.</t>
  </si>
  <si>
    <t>Lifshitz K</t>
  </si>
  <si>
    <t>J Urol</t>
  </si>
  <si>
    <t>10.1097/JU.0000000000001879</t>
  </si>
  <si>
    <t>Eggers KM, Lindhagen L, Lindhagen L, Baron T, Erlinge D, Hjort M, Jernberg T, Marko-Varga G, Rezeli M, Spaak J, Lindahl B.</t>
  </si>
  <si>
    <t>Eur Heart J Acute Cardiovasc Care. 2021 Oct 1;10(7):806-812. doi: 10.1093/ehjacc/zuaa014.</t>
  </si>
  <si>
    <t>Eggers KM</t>
  </si>
  <si>
    <t>Eur Heart J Acute Cardiovasc Care</t>
  </si>
  <si>
    <t>10.1093/ehjacc/zuaa014</t>
  </si>
  <si>
    <t>Huemer MT, Bauer A, Petrera A, Scholz M, Hauck SM, Drey M, Peters A, Thorand B.</t>
  </si>
  <si>
    <t>J Cachexia Sarcopenia Muscle. 2021 Aug;12(4):1011-1023. doi: 10.1002/jcsm.12733. Epub 2021 Jun 20.</t>
  </si>
  <si>
    <t>J Cachexia Sarcopenia Muscle</t>
  </si>
  <si>
    <t>PMC8350207</t>
  </si>
  <si>
    <t>10.1002/jcsm.12733</t>
  </si>
  <si>
    <t>Theorell-Haglöw J, Hammar U, Lind L, Elmståhl S, Lindberg E, Fall T.</t>
  </si>
  <si>
    <t>J Sleep Res. 2021 Oct;30(5):e13284. doi: 10.1111/jsr.13284. Epub 2021 Mar 9.</t>
  </si>
  <si>
    <t>Theorell-Haglöw J</t>
  </si>
  <si>
    <t>J Sleep Res</t>
  </si>
  <si>
    <t>10.1111/jsr.13284</t>
  </si>
  <si>
    <t>Jönelid B, Christersson C, Hedberg P, Leppert J, Lindahl B, Lindhagen L, Oldgren J, Siegbahn A.</t>
  </si>
  <si>
    <t>Scand J Clin Lab Invest. 2021 Sep;81(5):353-360. doi: 10.1080/00365513.2021.1921839. Epub 2021 Aug 4.</t>
  </si>
  <si>
    <t>Jönelid B</t>
  </si>
  <si>
    <t>Scand J Clin Lab Invest</t>
  </si>
  <si>
    <t>10.1080/00365513.2021.1921839</t>
  </si>
  <si>
    <t>Freis A, Roesner S, Marshall A, Rehnitz J, von Horn K, Capp E, Dietrich JE, Strowitzki T, Germeyer A.</t>
  </si>
  <si>
    <t>Reprod Sci. 2021 Jul;28(7):1866-1873. doi: 10.1007/s43032-020-00362-9. Epub 2020 Nov 5.</t>
  </si>
  <si>
    <t>Freis A</t>
  </si>
  <si>
    <t>10.1007/s43032-020-00362-9</t>
  </si>
  <si>
    <t>Schrijver B, Kolijn PM, Ten Berge JCEM, Nagtzaam NMA, van Rijswijk ALCT, Swagemakers SMA, van der Spek PJ, Missotten TOAR, van Velthoven MEJ, de Hoog J, van Hagen PM, Langerak AW, Dik WA.</t>
  </si>
  <si>
    <t>Acta Ophthalmol. 2021 Jul 28. doi: 10.1111/aos.14993. Online ahead of print.</t>
  </si>
  <si>
    <t>Schrijver B</t>
  </si>
  <si>
    <t>Acta Ophthalmol</t>
  </si>
  <si>
    <t>10.1111/aos.14993</t>
  </si>
  <si>
    <t>Yu S, Di C, Chen S, Guo M, Yan J, Zhu Z, Liu L, Feng R, Xie Y, Zhang R, Chen J, Wang M, Wei D, Fang H, Yin T, Huang J, Chen S, Lu H, Zhu J, Qu J.</t>
  </si>
  <si>
    <t>Cell Res. 2021 Nov;31(11):1148-1162. doi: 10.1038/s41422-021-00562-1. Epub 2021 Sep 24.</t>
  </si>
  <si>
    <t>Yu S</t>
  </si>
  <si>
    <t>Cell Res</t>
  </si>
  <si>
    <t>PMC8461439</t>
  </si>
  <si>
    <t>10.1038/s41422-021-00562-1</t>
  </si>
  <si>
    <t>Cotugno N, Ruggiero A, Pascucci GR, Bonfante F, Petrara MR, Pighi C, Cifaldi L, Zangari P, Bernardi S, Cursi L, Santilli V, Manno EC, Amodio D, Linardos G, Piccioni L, Barbieri MA, Perrotta D, Campana A, Donà D, Giaquinto C; CACTUS Study Team, Concato C, Brodin P, Rossi P, De Rossi A, Palma P.</t>
  </si>
  <si>
    <t>Pediatr Allergy Immunol. 2021 Nov;32(8):1833-1842. doi: 10.1111/pai.13585. Epub 2021 Jul 16.</t>
  </si>
  <si>
    <t>Cotugno N</t>
  </si>
  <si>
    <t>Pediatr Allergy Immunol</t>
  </si>
  <si>
    <t>PMC8420243</t>
  </si>
  <si>
    <t>10.1111/pai.13585</t>
  </si>
  <si>
    <t>van den Broek BTA, Lindemans CA, Boelens JJ, Delemarre EM, Drylewicz J, Verhoeven-Duif N, van Hasselt PM, Nierkens S.</t>
  </si>
  <si>
    <t>Blood Adv. 2021 Aug 24;5(16):3092-3101. doi: 10.1182/bloodadvances.2020003824.</t>
  </si>
  <si>
    <t>van den Broek BTA</t>
  </si>
  <si>
    <t>Blood Adv</t>
  </si>
  <si>
    <t>PMC8405183</t>
  </si>
  <si>
    <t>10.1182/bloodadvances.2020003824</t>
  </si>
  <si>
    <t>Siegbahn A, Lindbäck J, Hijazi Z, Åberg M, Alexander JH, Eikelboom JW, Lopes RD, Pol T, Oldgren J, Granger CB, Yusuf S, Wallentin L.</t>
  </si>
  <si>
    <t>J Thromb Haemost. 2021 Nov;19(11):2726-2737. doi: 10.1111/jth.15498. Epub 2021 Aug 24.</t>
  </si>
  <si>
    <t>Siegbahn A</t>
  </si>
  <si>
    <t>J Thromb Haemost</t>
  </si>
  <si>
    <t>10.1111/jth.15498</t>
  </si>
  <si>
    <t>Pol T, Hijazi Z, Lindbäck J, Oldgren J, Alexander JH, Connolly SJ, Eikelboom JW, Ezekowitz MD, Granger CB, Lopes RD, Yusuf S, Siegbahn A, Wallentin L.</t>
  </si>
  <si>
    <t>Cardiovasc Res. 2021 Aug 6:cvab262. doi: 10.1093/cvr/cvab262. Online ahead of print.</t>
  </si>
  <si>
    <t>Pol T</t>
  </si>
  <si>
    <t>Cardiovasc Res</t>
  </si>
  <si>
    <t>10.1093/cvr/cvab262</t>
  </si>
  <si>
    <t>Fellström B, Helmersson-Karlqvist J, Lind L, Soveri I, Thulin M, Ärnlöv J, Kultima K, Larsson A.</t>
  </si>
  <si>
    <t>J Interferon Cytokine Res. 2021 Aug;41(8):283-290. doi: 10.1089/jir.2021.0065.</t>
  </si>
  <si>
    <t>Fellström B</t>
  </si>
  <si>
    <t>J Interferon Cytokine Res</t>
  </si>
  <si>
    <t>10.1089/jir.2021.0065</t>
  </si>
  <si>
    <t>Ten Voorde AMW, Wierenga APA, Nell RJ, van der Velden PA, Luyten GPM, Verdijk RM, Jager MJ.</t>
  </si>
  <si>
    <t>Cancers (Basel). 2021 Aug 7;13(16):3986. doi: 10.3390/cancers13163986.</t>
  </si>
  <si>
    <t>Ten Voorde AMW</t>
  </si>
  <si>
    <t>PMC8391938</t>
  </si>
  <si>
    <t>10.3390/cancers13163986</t>
  </si>
  <si>
    <t>Navrazhina K, Garcet S, Frew JW, Zheng X, Coats I, Guttman-Yassky E, Krueger JG.</t>
  </si>
  <si>
    <t>J Am Acad Dermatol. 2021 Jul 30:S0190-9622(21)02187-3. doi: 10.1016/j.jaad.2021.07.035. Online ahead of print.</t>
  </si>
  <si>
    <t>10.1016/j.jaad.2021.07.035</t>
  </si>
  <si>
    <t>Gradin A, Andersson H, Luther T, Anderberg SB, Rubertsson S, Lipcsey M, Åberg M, Larsson A, Frithiof R, Hultström M.</t>
  </si>
  <si>
    <t>Cytokine. 2021 Oct;146:155589. doi: 10.1016/j.cyto.2021.155589. Epub 2021 May 24.</t>
  </si>
  <si>
    <t>Gradin A</t>
  </si>
  <si>
    <t>Cytokine</t>
  </si>
  <si>
    <t>PMC8141692</t>
  </si>
  <si>
    <t>10.1016/j.cyto.2021.155589</t>
  </si>
  <si>
    <t>Kresoja KP, Rommel KP, Wachter R, Henger S, Besler C, Klöting N, Schnelle M, Hoffmann A, Büttner P, Ceglarek U, Thiele H, Scholz M, Edelmann F, Blüher M, Lurz P.</t>
  </si>
  <si>
    <t>Eur J Heart Fail. 2021 Oct;23(10):1633-1644. doi: 10.1002/ejhf.2291. Epub 2021 Jul 20.</t>
  </si>
  <si>
    <t>Kresoja KP</t>
  </si>
  <si>
    <t>10.1002/ejhf.2291</t>
  </si>
  <si>
    <t>Glickman JW, Dubin C, Dahabreh D, Han J, Del Duca E, Estrada YD, Zhang N, Kimmel GW, Singer G, Krueger JG, Pavel AB, Guttman-Yassky E.</t>
  </si>
  <si>
    <t>Allergy. 2021 Oct;76(10):3053-3065. doi: 10.1111/all.14814. Epub 2021 Jun 17.</t>
  </si>
  <si>
    <t>Glickman JW</t>
  </si>
  <si>
    <t>10.1111/all.14814</t>
  </si>
  <si>
    <t>Hjort M, Eggers KM, Lindhagen L, Baron T, Erlinge D, Jernberg T, Marko-Varga G, Rezeli M, Spaak J, Lindahl B.</t>
  </si>
  <si>
    <t>Clin Biochem. 2021 Dec;98:17-23. doi: 10.1016/j.clinbiochem.2021.09.001. Epub 2021 Sep 5.</t>
  </si>
  <si>
    <t>Hjort M</t>
  </si>
  <si>
    <t>Clin Biochem</t>
  </si>
  <si>
    <t>10.1016/j.clinbiochem.2021.09.001</t>
  </si>
  <si>
    <t>Xhakollari L, Jujic A, Molvin J, Nilsson P, Holm H, Bachus E, Leosdottir M, Grubb A, Christensson A, Magnusson M.</t>
  </si>
  <si>
    <t>Proteomics Clin Appl. 2021 Jul;15(4):e2000089. doi: 10.1002/prca.202000089. Epub 2021 Mar 20.</t>
  </si>
  <si>
    <t>Xhakollari L</t>
  </si>
  <si>
    <t>10.1002/prca.202000089</t>
  </si>
  <si>
    <t>Enarsson M, Feldreich T, Byberg L, Nowak C, Lind L, Ärnlöv J.</t>
  </si>
  <si>
    <t>Sports Med Open. 2021 Jul 26;7(1):52. doi: 10.1186/s40798-021-00343-5.</t>
  </si>
  <si>
    <t>Enarsson M</t>
  </si>
  <si>
    <t>Sports Med Open</t>
  </si>
  <si>
    <t>PMC8313632</t>
  </si>
  <si>
    <t>10.1186/s40798-021-00343-5</t>
  </si>
  <si>
    <t>Egervall K, Rosso A, Elmståhl S.</t>
  </si>
  <si>
    <t>Clin Proteomics. 2021 Sep 28;18(1):23. doi: 10.1186/s12014-021-09329-7.</t>
  </si>
  <si>
    <t>Egervall K</t>
  </si>
  <si>
    <t>PMC8480099</t>
  </si>
  <si>
    <t>10.1186/s12014-021-09329-7</t>
  </si>
  <si>
    <t>Lira-Junior R, Boström EA, Gustafsson A; PAROKRANK steering committee.</t>
  </si>
  <si>
    <t>Open Heart. 2021 Aug;8(2):e001674. doi: 10.1136/openhrt-2021-001674.</t>
  </si>
  <si>
    <t>Lira-Junior R</t>
  </si>
  <si>
    <t>Open Heart</t>
  </si>
  <si>
    <t>PMC8362710</t>
  </si>
  <si>
    <t>10.1136/openhrt-2021-001674</t>
  </si>
  <si>
    <t>Bäckryd E, Themistocleous A, Larsson A, Gordh T, Rice ASC, Tesfaye S, Bennett DL, Gerdle B.</t>
  </si>
  <si>
    <t>Pain. 2021 Aug 24. doi: 10.1097/j.pain.0000000000002451. Online ahead of print.</t>
  </si>
  <si>
    <t>Bäckryd E</t>
  </si>
  <si>
    <t>Pain</t>
  </si>
  <si>
    <t>10.1097/j.pain.0000000000002451</t>
  </si>
  <si>
    <t>Ahmed A, Ahmed S, Rådegran G.</t>
  </si>
  <si>
    <t>Pulm Circ. 2021 Sep 30;11(4):20458940211041500. doi: 10.1177/20458940211041500. eCollection 2021 Oct-Dec.</t>
  </si>
  <si>
    <t>Ahmed A</t>
  </si>
  <si>
    <t>Pulm Circ</t>
  </si>
  <si>
    <t>PMC8488531</t>
  </si>
  <si>
    <t>10.1177/20458940211041500</t>
  </si>
  <si>
    <t>Infectious Disease / Cardiometabolic</t>
  </si>
  <si>
    <t xml:space="preserve">Organ Transplant </t>
  </si>
  <si>
    <t xml:space="preserve">Cardiovascular / Infectious Disease </t>
  </si>
  <si>
    <t xml:space="preserve">Immunology? (Atopic dermatitis) </t>
  </si>
  <si>
    <t xml:space="preserve">Cardio vascular / Oncology </t>
  </si>
  <si>
    <t xml:space="preserve">Immunology / Metabolic diseases </t>
  </si>
  <si>
    <t>Organ Health</t>
  </si>
  <si>
    <t>Infectious Disease / Organ Health</t>
  </si>
  <si>
    <t xml:space="preserve">General Health </t>
  </si>
  <si>
    <t>Cardiovascular / Immunology / Respiratory</t>
  </si>
  <si>
    <t xml:space="preserve">Cardiovascular / Oral Health </t>
  </si>
  <si>
    <t xml:space="preserve">Cardiometabolic / neurology </t>
  </si>
  <si>
    <t xml:space="preserve">Cardiometabolic / Immunology </t>
  </si>
  <si>
    <t>0</t>
  </si>
  <si>
    <t>Series of panels used to get 354 plex</t>
  </si>
  <si>
    <t>Series of panels used to get 184 plex</t>
  </si>
  <si>
    <t>3 panels to get 252 plex; Study did not yield meaningful results</t>
  </si>
  <si>
    <t xml:space="preserve">Study did not yield meaningful results </t>
  </si>
  <si>
    <t>2 Panels</t>
  </si>
  <si>
    <t xml:space="preserve">2 panels. 188 plex </t>
  </si>
  <si>
    <t xml:space="preserve">2 panels. 175 plex </t>
  </si>
  <si>
    <t>3 panels</t>
  </si>
  <si>
    <t>2 panels; Focus was more on cell type phenotyping with CyTof</t>
  </si>
  <si>
    <t>Multiple panels</t>
  </si>
  <si>
    <t>Study began with interrogation of 2 cytokines</t>
  </si>
  <si>
    <t>3 panels ,366 plex</t>
  </si>
  <si>
    <t xml:space="preserve">Explore 1536 </t>
  </si>
  <si>
    <t xml:space="preserve">Undisclosed </t>
  </si>
  <si>
    <t>Undisclosed (340 proteins)</t>
  </si>
  <si>
    <t>Target 48</t>
  </si>
  <si>
    <t>Associations of amyloid and neurodegeneration plasma biomarkers with comorbidities</t>
  </si>
  <si>
    <t>Characterization of Cerebrospinal Fluid Ubiquitin C-Terminal Hydrolase L1 as a Biomarker of Human Acute Traumatic Spinal Cord Injury</t>
  </si>
  <si>
    <t>Plasma metabolites associated with biomarker evidence of neurodegeneration in cognitively normal older adults</t>
  </si>
  <si>
    <t>Quantification of SARS-CoV-2 antigen levels in the blood of patients with COVID-19</t>
  </si>
  <si>
    <t>Absence of Toxemia in Clostridioides difficile Infection: Results from Ultrasensitive Toxin Assay of Serum</t>
  </si>
  <si>
    <t>Comparison of Plasma Phosphorylated Tau Species With Amyloid and Tau Positron Emission Tomography, Neurodegeneration, Vascular Pathology, and Cognitive Outcomes</t>
  </si>
  <si>
    <t>Serum IFNα2 measured by single-molecule array associates with systemic disease manifestations in Sjögren's syndrome</t>
  </si>
  <si>
    <t>Systems vaccinology of the BNT162b2 mRNA vaccine in humans</t>
  </si>
  <si>
    <t>Developing a SARS-CoV-2 Antigen Test Using Engineered Affinity Proteins</t>
  </si>
  <si>
    <t>Circulating levels of tight junction proteins in multiple sclerosis: Association with inflammation and disease activity before and after disease modifying therapy</t>
  </si>
  <si>
    <t>Detection of Cerebrospinal Fluid Neurofilament Light Chain as a Marker for Alpha-Synucleinopathies</t>
  </si>
  <si>
    <t>Diagnostic and prognostic plasma biomarkers for preclinical Alzheimer's disease</t>
  </si>
  <si>
    <t>Neurological symptoms and axonal damage in COVID-19 survivors: are there sequelae?</t>
  </si>
  <si>
    <t>Serum GFAP and NfL levels in benign relapsing-remitting multiple sclerosis</t>
  </si>
  <si>
    <t>The diagnostic and prognostic capabilities of plasma biomarkers in Alzheimer's disease</t>
  </si>
  <si>
    <t>Serum Neurofilament Light: a Potential Diagnostic and Prognostic Biomarker in Obstetric Posterior Reversible Encephalopathy Syndrome</t>
  </si>
  <si>
    <t>Pre-analytical sample handling effects on blood cytokine levels: quality control of a COVID-19 biobank</t>
  </si>
  <si>
    <t>Neurofilament light chain as a biomarker of meningoencephalitis of unknown etiology in dogs</t>
  </si>
  <si>
    <t>Multisystem inflammatory syndrome in children is driven by zonulin-dependent loss of gut mucosal barrier</t>
  </si>
  <si>
    <t>Serum neurofilament light chain in pediatric spinal muscular atrophy patients and healthy children</t>
  </si>
  <si>
    <t>Phosphorylated tau181 in plasma as a potential biomarker for Alzheimer's disease in adults with Down syndrome</t>
  </si>
  <si>
    <t>Plasma interferon-alpha is associated with double-positivity for autoantibodies but is not a predictor of remission in early rheumatoid arthritis-a spin-off study of the NORD-STAR randomized clinical trial</t>
  </si>
  <si>
    <t>Plasma biomarker profiles and the correlation with cognitive function across the clinical spectrum of Alzheimer's disease</t>
  </si>
  <si>
    <t>Characterizing plasma NfL in a community-dwelling multi-ethnic cohort: Results from the HABLE study</t>
  </si>
  <si>
    <t>Serum Neurofilament Levels and PML Risk in Patients With Multiple Sclerosis Treated With Natalizumab</t>
  </si>
  <si>
    <t>Comparative diagnosis interest of NfL and pNfH in CSF and plasma in a context of FTD-ALS spectrum</t>
  </si>
  <si>
    <t>Early IFN-α signatures and persistent dysfunction are distinguishing features of NK cells in severe COVID-19</t>
  </si>
  <si>
    <t>Plasma neurofilament light chain level and orthostatic hypotension in early Parkinson's disease</t>
  </si>
  <si>
    <t>Plasma phosphorylated tau 217 and phosphorylated tau 181 as biomarkers in Alzheimer's disease and frontotemporal lobar degeneration: a retrospective diagnostic performance study</t>
  </si>
  <si>
    <t>Associations of Fully Automated CSF and Novel Plasma Biomarkers With Alzheimer Disease Neuropathology at Autopsy</t>
  </si>
  <si>
    <t>Extracellular fluid, cerebrospinal fluid and plasma biomarkers of axonal and neuronal injury following intracerebral hemorrhage</t>
  </si>
  <si>
    <t>Plasma P-tau181 to Aβ42 ratio is associated with brain amyloid burden and hippocampal atrophy in an Asian cohort of Alzheimer's disease patients with concomitant cerebrovascular disease</t>
  </si>
  <si>
    <t>Sustained reduction of serum neurofilament light chain over 7 years by alemtuzumab in early relapsing-remitting MS</t>
  </si>
  <si>
    <t>Development of immunoprecipitation - two-dimensional liquid chromatography - mass spectrometry methodology as biomarker read-out to quantify phosphorylated tau in cerebrospinal fluid from Alzheimer disease patients</t>
  </si>
  <si>
    <t>Serum neurofilament light chain levels in healthy individuals: A proposal of cut-off values for use in multiple sclerosis clinical practice</t>
  </si>
  <si>
    <t>Protective heterologous T cell immunity in COVID-19 induced by the trivalent MMR and Tdap vaccine antigens</t>
  </si>
  <si>
    <t>Simultaneous detection of the spike and nucleocapsid proteins from SARS-CoV-2 based on ultrasensitive single molecule assays</t>
  </si>
  <si>
    <t>Glial fibrillary acidic protein as blood biomarker for differential diagnosis and severity of major depressive disorder</t>
  </si>
  <si>
    <t>Plasma NfL levels and longitudinal change rates in C9orf72 and GRN-associated diseases: from tailored references to clinical applications</t>
  </si>
  <si>
    <t>Association of serum neurofilament light chain levels with clinicopathology of chronic inflammatory demyelinating polyneuropathy, including NF155 reactive patients</t>
  </si>
  <si>
    <t>Serum neurofilament is associated with motor function, cognitive decline and subclinical cardiac damage in advanced Parkinson's disease (MARK-PD)</t>
  </si>
  <si>
    <t>No evidence of neuronal damage as measured by neurofilament light chain in a HIV cure study utilising a kick-and-kill approach</t>
  </si>
  <si>
    <t>Temporal profile and utility of serum neurofilament light in a rat model of mild traumatic brain injury</t>
  </si>
  <si>
    <t>Serum glial fibrillary acidic protein is a predictor of brain metastases in patients with metastatic breast cancer</t>
  </si>
  <si>
    <t>Absolute serum neurofilament light chain levels and its early kinetics predict brain injury after out-of-hospital cardiac arrest</t>
  </si>
  <si>
    <t>Ultra-Early Differential Diagnosis of Acute Cerebral Ischemia and Hemorrhagic Stroke by Measuring the Prehospital Release Rate of GFAP</t>
  </si>
  <si>
    <t xml:space="preserve"> N/A</t>
  </si>
  <si>
    <t xml:space="preserve">Immunology / Infectious Disease </t>
  </si>
  <si>
    <t>neuromuscular disease</t>
  </si>
  <si>
    <t xml:space="preserve">Neurology / infectious disease </t>
  </si>
  <si>
    <t xml:space="preserve">Population Study </t>
  </si>
  <si>
    <t xml:space="preserve">Oncology / Neurology </t>
  </si>
  <si>
    <t xml:space="preserve">Cardiometobolic </t>
  </si>
  <si>
    <t xml:space="preserve">HD-1 </t>
  </si>
  <si>
    <t>SR-X</t>
  </si>
  <si>
    <t xml:space="preserve"> / HD- X</t>
  </si>
  <si>
    <t>HD-X, SPX</t>
  </si>
  <si>
    <t xml:space="preserve">HD-X </t>
  </si>
  <si>
    <t>HD- 1</t>
  </si>
  <si>
    <t xml:space="preserve">Also looked at metabolites with mass spec </t>
  </si>
  <si>
    <t xml:space="preserve">Unable to detect toxins in patients with c-diff </t>
  </si>
  <si>
    <t xml:space="preserve">Head to head with MSD for alzheimer pathology measurements; MSD was found to be more accurate; phosphorylated markers were assessed </t>
  </si>
  <si>
    <t xml:space="preserve">Other methods were used to measure 6 other proteins </t>
  </si>
  <si>
    <t xml:space="preserve">Other methods, including Olink, were used to measure the same and other proteins in sampls </t>
  </si>
  <si>
    <t xml:space="preserve">Helped in creation of a different test </t>
  </si>
  <si>
    <t>Other methods were used</t>
  </si>
  <si>
    <t xml:space="preserve">All in single plex </t>
  </si>
  <si>
    <t xml:space="preserve">GFAP and p-tau were found to be potential diagnostics </t>
  </si>
  <si>
    <t xml:space="preserve">Single measurements not good enough, need change over time </t>
  </si>
  <si>
    <t xml:space="preserve">In-house and commercially available assays </t>
  </si>
  <si>
    <t xml:space="preserve">6 plex kit; mostly methods based </t>
  </si>
  <si>
    <t>Vet based</t>
  </si>
  <si>
    <t xml:space="preserve">4 plex assay </t>
  </si>
  <si>
    <t xml:space="preserve">Spike proteins measured with homebrew antibodies on simoa platform; mass spec was used for other protein analysis </t>
  </si>
  <si>
    <t xml:space="preserve">single plex </t>
  </si>
  <si>
    <t xml:space="preserve">Combination of 3 plex, and 2 single plex assays </t>
  </si>
  <si>
    <t xml:space="preserve">5/9% CV </t>
  </si>
  <si>
    <t xml:space="preserve">10 protein panel, 1 single plex and 2 </t>
  </si>
  <si>
    <t xml:space="preserve">Affiliated but didn’t use Simoa </t>
  </si>
  <si>
    <t>Also used a Roche Elecsys platform for CSF proteins, reads out on the cobas? Both NFL and ptau1818 were good biomarkers</t>
  </si>
  <si>
    <t>3 PLEX AND 1 PLEX ASSAYS CO</t>
  </si>
  <si>
    <t>Ratio of 2 markers was the most meaningful</t>
  </si>
  <si>
    <t xml:space="preserve">2 plex assay; comparison to IP-2DLC-TQMS was really good </t>
  </si>
  <si>
    <t xml:space="preserve">Found a cut off for MS </t>
  </si>
  <si>
    <t xml:space="preserve">10 plex and 4 plex homebrew; used for cytokine and sars antibody levels, supported other findings </t>
  </si>
  <si>
    <t xml:space="preserve">run in single and 2 plex; quanterix was used to show the potential of a dELISa </t>
  </si>
  <si>
    <t xml:space="preserve">6% intra and 15% inter variance </t>
  </si>
  <si>
    <t xml:space="preserve">GFAP for the Dx of brain metastases  in MBC </t>
  </si>
  <si>
    <t xml:space="preserve">NFL for brain injury after a heart attack; absolute levels and early changes in levels following the event were good predictors </t>
  </si>
  <si>
    <t>GFAP and T-Tau (6 isoforms): GFAP may be a good measurement for differentiation of strok subtypes</t>
  </si>
  <si>
    <t>Syrjanen JA, Campbell MR, Algeciras-Schimnich A, Vemuri P, Graff-Radford J, Machulda MM, Bu G, Knopman DS, Jack CR Jr, Petersen RC, Mielke MM.</t>
  </si>
  <si>
    <t>Alzheimers Dement. 2021 Sep 27. doi: 10.1002/alz.12466. Online ahead of print.</t>
  </si>
  <si>
    <t>Syrjanen JA</t>
  </si>
  <si>
    <t>Stukas S, Gill J, Cooper J, Belanger L, Ritchie L, Tsang A, Dong K, Streijger F, Street J, Paquette S, Ailon T, Dea N, Charest-Morin R, Fisher CG, Dhall S, Mac-Thiong JM, Wilson JR, Bailey C, Christie S, Dvorak MF, Wellington C, Kwon BK.</t>
  </si>
  <si>
    <t>J Neurotrauma. 2021 Aug 1;38(15):2055-2064. doi: 10.1089/neu.2020.7352. Epub 2021 May 3.</t>
  </si>
  <si>
    <t>Chatterjee P, Cheong YJ, Bhatnagar A, Goozee K, Wu Y, McKay M, Martins IJ, Lim WLF, Pedrini S, Tegg M, Villemagne VL, Asih PR, Dave P, Shah TM, Dias CB, Fuller SJ, Hillebrandt H, Gupta S, Hone E, Taddei K, Zetterberg H, Blennow K, Sohrabi HR, Martins RN.</t>
  </si>
  <si>
    <t>J Neurochem. 2021 Oct;159(2):389-402. doi: 10.1111/jnc.15128. Epub 2020 Aug 1.</t>
  </si>
  <si>
    <t>Su B, Yin J, Lin X, Zhang T, Yao X, Xu Y, Lu Y, Wang W, Liu K, Zhang J, Xie L, Jin R, Feng Y.</t>
  </si>
  <si>
    <t>Sci China Life Sci. 2021 Jul;64(7):1193-1196. doi: 10.1007/s11427-020-1830-8. Epub 2020 Nov 26.</t>
  </si>
  <si>
    <t>Su B</t>
  </si>
  <si>
    <t>Sci China Life Sci</t>
  </si>
  <si>
    <t>PMC7706695</t>
  </si>
  <si>
    <t>Sprague R, Warny K, Pollock N, Daugherty K, Lin Q, Xu H, Cuddemi C, Barrett C, Chen X, Banz A, Lantz A, Garey KW, Gonzales-Luna AJ, Alonso CD, Galvez JAV, Kelly CP.</t>
  </si>
  <si>
    <t>Dig Dis Sci. 2021 Oct;66(10):3303-3306. doi: 10.1007/s10620-020-06683-8. Epub 2020 Nov 8.</t>
  </si>
  <si>
    <t>Sprague R</t>
  </si>
  <si>
    <t>Dig Dis Sci</t>
  </si>
  <si>
    <t>PMC8105423</t>
  </si>
  <si>
    <t>Mielke MM, Frank RD, Dage JL, Jeromin A, Ashton NJ, Blennow K, Karikari TK, Vanmechelen E, Zetterberg H, Algeciras-Schimnich A, Knopman DS, Lowe V, Bu G, Vemuri P, Graff-Radford J, Jack CR Jr, Petersen RC.</t>
  </si>
  <si>
    <t>JAMA Neurol. 2021 Sep 1;78(9):1108-1117. doi: 10.1001/jamaneurol.2021.2293.</t>
  </si>
  <si>
    <t>Mielke MM</t>
  </si>
  <si>
    <t>PMC8314178</t>
  </si>
  <si>
    <t>Huijser E, Göpfert J, Brkic Z, van Helden-Meeuwsen CG, Jansen S, Mandl T, Olsson P, Schrijver B, Schreurs MWJ, van Daele PLA, Dik WA, Versnel MA.</t>
  </si>
  <si>
    <t>Rheumatology (Oxford). 2021 Sep 10:keab688. doi: 10.1093/rheumatology/keab688. Online ahead of print.</t>
  </si>
  <si>
    <t>Huijser E</t>
  </si>
  <si>
    <t>Arunachalam PS, Scott MKD, Hagan T, Li C, Feng Y, Wimmers F, Grigoryan L, Trisal M, Edara VV, Lai L, Chang SE, Feng A, Dhingra S, Shah M, Lee AS, Chinthrajah S, Sindher SB, Mallajosyula V, Gao F, Sigal N, Kowli S, Gupta S, Pellegrini K, Tharp G, Maysel-Auslender S, Hamilton S, Aoued H, Hrusovsky K, Roskey M, Bosinger SE, Maecker HT, Boyd SD, Davis MM, Utz PJ, Suthar MS, Khatri P, Nadeau KC, Pulendran B.</t>
  </si>
  <si>
    <t>Nature. 2021 Aug;596(7872):410-416. doi: 10.1038/s41586-021-03791-x. Epub 2021 Jul 12.</t>
  </si>
  <si>
    <t>Arunachalam PS</t>
  </si>
  <si>
    <t>Kim S, Yee E, Miller EA, Hao Y, Tay DMY, Sung KJ, Jia H, Johnson JM, Saeed M, Mace CR, Yüksel Yurt D, Sikes HD.</t>
  </si>
  <si>
    <t>ACS Appl Mater Interfaces. 2021 Aug 25;13(33):38990-39002. doi: 10.1021/acsami.1c08174. Epub 2021 Aug 11.</t>
  </si>
  <si>
    <t>Kim S</t>
  </si>
  <si>
    <t>ACS Appl Mater Interfaces</t>
  </si>
  <si>
    <t>Olsson A, Gustavsen S, Langkilde AR, Hansen TH, Sellebjerg F, Bach Søndergaard H, Oturai AB.</t>
  </si>
  <si>
    <t>Mult Scler Relat Disord. 2021 Sep;54:103136. doi: 10.1016/j.msard.2021.103136. Epub 2021 Jul 3.</t>
  </si>
  <si>
    <t>Olsson A</t>
  </si>
  <si>
    <t>10.1016/j.msard.2021.103136</t>
  </si>
  <si>
    <t>Canaslan S, Schmitz M, Villar-Piqué A, Maass F, Gmitterová K, Varges D, Lingor P, Llorens F, Hermann P, Zerr I.</t>
  </si>
  <si>
    <t>Front Aging Neurosci. 2021 Sep 22;13:717930. doi: 10.3389/fnagi.2021.717930. eCollection 2021.</t>
  </si>
  <si>
    <t>Canaslan S</t>
  </si>
  <si>
    <t>PMC8493247</t>
  </si>
  <si>
    <t>Chatterjee P, Pedrini S, Ashton NJ, Tegg M, Goozee K, Singh AK, Karikari TK, Simrén J, Vanmechelen E, Armstrong NJ, Hone E, Asih PR, Taddei K, Doré V, Villemagne VL, Sohrabi HR, Zetterberg H, Masters CL, Blennow K, Martins RN.</t>
  </si>
  <si>
    <t>Alzheimers Dement. 2021 Sep 8. doi: 10.1002/alz.12447. Online ahead of print.</t>
  </si>
  <si>
    <t>Bozzetti S, Ferrari S, Zanzoni S, Alberti D, Braggio M, Carta S, Piraino F, Gabbiani D, Girelli D, Nocini R, Monaco S, Crisafulli E, Mariotto S.</t>
  </si>
  <si>
    <t>Immunol Res. 2021 Dec;69(6):553-557. doi: 10.1007/s12026-021-09220-5. Epub 2021 Aug 7.</t>
  </si>
  <si>
    <t>Bozzetti S</t>
  </si>
  <si>
    <t>Immunol Res</t>
  </si>
  <si>
    <t>PMC8346772</t>
  </si>
  <si>
    <t>Niiranen M, Kontkanen A, Jääskeläinen O, Tertsunen HM, Selander T, Hartikainen P, Huber N, Solje E, Haapasalo A, Kokkola T, Lohioja T, Herukka SK, Simula S, Remes AM.</t>
  </si>
  <si>
    <t>Mult Scler Relat Disord. 2021 Sep 28;56:103280. doi: 10.1016/j.msard.2021.103280. Online ahead of print.</t>
  </si>
  <si>
    <t>Niiranen M</t>
  </si>
  <si>
    <t>Simrén J, Leuzy A, Karikari TK, Hye A, Benedet AL, Lantero-Rodriguez J, Mattsson-Carlgren N, Schöll M, Mecocci P, Vellas B, Tsolaki M, Kloszewska I, Soininen H, Lovestone S, Aarsland D; AddNeuroMed consortium, Hansson O, Rosa-Neto P, Westman E, Blennow K, Zetterberg H, Ashton NJ.</t>
  </si>
  <si>
    <t>Alzheimers Dement. 2021 Jul;17(7):1145-1156. doi: 10.1002/alz.12283. Epub 2021 Jan 25.</t>
  </si>
  <si>
    <t>Simrén J</t>
  </si>
  <si>
    <t>PMC8359457</t>
  </si>
  <si>
    <t>10.1002/alz.12283</t>
  </si>
  <si>
    <t>Fang X, Liang Y, Zhang W, Wang Q, Chen J, Chen J, Lin Y, Chen Y, Yu L, Wang H, Chen D.</t>
  </si>
  <si>
    <t>Mol Neurobiol. 2021 Dec;58(12):6460-6470. doi: 10.1007/s12035-021-02562-z. Epub 2021 Sep 22.</t>
  </si>
  <si>
    <t>Fang X</t>
  </si>
  <si>
    <t>Verberk IM, Nossent EJ, Bontkes HJ, Teunissen CE.</t>
  </si>
  <si>
    <t>Biomark Med. 2021 Aug;15(12):987-997. doi: 10.2217/bmm-2020-0770. Epub 2021 Jul 22.</t>
  </si>
  <si>
    <t>Verberk IM</t>
  </si>
  <si>
    <t>PMC8359910</t>
  </si>
  <si>
    <t>Yun T, Koo Y, Chae Y, Lee D, Kim H, Kim S, Chang D, Na KJ, Yang MP, Kang BT.</t>
  </si>
  <si>
    <t>J Vet Intern Med. 2021 Jul;35(4):1865-1872. doi: 10.1111/jvim.16184. Epub 2021 Jun 10.</t>
  </si>
  <si>
    <t>Yun T</t>
  </si>
  <si>
    <t>PMC8295659</t>
  </si>
  <si>
    <t>Yonker LM, Gilboa T, Ogata AF, Senussi Y, Lazarovits R, Boribong BP, Bartsch YC, Loiselle M, Rivas MN, Porritt RA, Lima R, Davis JP, Farkas EJ, Burns MD, Young N, Mahajan VS, Hajizadeh S, Lopez XIH, Kreuzer J, Morris R, Martinez EE, Han I, Griswold K Jr, Barry NC, Thompson DB, Church G, Edlow AG, Haas W, Pillai S, Arditi M, Alter G, Walt DR, Fasano A.</t>
  </si>
  <si>
    <t>J Clin Invest. 2021 Jul 15;131(14):e149633. doi: 10.1172/JCI149633.</t>
  </si>
  <si>
    <t>Yonker LM</t>
  </si>
  <si>
    <t>PMC8279585</t>
  </si>
  <si>
    <t>10.1172/JCI149633</t>
  </si>
  <si>
    <t>Nitz E, Smitka M, Schallner J, Akgün K, Ziemssen T, von der Hagen M, Tüngler V.</t>
  </si>
  <si>
    <t>Ann Clin Transl Neurol. 2021 Oct;8(10):2013-2024. doi: 10.1002/acn3.51449. Epub 2021 Sep 4.</t>
  </si>
  <si>
    <t>Nitz E</t>
  </si>
  <si>
    <t>PMC8528467</t>
  </si>
  <si>
    <t>10.1002/acn3.51449</t>
  </si>
  <si>
    <t>Lleó A, Zetterberg H, Pegueroles J, Karikari TK, Carmona-Iragui M, Ashton NJ, Montal V, Barroeta I, Lantero-Rodríguez J, Videla L, Altuna M, Benejam B, Fernandez S, Valldeneu S, Garzón D, Bejanin A, Iulita MF, Camacho V, Medrano-Martorell S, Belbin O, Clarimon J, Lehmann S, Alcolea D, Blesa R, Blennow K, Fortea J.</t>
  </si>
  <si>
    <t>Nat Commun. 2021 Jul 14;12(1):4304. doi: 10.1038/s41467-021-24319-x.</t>
  </si>
  <si>
    <t>Lleó A</t>
  </si>
  <si>
    <t>PMC8280160</t>
  </si>
  <si>
    <t>Stockfelt M, Lundell AC, Hetland ML, Østergaard M, Uhlig T, Heiberg MS, Haavardsholm EA, Nurmohamed MT, Lampa J, Nordström D, Petersen KH, Gudbjornsson B, Gröndal G, Aldridge J, Andersson K, Blennow K, Zetterberg H, van Vollenhoven R, Rudin A.</t>
  </si>
  <si>
    <t>Arthritis Res Ther. 2021 Jul 13;23(1):189. doi: 10.1186/s13075-021-02556-1.</t>
  </si>
  <si>
    <t>Stockfelt M</t>
  </si>
  <si>
    <t>PMC8278690</t>
  </si>
  <si>
    <t>Xiao Z, Wu X, Wu W, Yi J, Liang X, Ding S, Zheng L, Luo J, Gu H, Zhao Q, Xu H, Ding D.</t>
  </si>
  <si>
    <t>Alzheimers Res Ther. 2021 Jul 5;13(1):123. doi: 10.1186/s13195-021-00864-x.</t>
  </si>
  <si>
    <t>Xiao Z</t>
  </si>
  <si>
    <t>PMC8259165</t>
  </si>
  <si>
    <t>O'Bryant S, Petersen M, Hall J, Johnson L, Yaffe K, Braskie M, Toga AW, Rissman RA; HABLE study team.</t>
  </si>
  <si>
    <t>Alzheimers Dement. 2021 Jul 26. doi: 10.1002/alz.12404. Online ahead of print.</t>
  </si>
  <si>
    <t>O'Bryant S</t>
  </si>
  <si>
    <t>10.1002/alz.12404</t>
  </si>
  <si>
    <t>Fissolo N, Pignolet B, Rio J, Vermersch P, Ruet A, deSèze J, Labauge P, Vukusic S, Papeix C, Martinez-Almoyna L, Tourbah A, Clavelou P, Moreau T, Pelletier J, Lebrun-Frenay C, Bourre B, Defer G, Montalban X, Brassat D, Comabella M.</t>
  </si>
  <si>
    <t>Neurol Neuroimmunol Neuroinflamm. 2021 Apr 26;8(4):e1003. doi: 10.1212/NXI.0000000000001003. Print 2021 Jul.</t>
  </si>
  <si>
    <t>PMC8105883</t>
  </si>
  <si>
    <t>Escal J, Fourier A, Formaglio M, Zimmer L, Bernard E, Mollion H, Bost M, Herrmann M, Ollagnon-Roman E, Quadrio I, Dorey JM.</t>
  </si>
  <si>
    <t>J Neurol. 2021 Jul 27. doi: 10.1007/s00415-021-10714-3. Online ahead of print.</t>
  </si>
  <si>
    <t>Escal J</t>
  </si>
  <si>
    <t>Krämer B, Knoll R, Bonaguro L, ToVinh M, Raabe J, Astaburuaga-García R, Schulte-Schrepping J, Kaiser KM, Rieke GJ, Bischoff J, Monin MB, Hoffmeister C, Schlabe S, De Domenico E, Reusch N, Händler K, Reynolds G, Blüthgen N, Hack G, Finnemann C, Nischalke HD, Strassburg CP, Stephenson E, Su Y, Gardner L, Yuan D, Chen D, Goldman J, Rosenstiel P, Schmidt SV, Latz E, Hrusovsky K, Ball AJ, Johnson JM, Koenig PA, Schmidt FI, Haniffa M, Heath JR, Kümmerer BM, Keitel V, Jensen B, Stubbemann P, Kurth F, Sander LE, Sawitzki B; Deutsche COVID-19 OMICS Initiative (DeCOI), Aschenbrenner AC, Schultze JL, Nattermann J.</t>
  </si>
  <si>
    <t>Immunity. 2021 Nov 9;54(11):2650-2669.e14. doi: 10.1016/j.immuni.2021.09.002. Epub 2021 Sep 4.</t>
  </si>
  <si>
    <t>Krämer B</t>
  </si>
  <si>
    <t>Immunity</t>
  </si>
  <si>
    <t>PMC8416549</t>
  </si>
  <si>
    <t>Park DG, Kim JW, An YS, Chang J, Yoon JH.</t>
  </si>
  <si>
    <t>J Neural Transm (Vienna). 2021 Dec;128(12):1853-1861. doi: 10.1007/s00702-021-02423-y. Epub 2021 Sep 27.</t>
  </si>
  <si>
    <t>Park DG</t>
  </si>
  <si>
    <t>Thijssen EH, La Joie R, Strom A, Fonseca C, Iaccarino L, Wolf A, Spina S, Allen IE, Cobigo Y, Heuer H, VandeVrede L, Proctor NK, Lago AL, Baker S, Sivasankaran R, Kieloch A, Kinhikar A, Yu L, Valentin MA, Jeromin A, Zetterberg H, Hansson O, Mattsson-Carlgren N, Graham D, Blennow K, Kramer JH, Grinberg LT, Seeley WW, Rosen H, Boeve BF, Miller BL, Teunissen CE, Rabinovici GD, Rojas JC, Dage JL, Boxer AL; Advancing Research and Treatment for Frontotemporal Lobar Degeneration investigators.</t>
  </si>
  <si>
    <t>Lancet Neurol. 2021 Sep;20(9):739-752. doi: 10.1016/S1474-4422(21)00214-3.</t>
  </si>
  <si>
    <t>Lancet Neurol</t>
  </si>
  <si>
    <t>Grothe MJ, Moscoso A, Ashton NJ, Karikari TK, Lantero-Rodriguez J, Snellman A, Zetterberg H, Blennow K, Schöll M; Alzheimer’s Disease Neuroimaging Initiative.</t>
  </si>
  <si>
    <t>Neurology. 2021 Jul 15;97(12):e1229-42. doi: 10.1212/WNL.0000000000012513. Online ahead of print.</t>
  </si>
  <si>
    <t>Grothe MJ</t>
  </si>
  <si>
    <t>PMC8480485</t>
  </si>
  <si>
    <t>Tobieson L, Zetterberg H, Blennow K, Marklund N.</t>
  </si>
  <si>
    <t>Sci Rep. 2021 Aug 20;11(1):16950. doi: 10.1038/s41598-021-96364-x.</t>
  </si>
  <si>
    <t>Tobieson L</t>
  </si>
  <si>
    <t>PMC8379247</t>
  </si>
  <si>
    <t>10.1038/s41598-021-96364-x</t>
  </si>
  <si>
    <t>Chong JR, Ashton NJ, Karikari TK, Tanaka T, Saridin FN, Reilhac A, Robins EG, Nai YH, Vrooman H, Hilal S, Zetterberg H, Blennow K, Lai MKP, Chen CP.</t>
  </si>
  <si>
    <t>Alzheimers Dement. 2021 Oct;17(10):1649-1662. doi: 10.1002/alz.12332. Epub 2021 Mar 31.</t>
  </si>
  <si>
    <t>Chong JR</t>
  </si>
  <si>
    <t>Kuhle J, Daizadeh N, Benkert P, Maceski A, Barro C, Michalak Z, Sormani MP, Godin J, Shankara S, Samad TA, Jacobs A, Chung L, Rӧsch N, Kaiser C, Mitchell CP, Leppert D, Havari E, Kappos L.</t>
  </si>
  <si>
    <t>Mult Scler. 2021 Aug 11:13524585211032348. doi: 10.1177/13524585211032348. Online ahead of print.</t>
  </si>
  <si>
    <t>10.1177/13524585211032348</t>
  </si>
  <si>
    <t>Bijttebier S, Theunis C, Jahouh F, Martins DR, Verhemeldonck M, Grauwen K, Dillen L, Mercken M.</t>
  </si>
  <si>
    <t>J Chromatogr A. 2021 Aug 16;1651:462299. doi: 10.1016/j.chroma.2021.462299. Epub 2021 May 28.</t>
  </si>
  <si>
    <t>Bijttebier S</t>
  </si>
  <si>
    <t>J Chromatogr A</t>
  </si>
  <si>
    <t>Valentino P, Marnetto F, Martire S, Malucchi S, Bava CI, Popovic M, Bertolotto A.</t>
  </si>
  <si>
    <t>Mult Scler Relat Disord. 2021 Sep;54:103090. doi: 10.1016/j.msard.2021.103090. Epub 2021 Jun 17.</t>
  </si>
  <si>
    <t>Mysore V, Cullere X, Settles ML, Ji X, Kattan MW, Desjardins M, Durbin-Johnson B, Gilboa T, Baden LR, Walt DR, Lichtman AH, Jehi L, Mayadas TN.</t>
  </si>
  <si>
    <t>Med (N Y). 2021 Sep 10;2(9):1050-1071.e7. doi: 10.1016/j.medj.2021.08.004. Epub 2021 Aug 14.</t>
  </si>
  <si>
    <t>Mysore V</t>
  </si>
  <si>
    <t>Med (N Y)</t>
  </si>
  <si>
    <t>PMC8363466</t>
  </si>
  <si>
    <t>Cai Q, Mu J, Lei Y, Ge J, Aryee AA, Zhang X, Li Z.</t>
  </si>
  <si>
    <t>Anal Bioanal Chem. 2021 Jul;413(18):4645-4654. doi: 10.1007/s00216-021-03435-z. Epub 2021 May 31.</t>
  </si>
  <si>
    <t>Cai Q</t>
  </si>
  <si>
    <t>PMC8166382</t>
  </si>
  <si>
    <t>Steinacker P, Al Shweiki MR, Oeckl P, Graf H, Ludolph AC, Schönfeldt-Lecuona C, Otto M.</t>
  </si>
  <si>
    <t>J Psychiatr Res. 2021 Sep 2;144:54-58. doi: 10.1016/j.jpsychires.2021.09.012. Online ahead of print.</t>
  </si>
  <si>
    <t>Steinacker P</t>
  </si>
  <si>
    <t>Saracino D, Dorgham K, Camuzat A, Rinaldi D, Rametti-Lacroux A, Houot M, Clot F, Martin-Hardy P, Jornea L, Azuar C, Migliaccio R, Pasquier F, Couratier P, Auriacombe S, Sauvée M, Boutoleau-Bretonnière C, Pariente J, Didic M, Hannequin D, Wallon D; French Research Network on FTD/FTD-ALS; PREV-DEMALS and Predict-PGRN study groups, Colliot O, Dubois B, Brice A, Levy R, Forlani S, Le Ber I.</t>
  </si>
  <si>
    <t>J Neurol Neurosurg Psychiatry. 2021 Dec;92(12):1278-1288. doi: 10.1136/jnnp-2021-326914. Epub 2021 Aug 4.</t>
  </si>
  <si>
    <t>Saracino D</t>
  </si>
  <si>
    <t>Fukami Y, Iijima M, Koike H, Yamada S, Hashizume A, Katsuno M.</t>
  </si>
  <si>
    <t>J Neurol. 2021 Oct;268(10):3835-3844. doi: 10.1007/s00415-021-10537-2. Epub 2021 Apr 2.</t>
  </si>
  <si>
    <t>Fukami Y</t>
  </si>
  <si>
    <t>10.1007/s00415-021-10537-2</t>
  </si>
  <si>
    <t>Niemann L, Lezius S, Maceski A, Leppert D, Englisch C, Schwedhelm E, Zeller T, Gerloff C, Kuhle J, Choe CU.</t>
  </si>
  <si>
    <t>Parkinsonism Relat Disord. 2021 Sep;90:44-48. doi: 10.1016/j.parkreldis.2021.07.028. Epub 2021 Jul 29.</t>
  </si>
  <si>
    <t>Niemann L</t>
  </si>
  <si>
    <t>Alagaratnam J, Stöhr W, Toombs J, Heslegrave A, Zetterberg H, Gisslén M, Pett S, Nelson M, Clarke A, Nwokolo N, Johnson MA, Khan M, Hanke T, Kopycinski J, Dorrell L, Fox J, Kinloch S, Underwood J, Pace M, Frater J, Winston A, Fidler S; RIVER trial study group.</t>
  </si>
  <si>
    <t>J Virus Erad. 2021 Sep 14;7(3):100056. doi: 10.1016/j.jve.2021.100056. eCollection 2021 Sep.</t>
  </si>
  <si>
    <t>J Virus Erad</t>
  </si>
  <si>
    <t>PMC8477217</t>
  </si>
  <si>
    <t>O'Brien WT, Pham L, Brady RD, Bain J, Yamakawa GR, Sun M, Mychasiuk R, O'Brien TJ, Monif M, Shultz SR, McDonald SJ.</t>
  </si>
  <si>
    <t>Exp Neurol. 2021 Jul;341:113698. doi: 10.1016/j.expneurol.2021.113698. Epub 2021 Mar 13.</t>
  </si>
  <si>
    <t>O'Brien WT</t>
  </si>
  <si>
    <t>Exp Neurol</t>
  </si>
  <si>
    <t>Darlix A, Hirtz C, Mollevi C, Ginestet N, Tiers L, Jacot W, Lehmann S.</t>
  </si>
  <si>
    <t>Int J Cancer. 2021 Oct 15;149(8):1605-1618. doi: 10.1002/ijc.33724. Epub 2021 Jul 19.</t>
  </si>
  <si>
    <t>Darlix A</t>
  </si>
  <si>
    <t>Adler C, Onur OA, Braumann S, Gramespacher H, Bittner S, Falk S, Fink GR, Baldus S, Warnke C.</t>
  </si>
  <si>
    <t>J Neurol. 2021 Jul 30. doi: 10.1007/s00415-021-10722-3. Online ahead of print.</t>
  </si>
  <si>
    <t>Adler C</t>
  </si>
  <si>
    <t>Mattila OS, Ashton NJ, Blennow K, Zetterberg H, Harve-Rytsälä H, Pihlasviita S, Ritvonen J, Sibolt G, Nukarinen T, Curtze S, Strbian D, Pystynen M, Tatlisumak T, Kuisma M, Lindsberg PJ.</t>
  </si>
  <si>
    <t>Clin Chem. 2021 Oct 1;67(10):1361-1372. doi: 10.1093/clinchem/hvab128.</t>
  </si>
  <si>
    <t>Mattila OS</t>
  </si>
  <si>
    <t>Slow Off-Rate Modified Aptamer (SOMAmer) Proteomic Analysis of Patient-Derived Malignant Glioma Identifies Distinct Cellular Proteomes</t>
  </si>
  <si>
    <t>Serum Proteomics of Older Patients Undergoing Major Cardiac Surgery: Identification of Biomarkers Associated With Postoperative Delirium</t>
  </si>
  <si>
    <t>Comparison of proteomic methods in evaluating biomarker-AKI associations in cardiac surgery patients</t>
  </si>
  <si>
    <t>Replication study of plasma proteins relating to Alzheimer's pathology</t>
  </si>
  <si>
    <t>Validation of Chemokine Biomarkers in Duchenne Muscular Dystrophy</t>
  </si>
  <si>
    <t>Smoking induces sex-specific changes in the small airway proteome</t>
  </si>
  <si>
    <t>The CRTAC1 Protein in Plasma Is Associated With Osteoarthritis and Predicts Progression to Joint Replacement: A Large-Scale Proteomics Scan in Iceland</t>
  </si>
  <si>
    <t>Evolving A RIG-I Antagonist: A Modified DNA Aptamer Mimics Viral RNA</t>
  </si>
  <si>
    <t>Engineering improved ethylene production: Leveraging systems biology and adaptive laboratory evolution</t>
  </si>
  <si>
    <t>Pediatric and adult dilated cardiomyopathy are distinguished by distinct biomarker profiles</t>
  </si>
  <si>
    <t>The Plasma Proteome Fingerprint Associated With Circulating Carotenoids And Retinol In Older Adults</t>
  </si>
  <si>
    <t>Radicava/Edaravone Findings in Biomarkers From Amyotrophic Lateral Sclerosis (REFINE-ALS): Protocol and Study Design</t>
  </si>
  <si>
    <t>Diagnostic accuracy of elastography and magnetic resonance imaging in patients with NAFLD: A systematic review and meta-analysis</t>
  </si>
  <si>
    <t>Cognitive stimulation in the workplace, plasma proteins, and risk of dementia: three analyses of population cohort studies</t>
  </si>
  <si>
    <t>Thanasupawat T, Glogowska A, Pascoe C, Krishnan SN, Munir M, Begum F, Beiko J, Krcek J, Del Bigio MR, Pitz M, Shen Y, Spicer V, Coombs KM, Wilkins J, Hombach-Klonisch S, Klonisch T.</t>
  </si>
  <si>
    <t>Int J Mol Sci. 2021 Sep 3;22(17):9566. doi: 10.3390/ijms22179566.</t>
  </si>
  <si>
    <t>Thanasupawat T</t>
  </si>
  <si>
    <t>PMC8431317</t>
  </si>
  <si>
    <t>Rhee J, Kuznetsov A, McKay T, Lyons M, Houstis N, Mekkonen J, Ethridge B, Ibala R, Hahm E, Gitlin J, Guseh JS, Kitchen R, Rosenzweig A, Shaefi S, Flaczyk A, Qu J, Akeju O.</t>
  </si>
  <si>
    <t>Front Aging Neurosci. 2021 Aug 11;13:699763. doi: 10.3389/fnagi.2021.699763. eCollection 2021.</t>
  </si>
  <si>
    <t>Rhee J</t>
  </si>
  <si>
    <t>PMC8386117</t>
  </si>
  <si>
    <t>Liu RX, Thiessen-Philbrook HR, Vasan RS, Coresh J, Ganz P, Bonventre JV, Kimmel PL, Parikh CR.</t>
  </si>
  <si>
    <t>Transl Res. 2021 Dec;238:49-62. doi: 10.1016/j.trsl.2021.07.005. Epub 2021 Jul 31.</t>
  </si>
  <si>
    <t>Liu RX</t>
  </si>
  <si>
    <t>PMC8572170</t>
  </si>
  <si>
    <t>NIHMS1731251</t>
  </si>
  <si>
    <t>Shi L, Winchester LM, Westwood S, Baird AL, Anand SN, Buckley NJ, Hye A, Ashton NJ, Bos I, Vos SJB, Kate MT, Scheltens P, Teunissen CE, Vandenberghe R, Gabel S, Meersmans K, Engelborghs S, De Roeck EE, Sleegers K, Frisoni GB, Blin O, Richardson JC, Bordet R, Molinuevo JL, Rami L, Wallin A, Kettunen P, Tsolaki M, Verhey F, Lléo A, Sala I, Popp J, Peyratout G, Martinez-Lage P, Tainta M, Johannsen P, Freund-Levi Y, Frölich L, Dobricic V, Legido-Quigley C, Barkhof F, Andreasson U, Blennow K, Zetterberg H, Streffer J, Lill CM, Bertram L, Visser PJ, Kolb HC, Narayan VA, Lovestone S, Nevado-Holgado AJ.</t>
  </si>
  <si>
    <t>Alzheimers Dement. 2021 Sep;17(9):1452-1464. doi: 10.1002/alz.12322. Epub 2021 Mar 31.</t>
  </si>
  <si>
    <t>Shi L</t>
  </si>
  <si>
    <t>Ogundele M, Zhang JS, Goswami MV, Barbieri ML, Dang UJ, Novak JS, Hoffman EP, Nagaraju K, Cinrg-Dnhs Investigators, Hathout Y.</t>
  </si>
  <si>
    <t>Life (Basel). 2021 Aug 13;11(8):827. doi: 10.3390/life11080827.</t>
  </si>
  <si>
    <t>Ogundele M</t>
  </si>
  <si>
    <t>Life (Basel)</t>
  </si>
  <si>
    <t>PMC8401931</t>
  </si>
  <si>
    <t>Kokelj S, Östling J, Georgi B, Fromell K, Ekdahl KN, Olsson HK, Olin AC.</t>
  </si>
  <si>
    <t>Respir Res. 2021 Aug 24;22(1):234. doi: 10.1186/s12931-021-01825-6.</t>
  </si>
  <si>
    <t>Kokelj S</t>
  </si>
  <si>
    <t>PMC8385797</t>
  </si>
  <si>
    <t>Styrkarsdottir U, Lund SH, Saevarsdottir S, Magnusson MI, Gunnarsdottir K, Norddahl GL, Frigge ML, Ivarsdottir EV, Bjornsdottir G, Holm H, Thorgeirsson G, Rafnar T, Jonsdottir I, Ingvarsson T, Jonsson H, Sulem P, Thorsteinsdottir U, Gudbjartsson D, Stefansson K.</t>
  </si>
  <si>
    <t>Arthritis Rheumatol. 2021 Nov;73(11):2025-2034. doi: 10.1002/art.41793. Epub 2021 Sep 28.</t>
  </si>
  <si>
    <t>PMC8596997</t>
  </si>
  <si>
    <t>Ren X, Gelinas AD, Linehan M, Iwasaki A, Wang W, Janjic N, Pyle AM.</t>
  </si>
  <si>
    <t>J Mol Biol. 2021 Oct 15;433(21):167227. doi: 10.1016/j.jmb.2021.167227. Epub 2021 Sep 3.</t>
  </si>
  <si>
    <t>Ren X</t>
  </si>
  <si>
    <t>J Mol Biol</t>
  </si>
  <si>
    <t>Vaud S, Pearcy N, Hanževački M, Van Hagen AMW, Abdelrazig S, Safo L, Ehsaan M, Jonczyk M, Millat T, Craig S, Spence E, Fothergill J, Bommareddy RR, Colin PY, Twycross J, Dalby PA, Minton NP, Jäger CM, Kim DH, Yu J, Maness PC, Lynch S, Eckert CA, Conradie A, Bryan SJ.</t>
  </si>
  <si>
    <t>Metab Eng. 2021 Sep;67:308-320. doi: 10.1016/j.ymben.2021.07.001. Epub 2021 Jul 7.</t>
  </si>
  <si>
    <t>Vaud S</t>
  </si>
  <si>
    <t>Metab Eng</t>
  </si>
  <si>
    <t>Gropler MRF, Lipshultz SE, Wilkinson JD, Towbin JA, Colan SD, Canter CE, Lavine KJ, Simpson KE.</t>
  </si>
  <si>
    <t>Pediatr Res. 2021 Aug 17. doi: 10.1038/s41390-021-01698-x. Online ahead of print.</t>
  </si>
  <si>
    <t>Gropler MRF</t>
  </si>
  <si>
    <t>Yamaguchi Y, Zampino M, Tanaka T, Bandinelli S, Moaddel R, Fantoni G, Candia J, Ferrucci L, Semba RD.</t>
  </si>
  <si>
    <t>J Nutr. 2021 Sep 22:nxab340. doi: 10.1093/jn/nxab340. Online ahead of print.</t>
  </si>
  <si>
    <t>Yamaguchi Y</t>
  </si>
  <si>
    <t>J Nutr</t>
  </si>
  <si>
    <t>Berry J, Brooks B, Genge A, Heiman-Patterson T, Appel S, Benatar M, Bowser R, Cudkowicz M, Gooch C, Shefner J, Westra J, Agnese W, Merrill C, Nelson S, Apple S.</t>
  </si>
  <si>
    <t>Neurol Clin Pract. 2021 Aug;11(4):e472-e479. doi: 10.1212/CPJ.0000000000000968.</t>
  </si>
  <si>
    <t>Berry J</t>
  </si>
  <si>
    <t>Neurol Clin Pract</t>
  </si>
  <si>
    <t>PMC8382414</t>
  </si>
  <si>
    <t>Alzheimers Dement. 2021 Aug 2. doi: 10.1002/alz.12419. Online ahead of print.</t>
  </si>
  <si>
    <t>Selvaraj EA, Mózes FE, Jayaswal ANA, Zafarmand MH, Vali Y, Lee JA, Levick CK, Young LAJ, Palaniyappan N, Liu CH, Aithal GP, Romero-Gómez M, Brosnan MJ, Tuthill TA, Anstee QM, Neubauer S, Harrison SA, Bossuyt PM, Pavlides M; LITMUS Investigators.</t>
  </si>
  <si>
    <t>J Hepatol. 2021 Oct;75(4):770-785. doi: 10.1016/j.jhep.2021.04.044. Epub 2021 May 13.</t>
  </si>
  <si>
    <t>Selvaraj EA</t>
  </si>
  <si>
    <t>J Hepatol</t>
  </si>
  <si>
    <t>Kivimäki M, Walker KA, Pentti J, Nyberg ST, Mars N, Vahtera J, Suominen SB, Lallukka T, Rahkonen O, Pietiläinen O, Koskinen A, Väänänen A, Kalsi JK, Goldberg M, Zins M, Alfredsson L, Westerholm PJM, Knutsson A, Theorell T, Ervasti J, Oksanen T, Sipilä PN, Tabak AG, Ferrie JE, Williams SA, Livingston G, Gottesman RF, Singh-Manoux A, Zetterberg H, Lindbohm JV.</t>
  </si>
  <si>
    <t>BMJ. 2021 Aug 18;374:n1804. doi: 10.1136/bmj.n1804.</t>
  </si>
  <si>
    <t>Kivimäki M</t>
  </si>
  <si>
    <t>BMJ</t>
  </si>
  <si>
    <t>PMC8372196</t>
  </si>
  <si>
    <t>10.3390/ijms22179566</t>
  </si>
  <si>
    <t>10.3389/fnagi.2021.699763</t>
  </si>
  <si>
    <t>10.1016/j.trsl.2021.07.005</t>
  </si>
  <si>
    <t>10.1002/alz.12322</t>
  </si>
  <si>
    <t>10.3390/life11080827</t>
  </si>
  <si>
    <t>10.1186/s12931-021-01825-6</t>
  </si>
  <si>
    <t>10.1002/art.41793</t>
  </si>
  <si>
    <t>10.1016/j.jmb.2021.167227</t>
  </si>
  <si>
    <t>10.1016/j.ymben.2021.07.001</t>
  </si>
  <si>
    <t>10.1038/s41390-021-01698-x</t>
  </si>
  <si>
    <t>10.1093/jn/nxab340</t>
  </si>
  <si>
    <t>10.1212/CPJ.0000000000000968</t>
  </si>
  <si>
    <t>10.1016/j.jhep.2021.04.044</t>
  </si>
  <si>
    <t>10.1136/bmj.n1804</t>
  </si>
  <si>
    <t>Cardiovascular / Neurology</t>
  </si>
  <si>
    <t xml:space="preserve">Respiratory </t>
  </si>
  <si>
    <t xml:space="preserve">Aptamer Design </t>
  </si>
  <si>
    <t>Cardiometobolic</t>
  </si>
  <si>
    <t xml:space="preserve">Cardio Metabolic </t>
  </si>
  <si>
    <t xml:space="preserve">General Health / Nuerolofy </t>
  </si>
  <si>
    <t xml:space="preserve"> n/a</t>
  </si>
  <si>
    <t xml:space="preserve">n/a (sample analysis already done) </t>
  </si>
  <si>
    <t>85,39,4,2,5</t>
  </si>
  <si>
    <t xml:space="preserve">13 panel was previously known to be of interest, looked at full assay for associations </t>
  </si>
  <si>
    <t xml:space="preserve">Comparison with SomaLogic and Immunoassays, found good correlation but it was stronger with higher concentrations </t>
  </si>
  <si>
    <t>Muscoskeletal</t>
  </si>
  <si>
    <t xml:space="preserve">Matching older SomaScan data and confirming it with MSD; results were found to stand with both analysis </t>
  </si>
  <si>
    <t>Affiliated</t>
  </si>
  <si>
    <t>Affiliated, but not relevant</t>
  </si>
  <si>
    <t xml:space="preserve">Used alongside a methylation tehcnology (EpiSwitch) </t>
  </si>
  <si>
    <t>Affiliated, technology not used</t>
  </si>
  <si>
    <t xml:space="preserve">1.3k </t>
  </si>
  <si>
    <t>4.7k</t>
  </si>
  <si>
    <t>3.6k</t>
  </si>
  <si>
    <t>Analytics</t>
  </si>
  <si>
    <t>1-5</t>
  </si>
  <si>
    <t>6-10</t>
  </si>
  <si>
    <t>11-50</t>
  </si>
  <si>
    <t>50-100</t>
  </si>
  <si>
    <t>100+</t>
  </si>
  <si>
    <t>Not Mentioned</t>
  </si>
  <si>
    <t xml:space="preserve"> IL6, IL8, IL-10, FGF-21, FGF-23, ST1A1, MCP-1, 4E-BP1, and CST5</t>
  </si>
  <si>
    <t>CXCL9, MEPE</t>
  </si>
  <si>
    <t>Eotaxin,Eotaxin-2,Eotaxin-3,IL-8,IP-10,MCP-1,MCP-2,MCP-3,MCP-4,MDC,MIP-1?,MIP-1?,TARC,IL-8</t>
  </si>
  <si>
    <t>adm,thbs2,rarres2,fabp4,plc,lep,Il-1ra,p3np,pai,igfbp1,igfbp2,pon3,hgf,ctsd,IL18r1,ctsb,IL6,tnfrsf11a,ccl16,cd8a,troponin T,Tumor necrosis factor receptor superfamily member-6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</si>
</sst>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8" x14ac:knownFonts="1">
    <font>
      <sz val="12"/>
      <color theme="1"/>
      <name val="Calibri"/>
      <family val="2"/>
      <scheme val="minor"/>
    </font>
    <font>
      <sz val="12"/>
      <name val="Calibri"/>
      <family val="2"/>
      <scheme val="minor"/>
    </font>
    <font>
      <sz val="8"/>
      <name val="Calibri"/>
      <family val="2"/>
      <scheme val="minor"/>
    </font>
    <font>
      <sz val="12"/>
      <color rgb="FF000000"/>
      <name val="Calibri"/>
      <family val="2"/>
      <scheme val="minor"/>
    </font>
    <font>
      <sz val="11"/>
      <color theme="1"/>
      <name val="Calibri"/>
      <family val="2"/>
      <scheme val="minor"/>
    </font>
    <font>
      <sz val="11"/>
      <color rgb="FF212121"/>
      <name val="Roboto"/>
    </font>
    <font>
      <u/>
      <sz val="12"/>
      <color theme="10"/>
      <name val="Calibri"/>
      <family val="2"/>
      <scheme val="minor"/>
    </font>
    <font>
      <sz val="12"/>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E2EFDA"/>
        <bgColor rgb="FF000000"/>
      </patternFill>
    </fill>
  </fills>
  <borders count="1">
    <border>
      <left/>
      <right/>
      <top/>
      <bottom/>
      <diagonal/>
    </border>
  </borders>
  <cellStyleXfs count="4">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44">
    <xf numFmtId="0" fontId="0" fillId="0" borderId="0" xfId="0"/>
    <xf numFmtId="0" fontId="1" fillId="0" borderId="0" xfId="0" applyFont="1"/>
    <xf numFmtId="14" fontId="0" fillId="0" borderId="0" xfId="0" applyNumberFormat="1"/>
    <xf numFmtId="49" fontId="1" fillId="0" borderId="0" xfId="0" applyNumberFormat="1" applyFont="1"/>
    <xf numFmtId="0" fontId="0" fillId="2" borderId="0" xfId="0" applyFill="1"/>
    <xf numFmtId="0" fontId="1" fillId="2" borderId="0" xfId="0" applyFont="1" applyFill="1"/>
    <xf numFmtId="14" fontId="0" fillId="2" borderId="0" xfId="0" applyNumberFormat="1" applyFill="1"/>
    <xf numFmtId="0" fontId="0" fillId="3" borderId="0" xfId="0" applyFill="1"/>
    <xf numFmtId="0" fontId="1" fillId="3" borderId="0" xfId="0" applyFont="1" applyFill="1"/>
    <xf numFmtId="14" fontId="0" fillId="3" borderId="0" xfId="0" applyNumberFormat="1" applyFill="1"/>
    <xf numFmtId="0" fontId="0" fillId="2" borderId="0" xfId="0" applyFill="1" applyAlignment="1">
      <alignment horizontal="center"/>
    </xf>
    <xf numFmtId="1" fontId="0" fillId="0" borderId="0" xfId="0" applyNumberFormat="1"/>
    <xf numFmtId="0" fontId="3" fillId="0" borderId="0" xfId="0" applyFont="1"/>
    <xf numFmtId="14" fontId="3" fillId="0" borderId="0" xfId="0" applyNumberFormat="1" applyFont="1"/>
    <xf numFmtId="0" fontId="3" fillId="2" borderId="0" xfId="0" applyFont="1" applyFill="1"/>
    <xf numFmtId="14" fontId="3" fillId="2" borderId="0" xfId="0" applyNumberFormat="1" applyFont="1" applyFill="1"/>
    <xf numFmtId="0" fontId="0" fillId="4" borderId="0" xfId="0" applyFill="1"/>
    <xf numFmtId="0" fontId="4" fillId="0" borderId="0" xfId="0" applyFont="1"/>
    <xf numFmtId="14" fontId="0" fillId="4" borderId="0" xfId="0" applyNumberFormat="1" applyFill="1"/>
    <xf numFmtId="0" fontId="1" fillId="4" borderId="0" xfId="0" applyFont="1" applyFill="1"/>
    <xf numFmtId="1" fontId="1" fillId="0" borderId="0" xfId="0" applyNumberFormat="1" applyFont="1"/>
    <xf numFmtId="0" fontId="0" fillId="5" borderId="0" xfId="0" applyFill="1"/>
    <xf numFmtId="14" fontId="0" fillId="5" borderId="0" xfId="0" applyNumberFormat="1" applyFill="1"/>
    <xf numFmtId="1" fontId="3" fillId="0" borderId="0" xfId="0" applyNumberFormat="1" applyFont="1"/>
    <xf numFmtId="0" fontId="3" fillId="6" borderId="0" xfId="0" applyFont="1" applyFill="1"/>
    <xf numFmtId="3" fontId="0" fillId="0" borderId="0" xfId="0" applyNumberFormat="1"/>
    <xf numFmtId="3" fontId="3" fillId="6" borderId="0" xfId="0" applyNumberFormat="1" applyFont="1" applyFill="1"/>
    <xf numFmtId="1" fontId="3" fillId="6" borderId="0" xfId="0" applyNumberFormat="1" applyFont="1" applyFill="1"/>
    <xf numFmtId="14" fontId="3" fillId="6" borderId="0" xfId="0" applyNumberFormat="1" applyFont="1" applyFill="1"/>
    <xf numFmtId="0" fontId="1" fillId="6" borderId="0" xfId="0" applyFont="1" applyFill="1"/>
    <xf numFmtId="14" fontId="1" fillId="0" borderId="0" xfId="0" applyNumberFormat="1" applyFont="1"/>
    <xf numFmtId="1" fontId="1" fillId="6" borderId="0" xfId="0" applyNumberFormat="1" applyFont="1" applyFill="1"/>
    <xf numFmtId="14" fontId="1" fillId="6" borderId="0" xfId="0" applyNumberFormat="1" applyFont="1" applyFill="1"/>
    <xf numFmtId="49" fontId="0" fillId="0" borderId="0" xfId="0" applyNumberFormat="1"/>
    <xf numFmtId="1" fontId="0" fillId="4" borderId="0" xfId="0" applyNumberFormat="1" applyFill="1"/>
    <xf numFmtId="0" fontId="6" fillId="0" borderId="0" xfId="1"/>
    <xf numFmtId="16" fontId="0" fillId="0" borderId="0" xfId="0" applyNumberFormat="1"/>
    <xf numFmtId="3" fontId="3" fillId="0" borderId="0" xfId="0" applyNumberFormat="1" applyFont="1"/>
    <xf numFmtId="0" fontId="0" fillId="0" borderId="0" xfId="0" applyAlignment="1">
      <alignment horizontal="right"/>
    </xf>
    <xf numFmtId="49" fontId="0" fillId="0" borderId="0" xfId="0" applyNumberFormat="1" applyAlignment="1">
      <alignment horizontal="right"/>
    </xf>
    <xf numFmtId="0" fontId="0" fillId="0" borderId="0" xfId="0" applyAlignment="1">
      <alignment horizontal="center"/>
    </xf>
    <xf numFmtId="164" fontId="0" fillId="0" borderId="0" xfId="2" applyNumberFormat="1" applyFont="1"/>
    <xf numFmtId="9" fontId="0" fillId="0" borderId="0" xfId="3" applyFont="1"/>
    <xf numFmtId="165" fontId="0" fillId="0" borderId="0" xfId="3" applyNumberFormat="1" applyFont="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mc/articles/PMC8518248/table/Tab3/" TargetMode="External"/><Relationship Id="rId2" Type="http://schemas.openxmlformats.org/officeDocument/2006/relationships/hyperlink" Target="https://onlinelibrary.wiley.com/doi/abs/10.1002/art.41899" TargetMode="External"/><Relationship Id="rId1" Type="http://schemas.openxmlformats.org/officeDocument/2006/relationships/hyperlink" Target="https://www.ncbi.nlm.nih.gov/pmc/articles/PMC85776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D23B-74F0-F94C-B0CA-D321EA2DCF6F}">
  <dimension ref="A1:AA754"/>
  <sheetViews>
    <sheetView tabSelected="1" topLeftCell="C630" workbookViewId="0">
      <selection activeCell="K642" sqref="K642"/>
    </sheetView>
  </sheetViews>
  <sheetFormatPr defaultColWidth="11.19921875" defaultRowHeight="15.6" x14ac:dyDescent="0.3"/>
  <sheetData>
    <row r="1" spans="1:27" x14ac:dyDescent="0.3">
      <c r="A1" t="s">
        <v>1349</v>
      </c>
      <c r="B1" t="s">
        <v>1348</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Y1" t="s">
        <v>21</v>
      </c>
      <c r="Z1" s="40">
        <v>96</v>
      </c>
      <c r="AA1" s="40">
        <v>48</v>
      </c>
    </row>
    <row r="2" spans="1:27" x14ac:dyDescent="0.3">
      <c r="A2" t="s">
        <v>1350</v>
      </c>
      <c r="B2" t="s">
        <v>1351</v>
      </c>
      <c r="C2">
        <v>36017745</v>
      </c>
      <c r="D2" t="s">
        <v>22</v>
      </c>
      <c r="E2" s="1">
        <v>0</v>
      </c>
      <c r="F2" s="1" t="s">
        <v>23</v>
      </c>
      <c r="G2" s="1">
        <v>3402</v>
      </c>
      <c r="H2" s="1">
        <v>1283</v>
      </c>
      <c r="I2" s="1">
        <v>9</v>
      </c>
      <c r="J2" s="1">
        <v>6</v>
      </c>
      <c r="K2" s="1" t="s">
        <v>24</v>
      </c>
      <c r="L2" s="1">
        <v>1</v>
      </c>
      <c r="M2" s="1" t="s">
        <v>25</v>
      </c>
      <c r="N2" s="1" t="s">
        <v>26</v>
      </c>
      <c r="O2" t="s">
        <v>27</v>
      </c>
      <c r="P2" t="s">
        <v>28</v>
      </c>
      <c r="Q2" t="s">
        <v>29</v>
      </c>
      <c r="R2" t="s">
        <v>30</v>
      </c>
      <c r="S2">
        <v>2022</v>
      </c>
      <c r="T2" s="2">
        <v>44799</v>
      </c>
      <c r="U2" t="s">
        <v>31</v>
      </c>
      <c r="W2" t="s">
        <v>32</v>
      </c>
      <c r="Y2">
        <f>IFERROR(L2*G2,"N/A")</f>
        <v>3402</v>
      </c>
      <c r="Z2">
        <f>IFERROR(ROUNDDOWN(Y2/96,0),"")</f>
        <v>35</v>
      </c>
      <c r="AA2">
        <f>IFERROR(ROUNDDOWN((MOD(Y2,96)/48),0),"")</f>
        <v>0</v>
      </c>
    </row>
    <row r="3" spans="1:27" x14ac:dyDescent="0.3">
      <c r="A3" t="s">
        <v>1350</v>
      </c>
      <c r="B3" t="s">
        <v>1351</v>
      </c>
      <c r="C3">
        <v>36049813</v>
      </c>
      <c r="D3" t="s">
        <v>33</v>
      </c>
      <c r="E3" s="1">
        <v>0</v>
      </c>
      <c r="F3" t="s">
        <v>34</v>
      </c>
      <c r="G3">
        <v>2587</v>
      </c>
      <c r="H3">
        <v>363</v>
      </c>
      <c r="I3" s="1">
        <v>113</v>
      </c>
      <c r="J3" s="1">
        <v>10</v>
      </c>
      <c r="K3" s="1" t="s">
        <v>35</v>
      </c>
      <c r="L3">
        <v>4</v>
      </c>
      <c r="M3" t="s">
        <v>36</v>
      </c>
      <c r="N3" t="s">
        <v>37</v>
      </c>
      <c r="O3" t="s">
        <v>38</v>
      </c>
      <c r="P3" t="s">
        <v>39</v>
      </c>
      <c r="Q3" t="s">
        <v>40</v>
      </c>
      <c r="R3" t="s">
        <v>41</v>
      </c>
      <c r="S3">
        <v>2022</v>
      </c>
      <c r="T3" s="2">
        <v>44805</v>
      </c>
      <c r="W3" t="s">
        <v>42</v>
      </c>
      <c r="Y3">
        <f t="shared" ref="Y3:Y66" si="0">IFERROR(L3*G3,"N/A")</f>
        <v>10348</v>
      </c>
      <c r="Z3">
        <f t="shared" ref="Z3:Z66" si="1">IFERROR(ROUNDDOWN(Y3/96,0),"")</f>
        <v>107</v>
      </c>
      <c r="AA3">
        <f t="shared" ref="AA3:AA66" si="2">IFERROR(ROUNDDOWN((MOD(Y3,96)/48),0),"")</f>
        <v>1</v>
      </c>
    </row>
    <row r="4" spans="1:27" ht="21" customHeight="1" x14ac:dyDescent="0.3">
      <c r="A4" t="s">
        <v>1350</v>
      </c>
      <c r="B4" t="s">
        <v>1351</v>
      </c>
      <c r="C4">
        <v>36991119</v>
      </c>
      <c r="D4" t="s">
        <v>43</v>
      </c>
      <c r="E4" s="1">
        <v>0</v>
      </c>
      <c r="F4" s="1" t="s">
        <v>44</v>
      </c>
      <c r="G4" s="1">
        <v>4822</v>
      </c>
      <c r="J4" s="1"/>
      <c r="L4" s="1">
        <v>1</v>
      </c>
      <c r="M4" s="1"/>
      <c r="N4" s="1" t="s">
        <v>45</v>
      </c>
      <c r="O4" t="s">
        <v>46</v>
      </c>
      <c r="P4" t="s">
        <v>47</v>
      </c>
      <c r="Q4" t="s">
        <v>48</v>
      </c>
      <c r="R4" t="s">
        <v>49</v>
      </c>
      <c r="S4">
        <v>2023</v>
      </c>
      <c r="T4" s="2">
        <v>45014</v>
      </c>
      <c r="W4" t="s">
        <v>50</v>
      </c>
      <c r="Y4">
        <f t="shared" si="0"/>
        <v>4822</v>
      </c>
      <c r="Z4">
        <f t="shared" si="1"/>
        <v>50</v>
      </c>
      <c r="AA4">
        <f t="shared" si="2"/>
        <v>0</v>
      </c>
    </row>
    <row r="5" spans="1:27" x14ac:dyDescent="0.3">
      <c r="A5" t="s">
        <v>1350</v>
      </c>
      <c r="B5" t="s">
        <v>1351</v>
      </c>
      <c r="C5">
        <v>36474941</v>
      </c>
      <c r="D5" t="s">
        <v>52</v>
      </c>
      <c r="E5" s="1">
        <v>0</v>
      </c>
      <c r="F5" s="1" t="s">
        <v>44</v>
      </c>
      <c r="G5" s="1">
        <v>790</v>
      </c>
      <c r="H5" s="1">
        <v>92</v>
      </c>
      <c r="I5" s="1"/>
      <c r="J5" s="1"/>
      <c r="K5" s="1"/>
      <c r="L5">
        <v>1</v>
      </c>
      <c r="M5" t="s">
        <v>53</v>
      </c>
      <c r="N5" s="1" t="s">
        <v>54</v>
      </c>
      <c r="O5" t="s">
        <v>55</v>
      </c>
      <c r="P5" t="s">
        <v>56</v>
      </c>
      <c r="Q5" t="s">
        <v>57</v>
      </c>
      <c r="R5" t="s">
        <v>58</v>
      </c>
      <c r="S5">
        <v>2022</v>
      </c>
      <c r="T5" s="2">
        <v>44902</v>
      </c>
      <c r="U5" t="s">
        <v>59</v>
      </c>
      <c r="W5" t="s">
        <v>60</v>
      </c>
      <c r="Y5">
        <f t="shared" si="0"/>
        <v>790</v>
      </c>
      <c r="Z5">
        <f t="shared" si="1"/>
        <v>8</v>
      </c>
      <c r="AA5">
        <f t="shared" si="2"/>
        <v>0</v>
      </c>
    </row>
    <row r="6" spans="1:27" x14ac:dyDescent="0.3">
      <c r="A6" t="s">
        <v>1350</v>
      </c>
      <c r="B6" t="s">
        <v>1351</v>
      </c>
      <c r="C6">
        <v>36376783</v>
      </c>
      <c r="D6" t="s">
        <v>61</v>
      </c>
      <c r="E6" s="1">
        <v>0</v>
      </c>
      <c r="F6" s="1" t="s">
        <v>44</v>
      </c>
      <c r="G6" s="1">
        <v>12</v>
      </c>
      <c r="H6" s="1">
        <v>92</v>
      </c>
      <c r="I6" s="1"/>
      <c r="J6" s="1"/>
      <c r="K6" s="1"/>
      <c r="L6" s="1">
        <v>1</v>
      </c>
      <c r="M6" s="1" t="s">
        <v>62</v>
      </c>
      <c r="N6" s="1" t="s">
        <v>63</v>
      </c>
      <c r="O6" t="s">
        <v>64</v>
      </c>
      <c r="P6" t="s">
        <v>65</v>
      </c>
      <c r="Q6" t="s">
        <v>66</v>
      </c>
      <c r="R6" t="s">
        <v>67</v>
      </c>
      <c r="S6">
        <v>2022</v>
      </c>
      <c r="T6" s="2">
        <v>44880</v>
      </c>
      <c r="U6" t="s">
        <v>68</v>
      </c>
      <c r="W6" t="s">
        <v>69</v>
      </c>
      <c r="Y6">
        <f t="shared" si="0"/>
        <v>12</v>
      </c>
      <c r="Z6">
        <f t="shared" si="1"/>
        <v>0</v>
      </c>
      <c r="AA6">
        <f t="shared" si="2"/>
        <v>0</v>
      </c>
    </row>
    <row r="7" spans="1:27" x14ac:dyDescent="0.3">
      <c r="A7" t="s">
        <v>1350</v>
      </c>
      <c r="B7" t="s">
        <v>1351</v>
      </c>
      <c r="C7">
        <v>36301636</v>
      </c>
      <c r="D7" t="s">
        <v>70</v>
      </c>
      <c r="E7" s="1">
        <v>0</v>
      </c>
      <c r="F7" s="1" t="s">
        <v>71</v>
      </c>
      <c r="G7" s="1">
        <v>30</v>
      </c>
      <c r="H7" s="1">
        <v>92</v>
      </c>
      <c r="I7" s="1">
        <v>28</v>
      </c>
      <c r="J7" s="3" t="s">
        <v>72</v>
      </c>
      <c r="K7" s="1" t="s">
        <v>73</v>
      </c>
      <c r="L7" s="1">
        <v>1</v>
      </c>
      <c r="M7" s="1" t="s">
        <v>53</v>
      </c>
      <c r="N7" s="1" t="s">
        <v>74</v>
      </c>
      <c r="O7" t="s">
        <v>75</v>
      </c>
      <c r="P7" t="s">
        <v>76</v>
      </c>
      <c r="Q7" t="s">
        <v>77</v>
      </c>
      <c r="R7" t="s">
        <v>78</v>
      </c>
      <c r="S7">
        <v>2022</v>
      </c>
      <c r="T7" s="2">
        <v>44861</v>
      </c>
      <c r="U7" t="s">
        <v>79</v>
      </c>
      <c r="W7" t="s">
        <v>80</v>
      </c>
      <c r="Y7">
        <f>IFERROR(L7*G7,"N/A")</f>
        <v>30</v>
      </c>
      <c r="Z7">
        <f t="shared" si="1"/>
        <v>0</v>
      </c>
      <c r="AA7">
        <f t="shared" si="2"/>
        <v>0</v>
      </c>
    </row>
    <row r="8" spans="1:27" x14ac:dyDescent="0.3">
      <c r="A8" t="s">
        <v>1350</v>
      </c>
      <c r="B8" t="s">
        <v>1351</v>
      </c>
      <c r="C8" s="4">
        <v>36959545</v>
      </c>
      <c r="D8" s="4" t="s">
        <v>81</v>
      </c>
      <c r="E8" s="5">
        <v>0</v>
      </c>
      <c r="F8" s="5" t="s">
        <v>82</v>
      </c>
      <c r="G8" s="5">
        <v>50</v>
      </c>
      <c r="H8" s="5">
        <v>3000</v>
      </c>
      <c r="I8" s="5">
        <v>8</v>
      </c>
      <c r="J8" s="5">
        <v>2</v>
      </c>
      <c r="K8" s="5" t="s">
        <v>83</v>
      </c>
      <c r="L8" s="5">
        <v>1</v>
      </c>
      <c r="M8" s="5" t="s">
        <v>84</v>
      </c>
      <c r="N8" s="5" t="s">
        <v>85</v>
      </c>
      <c r="O8" s="4" t="s">
        <v>86</v>
      </c>
      <c r="P8" s="4" t="s">
        <v>87</v>
      </c>
      <c r="Q8" s="4" t="s">
        <v>88</v>
      </c>
      <c r="R8" s="4" t="s">
        <v>67</v>
      </c>
      <c r="S8" s="4">
        <v>2023</v>
      </c>
      <c r="T8" s="6">
        <v>45009</v>
      </c>
      <c r="U8" s="4" t="s">
        <v>89</v>
      </c>
      <c r="V8" s="4"/>
      <c r="W8" s="4" t="s">
        <v>90</v>
      </c>
      <c r="Y8">
        <f>IFERROR(L8*G8,"N/A")</f>
        <v>50</v>
      </c>
      <c r="Z8">
        <f t="shared" si="1"/>
        <v>0</v>
      </c>
      <c r="AA8">
        <f t="shared" si="2"/>
        <v>1</v>
      </c>
    </row>
    <row r="9" spans="1:27" x14ac:dyDescent="0.3">
      <c r="A9" t="s">
        <v>1350</v>
      </c>
      <c r="B9" t="s">
        <v>1351</v>
      </c>
      <c r="C9">
        <v>37033920</v>
      </c>
      <c r="D9" t="s">
        <v>91</v>
      </c>
      <c r="E9" s="1">
        <v>0</v>
      </c>
      <c r="F9" s="1" t="s">
        <v>92</v>
      </c>
      <c r="G9" s="1">
        <v>13</v>
      </c>
      <c r="H9" s="1">
        <v>92</v>
      </c>
      <c r="I9" s="1">
        <v>39</v>
      </c>
      <c r="J9" s="1"/>
      <c r="K9" s="1" t="s">
        <v>93</v>
      </c>
      <c r="L9" s="1">
        <v>1</v>
      </c>
      <c r="M9" s="1" t="s">
        <v>94</v>
      </c>
      <c r="N9" s="1" t="s">
        <v>95</v>
      </c>
      <c r="O9" t="s">
        <v>96</v>
      </c>
      <c r="P9" t="s">
        <v>97</v>
      </c>
      <c r="Q9" t="s">
        <v>98</v>
      </c>
      <c r="R9" t="s">
        <v>99</v>
      </c>
      <c r="S9">
        <v>2023</v>
      </c>
      <c r="T9" s="2">
        <v>45026</v>
      </c>
      <c r="U9" t="s">
        <v>100</v>
      </c>
      <c r="W9" t="s">
        <v>101</v>
      </c>
      <c r="Y9">
        <f t="shared" si="0"/>
        <v>13</v>
      </c>
      <c r="Z9">
        <f t="shared" si="1"/>
        <v>0</v>
      </c>
      <c r="AA9">
        <f t="shared" si="2"/>
        <v>0</v>
      </c>
    </row>
    <row r="10" spans="1:27" x14ac:dyDescent="0.3">
      <c r="A10" t="s">
        <v>1350</v>
      </c>
      <c r="B10" t="s">
        <v>1351</v>
      </c>
      <c r="C10" s="4">
        <v>36061370</v>
      </c>
      <c r="D10" s="4" t="s">
        <v>102</v>
      </c>
      <c r="E10" s="5">
        <v>0</v>
      </c>
      <c r="F10" s="5" t="s">
        <v>44</v>
      </c>
      <c r="G10" s="5">
        <v>446</v>
      </c>
      <c r="H10" s="5">
        <v>1</v>
      </c>
      <c r="I10" s="5"/>
      <c r="J10" s="5"/>
      <c r="K10" s="5" t="s">
        <v>103</v>
      </c>
      <c r="L10" s="5">
        <v>1</v>
      </c>
      <c r="M10" s="5"/>
      <c r="N10" s="5" t="s">
        <v>104</v>
      </c>
      <c r="O10" s="4" t="s">
        <v>105</v>
      </c>
      <c r="P10" s="4" t="s">
        <v>106</v>
      </c>
      <c r="Q10" s="4" t="s">
        <v>107</v>
      </c>
      <c r="R10" s="4" t="s">
        <v>108</v>
      </c>
      <c r="S10" s="4">
        <v>2022</v>
      </c>
      <c r="T10" s="6">
        <v>44809</v>
      </c>
      <c r="U10" s="4" t="s">
        <v>109</v>
      </c>
      <c r="V10" s="4"/>
      <c r="W10" s="4" t="s">
        <v>110</v>
      </c>
      <c r="Y10">
        <f t="shared" si="0"/>
        <v>446</v>
      </c>
      <c r="Z10">
        <f t="shared" si="1"/>
        <v>4</v>
      </c>
      <c r="AA10">
        <f t="shared" si="2"/>
        <v>1</v>
      </c>
    </row>
    <row r="11" spans="1:27" x14ac:dyDescent="0.3">
      <c r="A11" t="s">
        <v>1350</v>
      </c>
      <c r="B11" t="s">
        <v>1351</v>
      </c>
      <c r="C11">
        <v>36301025</v>
      </c>
      <c r="D11" t="s">
        <v>111</v>
      </c>
      <c r="E11" s="1">
        <v>0</v>
      </c>
      <c r="F11" s="1" t="s">
        <v>112</v>
      </c>
      <c r="G11" s="1">
        <v>233</v>
      </c>
      <c r="H11" s="1">
        <v>1</v>
      </c>
      <c r="I11" s="1">
        <v>1</v>
      </c>
      <c r="J11" s="1">
        <v>0</v>
      </c>
      <c r="K11" s="1" t="s">
        <v>113</v>
      </c>
      <c r="L11" s="1">
        <v>3</v>
      </c>
      <c r="M11" s="1" t="s">
        <v>114</v>
      </c>
      <c r="N11" s="1" t="s">
        <v>115</v>
      </c>
      <c r="O11" t="s">
        <v>116</v>
      </c>
      <c r="P11" t="s">
        <v>117</v>
      </c>
      <c r="Q11" t="s">
        <v>118</v>
      </c>
      <c r="R11" t="s">
        <v>119</v>
      </c>
      <c r="S11">
        <v>2022</v>
      </c>
      <c r="T11" s="2">
        <v>44861</v>
      </c>
      <c r="U11" t="s">
        <v>120</v>
      </c>
      <c r="W11" t="s">
        <v>121</v>
      </c>
      <c r="Y11">
        <f t="shared" si="0"/>
        <v>699</v>
      </c>
      <c r="Z11">
        <f t="shared" si="1"/>
        <v>7</v>
      </c>
      <c r="AA11">
        <f t="shared" si="2"/>
        <v>0</v>
      </c>
    </row>
    <row r="12" spans="1:27" x14ac:dyDescent="0.3">
      <c r="A12" t="s">
        <v>1350</v>
      </c>
      <c r="B12" t="s">
        <v>1351</v>
      </c>
      <c r="C12">
        <v>36643799</v>
      </c>
      <c r="D12" t="s">
        <v>122</v>
      </c>
      <c r="E12" s="1">
        <v>0</v>
      </c>
      <c r="F12" s="1" t="s">
        <v>23</v>
      </c>
      <c r="G12" s="1">
        <v>344</v>
      </c>
      <c r="H12" s="1">
        <v>18</v>
      </c>
      <c r="I12" s="1">
        <v>7</v>
      </c>
      <c r="J12" s="1">
        <v>5</v>
      </c>
      <c r="K12" s="1" t="s">
        <v>123</v>
      </c>
      <c r="L12" s="1">
        <v>4</v>
      </c>
      <c r="M12" s="1" t="s">
        <v>124</v>
      </c>
      <c r="N12" s="1" t="s">
        <v>125</v>
      </c>
      <c r="O12" t="s">
        <v>126</v>
      </c>
      <c r="P12" t="s">
        <v>127</v>
      </c>
      <c r="Q12" t="s">
        <v>128</v>
      </c>
      <c r="R12" t="s">
        <v>129</v>
      </c>
      <c r="S12">
        <v>2022</v>
      </c>
      <c r="T12" s="2">
        <v>44942</v>
      </c>
      <c r="U12" t="s">
        <v>130</v>
      </c>
      <c r="W12" t="s">
        <v>131</v>
      </c>
      <c r="Y12">
        <f t="shared" si="0"/>
        <v>1376</v>
      </c>
      <c r="Z12">
        <f t="shared" si="1"/>
        <v>14</v>
      </c>
      <c r="AA12">
        <f t="shared" si="2"/>
        <v>0</v>
      </c>
    </row>
    <row r="13" spans="1:27" x14ac:dyDescent="0.3">
      <c r="A13" t="s">
        <v>1350</v>
      </c>
      <c r="B13" t="s">
        <v>1351</v>
      </c>
      <c r="C13">
        <v>35929818</v>
      </c>
      <c r="D13" t="s">
        <v>132</v>
      </c>
      <c r="E13" s="1">
        <v>0</v>
      </c>
      <c r="F13" s="1" t="s">
        <v>112</v>
      </c>
      <c r="G13" s="1">
        <v>66</v>
      </c>
      <c r="H13" s="1">
        <v>92</v>
      </c>
      <c r="I13" s="1">
        <v>11</v>
      </c>
      <c r="J13" s="1">
        <v>1</v>
      </c>
      <c r="K13" s="1" t="s">
        <v>133</v>
      </c>
      <c r="L13" s="1">
        <v>1</v>
      </c>
      <c r="M13" s="1" t="s">
        <v>134</v>
      </c>
      <c r="N13" s="1" t="s">
        <v>135</v>
      </c>
      <c r="O13" t="s">
        <v>136</v>
      </c>
      <c r="P13" t="s">
        <v>137</v>
      </c>
      <c r="Q13" t="s">
        <v>138</v>
      </c>
      <c r="R13" t="s">
        <v>139</v>
      </c>
      <c r="S13">
        <v>2022</v>
      </c>
      <c r="T13" s="2">
        <v>44778</v>
      </c>
      <c r="U13" t="s">
        <v>140</v>
      </c>
      <c r="W13" t="s">
        <v>141</v>
      </c>
      <c r="Y13">
        <f t="shared" si="0"/>
        <v>66</v>
      </c>
      <c r="Z13">
        <f t="shared" si="1"/>
        <v>0</v>
      </c>
      <c r="AA13">
        <f t="shared" si="2"/>
        <v>1</v>
      </c>
    </row>
    <row r="14" spans="1:27" x14ac:dyDescent="0.3">
      <c r="A14" t="s">
        <v>1350</v>
      </c>
      <c r="B14" t="s">
        <v>1351</v>
      </c>
      <c r="C14">
        <v>36726870</v>
      </c>
      <c r="D14" t="s">
        <v>142</v>
      </c>
      <c r="E14" s="1">
        <v>0</v>
      </c>
      <c r="F14" s="1" t="s">
        <v>143</v>
      </c>
      <c r="G14" s="1">
        <v>1680</v>
      </c>
      <c r="H14" s="1">
        <v>21</v>
      </c>
      <c r="I14" s="1">
        <v>21</v>
      </c>
      <c r="J14" s="1">
        <v>21</v>
      </c>
      <c r="K14" s="1"/>
      <c r="L14" s="1">
        <v>1</v>
      </c>
      <c r="M14" s="1" t="s">
        <v>144</v>
      </c>
      <c r="N14" s="1" t="s">
        <v>145</v>
      </c>
      <c r="O14" t="s">
        <v>146</v>
      </c>
      <c r="P14" t="s">
        <v>147</v>
      </c>
      <c r="Q14" t="s">
        <v>148</v>
      </c>
      <c r="R14" t="s">
        <v>149</v>
      </c>
      <c r="S14">
        <v>2023</v>
      </c>
      <c r="T14" s="2">
        <v>44959</v>
      </c>
      <c r="U14" t="s">
        <v>150</v>
      </c>
      <c r="W14" t="s">
        <v>151</v>
      </c>
      <c r="Y14">
        <f t="shared" si="0"/>
        <v>1680</v>
      </c>
      <c r="Z14">
        <f t="shared" si="1"/>
        <v>17</v>
      </c>
      <c r="AA14">
        <f t="shared" si="2"/>
        <v>1</v>
      </c>
    </row>
    <row r="15" spans="1:27" x14ac:dyDescent="0.3">
      <c r="A15" t="s">
        <v>1350</v>
      </c>
      <c r="B15" t="s">
        <v>1351</v>
      </c>
      <c r="C15">
        <v>36773824</v>
      </c>
      <c r="D15" t="s">
        <v>152</v>
      </c>
      <c r="E15">
        <v>0</v>
      </c>
      <c r="F15" s="1" t="s">
        <v>153</v>
      </c>
      <c r="G15" s="1">
        <v>375</v>
      </c>
      <c r="K15" s="1" t="s">
        <v>154</v>
      </c>
      <c r="L15" s="1">
        <v>1</v>
      </c>
      <c r="N15" s="1" t="s">
        <v>155</v>
      </c>
      <c r="O15" t="s">
        <v>156</v>
      </c>
      <c r="P15" t="s">
        <v>157</v>
      </c>
      <c r="Q15" t="s">
        <v>158</v>
      </c>
      <c r="R15" t="s">
        <v>159</v>
      </c>
      <c r="S15">
        <v>2023</v>
      </c>
      <c r="T15" s="2">
        <v>44968</v>
      </c>
      <c r="W15" t="s">
        <v>160</v>
      </c>
      <c r="Y15">
        <f t="shared" si="0"/>
        <v>375</v>
      </c>
      <c r="Z15">
        <f t="shared" si="1"/>
        <v>3</v>
      </c>
      <c r="AA15">
        <f t="shared" si="2"/>
        <v>1</v>
      </c>
    </row>
    <row r="16" spans="1:27" x14ac:dyDescent="0.3">
      <c r="A16" t="s">
        <v>1350</v>
      </c>
      <c r="B16" t="s">
        <v>1351</v>
      </c>
      <c r="C16">
        <v>36012423</v>
      </c>
      <c r="D16" t="s">
        <v>161</v>
      </c>
      <c r="E16" s="1">
        <v>0</v>
      </c>
      <c r="F16" s="1" t="s">
        <v>112</v>
      </c>
      <c r="G16" s="1">
        <v>160</v>
      </c>
      <c r="H16" s="1">
        <v>274</v>
      </c>
      <c r="I16" s="1"/>
      <c r="J16" s="1">
        <v>9</v>
      </c>
      <c r="K16" s="1" t="s">
        <v>162</v>
      </c>
      <c r="L16" s="1">
        <v>3</v>
      </c>
      <c r="M16" s="1" t="s">
        <v>163</v>
      </c>
      <c r="N16" s="1" t="s">
        <v>164</v>
      </c>
      <c r="O16" t="s">
        <v>165</v>
      </c>
      <c r="P16" t="s">
        <v>166</v>
      </c>
      <c r="Q16" t="s">
        <v>167</v>
      </c>
      <c r="R16" t="s">
        <v>168</v>
      </c>
      <c r="S16">
        <v>2022</v>
      </c>
      <c r="T16" s="2">
        <v>44799</v>
      </c>
      <c r="U16" t="s">
        <v>169</v>
      </c>
      <c r="W16" t="s">
        <v>170</v>
      </c>
      <c r="Y16">
        <f t="shared" si="0"/>
        <v>480</v>
      </c>
      <c r="Z16">
        <f t="shared" si="1"/>
        <v>5</v>
      </c>
      <c r="AA16">
        <f t="shared" si="2"/>
        <v>0</v>
      </c>
    </row>
    <row r="17" spans="1:27" x14ac:dyDescent="0.3">
      <c r="A17" t="s">
        <v>1350</v>
      </c>
      <c r="B17" t="s">
        <v>1351</v>
      </c>
      <c r="C17" s="4">
        <v>36359256</v>
      </c>
      <c r="D17" s="4" t="s">
        <v>171</v>
      </c>
      <c r="E17" s="5">
        <v>0</v>
      </c>
      <c r="F17" s="5" t="s">
        <v>82</v>
      </c>
      <c r="G17" s="5">
        <v>86</v>
      </c>
      <c r="H17" s="5">
        <v>92</v>
      </c>
      <c r="I17" s="5"/>
      <c r="J17" s="5">
        <v>2</v>
      </c>
      <c r="K17" s="5" t="s">
        <v>172</v>
      </c>
      <c r="L17" s="5">
        <v>1</v>
      </c>
      <c r="M17" s="5" t="s">
        <v>173</v>
      </c>
      <c r="N17" s="5" t="s">
        <v>174</v>
      </c>
      <c r="O17" s="4" t="s">
        <v>175</v>
      </c>
      <c r="P17" s="4" t="s">
        <v>176</v>
      </c>
      <c r="Q17" s="4" t="s">
        <v>177</v>
      </c>
      <c r="R17" s="4" t="s">
        <v>178</v>
      </c>
      <c r="S17" s="4">
        <v>2022</v>
      </c>
      <c r="T17" s="6">
        <v>44876</v>
      </c>
      <c r="U17" s="4" t="s">
        <v>179</v>
      </c>
      <c r="V17" s="4"/>
      <c r="W17" s="4" t="s">
        <v>180</v>
      </c>
      <c r="Y17">
        <f t="shared" si="0"/>
        <v>86</v>
      </c>
      <c r="Z17">
        <f t="shared" si="1"/>
        <v>0</v>
      </c>
      <c r="AA17">
        <f t="shared" si="2"/>
        <v>1</v>
      </c>
    </row>
    <row r="18" spans="1:27" x14ac:dyDescent="0.3">
      <c r="A18" t="s">
        <v>1350</v>
      </c>
      <c r="B18" t="s">
        <v>1351</v>
      </c>
      <c r="C18">
        <v>36655501</v>
      </c>
      <c r="D18" t="s">
        <v>181</v>
      </c>
      <c r="E18" s="1">
        <v>0</v>
      </c>
      <c r="F18" s="1" t="s">
        <v>153</v>
      </c>
      <c r="G18" s="1">
        <v>56</v>
      </c>
      <c r="H18" s="1">
        <v>552</v>
      </c>
      <c r="I18" s="1">
        <v>26</v>
      </c>
      <c r="J18" s="1">
        <v>4</v>
      </c>
      <c r="K18" s="1" t="s">
        <v>182</v>
      </c>
      <c r="L18" s="1">
        <v>6</v>
      </c>
      <c r="M18" s="1"/>
      <c r="N18" s="1" t="s">
        <v>183</v>
      </c>
      <c r="O18" t="s">
        <v>184</v>
      </c>
      <c r="P18" t="s">
        <v>185</v>
      </c>
      <c r="Q18" t="s">
        <v>186</v>
      </c>
      <c r="R18" t="s">
        <v>187</v>
      </c>
      <c r="S18">
        <v>2023</v>
      </c>
      <c r="T18" s="2">
        <v>44945</v>
      </c>
      <c r="W18" t="s">
        <v>188</v>
      </c>
      <c r="Y18">
        <f t="shared" si="0"/>
        <v>336</v>
      </c>
      <c r="Z18">
        <f t="shared" si="1"/>
        <v>3</v>
      </c>
      <c r="AA18">
        <f t="shared" si="2"/>
        <v>1</v>
      </c>
    </row>
    <row r="19" spans="1:27" x14ac:dyDescent="0.3">
      <c r="A19" t="s">
        <v>1350</v>
      </c>
      <c r="B19" t="s">
        <v>1351</v>
      </c>
      <c r="C19">
        <v>35967338</v>
      </c>
      <c r="D19" t="s">
        <v>189</v>
      </c>
      <c r="E19" s="1">
        <v>0</v>
      </c>
      <c r="F19" s="1" t="s">
        <v>143</v>
      </c>
      <c r="G19" s="1">
        <v>100</v>
      </c>
      <c r="H19" s="1">
        <v>92</v>
      </c>
      <c r="I19" s="1">
        <v>9</v>
      </c>
      <c r="J19" s="1"/>
      <c r="K19" s="1" t="s">
        <v>190</v>
      </c>
      <c r="L19" s="1">
        <v>1</v>
      </c>
      <c r="M19" s="1" t="s">
        <v>94</v>
      </c>
      <c r="N19" s="1" t="s">
        <v>191</v>
      </c>
      <c r="O19" t="s">
        <v>192</v>
      </c>
      <c r="P19" t="s">
        <v>193</v>
      </c>
      <c r="Q19" t="s">
        <v>194</v>
      </c>
      <c r="R19" t="s">
        <v>99</v>
      </c>
      <c r="S19">
        <v>2022</v>
      </c>
      <c r="T19" s="2">
        <v>44788</v>
      </c>
      <c r="U19" t="s">
        <v>195</v>
      </c>
      <c r="W19" t="s">
        <v>196</v>
      </c>
      <c r="Y19">
        <f t="shared" si="0"/>
        <v>100</v>
      </c>
      <c r="Z19">
        <f t="shared" si="1"/>
        <v>1</v>
      </c>
      <c r="AA19">
        <f t="shared" si="2"/>
        <v>0</v>
      </c>
    </row>
    <row r="20" spans="1:27" x14ac:dyDescent="0.3">
      <c r="A20" t="s">
        <v>1350</v>
      </c>
      <c r="B20" t="s">
        <v>1351</v>
      </c>
      <c r="C20">
        <v>35780152</v>
      </c>
      <c r="D20" t="s">
        <v>197</v>
      </c>
      <c r="E20" s="1">
        <v>0</v>
      </c>
      <c r="F20" s="1" t="s">
        <v>34</v>
      </c>
      <c r="G20" s="1">
        <v>517</v>
      </c>
      <c r="H20" s="1">
        <v>92</v>
      </c>
      <c r="I20" s="1"/>
      <c r="J20" s="1">
        <v>2</v>
      </c>
      <c r="K20" s="1" t="s">
        <v>198</v>
      </c>
      <c r="L20" s="1">
        <v>1</v>
      </c>
      <c r="M20" s="1" t="s">
        <v>199</v>
      </c>
      <c r="N20" s="1" t="s">
        <v>200</v>
      </c>
      <c r="O20" t="s">
        <v>201</v>
      </c>
      <c r="P20" t="s">
        <v>202</v>
      </c>
      <c r="Q20" t="s">
        <v>203</v>
      </c>
      <c r="R20" t="s">
        <v>204</v>
      </c>
      <c r="S20">
        <v>2022</v>
      </c>
      <c r="T20" s="2">
        <v>44744</v>
      </c>
      <c r="U20" t="s">
        <v>205</v>
      </c>
      <c r="W20" t="s">
        <v>206</v>
      </c>
      <c r="Y20">
        <f t="shared" si="0"/>
        <v>517</v>
      </c>
      <c r="Z20">
        <f t="shared" si="1"/>
        <v>5</v>
      </c>
      <c r="AA20">
        <f t="shared" si="2"/>
        <v>0</v>
      </c>
    </row>
    <row r="21" spans="1:27" x14ac:dyDescent="0.3">
      <c r="A21" t="s">
        <v>1350</v>
      </c>
      <c r="B21" t="s">
        <v>1351</v>
      </c>
      <c r="C21">
        <v>33517457</v>
      </c>
      <c r="D21" t="s">
        <v>207</v>
      </c>
      <c r="E21" s="1">
        <v>0</v>
      </c>
      <c r="F21" s="1" t="s">
        <v>112</v>
      </c>
      <c r="G21" s="1">
        <v>315</v>
      </c>
      <c r="H21" s="1">
        <v>92</v>
      </c>
      <c r="I21" s="1">
        <v>44</v>
      </c>
      <c r="J21" s="1">
        <v>7</v>
      </c>
      <c r="K21" s="1" t="s">
        <v>208</v>
      </c>
      <c r="L21" s="1">
        <v>1</v>
      </c>
      <c r="M21" s="1" t="s">
        <v>209</v>
      </c>
      <c r="N21" s="1"/>
      <c r="O21" t="s">
        <v>210</v>
      </c>
      <c r="P21" t="s">
        <v>211</v>
      </c>
      <c r="Q21" t="s">
        <v>212</v>
      </c>
      <c r="R21" t="s">
        <v>213</v>
      </c>
      <c r="S21">
        <v>2022</v>
      </c>
      <c r="T21" s="2">
        <v>44227</v>
      </c>
      <c r="U21" t="s">
        <v>214</v>
      </c>
      <c r="W21" t="s">
        <v>215</v>
      </c>
      <c r="Y21">
        <f t="shared" si="0"/>
        <v>315</v>
      </c>
      <c r="Z21">
        <f t="shared" si="1"/>
        <v>3</v>
      </c>
      <c r="AA21">
        <f t="shared" si="2"/>
        <v>0</v>
      </c>
    </row>
    <row r="22" spans="1:27" x14ac:dyDescent="0.3">
      <c r="A22" t="s">
        <v>1350</v>
      </c>
      <c r="B22" t="s">
        <v>1351</v>
      </c>
      <c r="C22">
        <v>36739654</v>
      </c>
      <c r="D22" t="s">
        <v>216</v>
      </c>
      <c r="E22" s="1">
        <v>0</v>
      </c>
      <c r="F22" s="1" t="s">
        <v>217</v>
      </c>
      <c r="G22">
        <v>2782</v>
      </c>
      <c r="H22" s="1"/>
      <c r="I22" s="1">
        <v>52</v>
      </c>
      <c r="J22" s="1"/>
      <c r="K22" s="1" t="s">
        <v>218</v>
      </c>
      <c r="L22" s="1">
        <v>1</v>
      </c>
      <c r="M22" s="1"/>
      <c r="N22" s="1"/>
      <c r="O22" t="s">
        <v>219</v>
      </c>
      <c r="P22" t="s">
        <v>220</v>
      </c>
      <c r="Q22" t="s">
        <v>221</v>
      </c>
      <c r="R22" t="s">
        <v>222</v>
      </c>
      <c r="S22">
        <v>2023</v>
      </c>
      <c r="T22" s="2">
        <v>44962</v>
      </c>
      <c r="W22" t="s">
        <v>223</v>
      </c>
      <c r="Y22">
        <f t="shared" si="0"/>
        <v>2782</v>
      </c>
      <c r="Z22">
        <f t="shared" si="1"/>
        <v>28</v>
      </c>
      <c r="AA22">
        <f t="shared" si="2"/>
        <v>1</v>
      </c>
    </row>
    <row r="23" spans="1:27" x14ac:dyDescent="0.3">
      <c r="A23" t="s">
        <v>1350</v>
      </c>
      <c r="B23" t="s">
        <v>1351</v>
      </c>
      <c r="C23">
        <v>36274391</v>
      </c>
      <c r="D23" t="s">
        <v>224</v>
      </c>
      <c r="E23" s="1">
        <v>0</v>
      </c>
      <c r="F23" s="1" t="s">
        <v>225</v>
      </c>
      <c r="G23" s="1">
        <v>693</v>
      </c>
      <c r="H23" s="1"/>
      <c r="I23" s="1"/>
      <c r="J23" s="1"/>
      <c r="K23" s="1"/>
      <c r="L23" s="1">
        <v>1</v>
      </c>
      <c r="M23" s="1"/>
      <c r="N23" s="1"/>
      <c r="O23" t="s">
        <v>226</v>
      </c>
      <c r="P23" t="s">
        <v>227</v>
      </c>
      <c r="Q23" t="s">
        <v>228</v>
      </c>
      <c r="R23" t="s">
        <v>229</v>
      </c>
      <c r="S23">
        <v>2022</v>
      </c>
      <c r="T23" s="2">
        <v>44858</v>
      </c>
      <c r="W23" t="s">
        <v>230</v>
      </c>
      <c r="Y23">
        <f t="shared" si="0"/>
        <v>693</v>
      </c>
      <c r="Z23">
        <f t="shared" si="1"/>
        <v>7</v>
      </c>
      <c r="AA23">
        <f t="shared" si="2"/>
        <v>0</v>
      </c>
    </row>
    <row r="24" spans="1:27" x14ac:dyDescent="0.3">
      <c r="A24" t="s">
        <v>1350</v>
      </c>
      <c r="B24" t="s">
        <v>1351</v>
      </c>
      <c r="C24">
        <v>35834914</v>
      </c>
      <c r="D24" t="s">
        <v>231</v>
      </c>
      <c r="E24" s="1">
        <v>0</v>
      </c>
      <c r="F24" s="1" t="s">
        <v>44</v>
      </c>
      <c r="G24" s="1">
        <v>1484</v>
      </c>
      <c r="H24" s="1">
        <v>276</v>
      </c>
      <c r="I24" s="1">
        <v>7</v>
      </c>
      <c r="J24" s="1">
        <v>6</v>
      </c>
      <c r="K24" s="1" t="s">
        <v>232</v>
      </c>
      <c r="L24" s="1">
        <v>3</v>
      </c>
      <c r="M24" s="1" t="s">
        <v>233</v>
      </c>
      <c r="N24" s="1" t="s">
        <v>234</v>
      </c>
      <c r="O24" t="s">
        <v>235</v>
      </c>
      <c r="P24" t="s">
        <v>236</v>
      </c>
      <c r="Q24" t="s">
        <v>237</v>
      </c>
      <c r="R24" t="s">
        <v>238</v>
      </c>
      <c r="S24">
        <v>2022</v>
      </c>
      <c r="T24" s="2">
        <v>44756</v>
      </c>
      <c r="W24" t="s">
        <v>239</v>
      </c>
      <c r="Y24">
        <f t="shared" si="0"/>
        <v>4452</v>
      </c>
      <c r="Z24">
        <f t="shared" si="1"/>
        <v>46</v>
      </c>
      <c r="AA24">
        <f t="shared" si="2"/>
        <v>0</v>
      </c>
    </row>
    <row r="25" spans="1:27" x14ac:dyDescent="0.3">
      <c r="A25" t="s">
        <v>1350</v>
      </c>
      <c r="B25" t="s">
        <v>1351</v>
      </c>
      <c r="C25">
        <v>36932139</v>
      </c>
      <c r="D25" t="s">
        <v>240</v>
      </c>
      <c r="E25" s="1">
        <v>1</v>
      </c>
      <c r="F25" s="1" t="s">
        <v>241</v>
      </c>
      <c r="G25" s="1">
        <v>40</v>
      </c>
      <c r="H25" s="1">
        <v>92</v>
      </c>
      <c r="I25" s="1"/>
      <c r="J25" s="1"/>
      <c r="K25" s="1"/>
      <c r="L25" s="1">
        <v>1</v>
      </c>
      <c r="M25" s="1" t="s">
        <v>94</v>
      </c>
      <c r="N25" s="1" t="s">
        <v>242</v>
      </c>
      <c r="O25" t="s">
        <v>243</v>
      </c>
      <c r="P25" t="s">
        <v>244</v>
      </c>
      <c r="Q25" t="s">
        <v>245</v>
      </c>
      <c r="R25" t="s">
        <v>246</v>
      </c>
      <c r="S25">
        <v>2023</v>
      </c>
      <c r="T25" s="2">
        <v>45003</v>
      </c>
      <c r="U25" t="s">
        <v>247</v>
      </c>
      <c r="W25" t="s">
        <v>248</v>
      </c>
      <c r="Y25">
        <f t="shared" si="0"/>
        <v>40</v>
      </c>
      <c r="Z25">
        <f t="shared" si="1"/>
        <v>0</v>
      </c>
      <c r="AA25">
        <f t="shared" si="2"/>
        <v>0</v>
      </c>
    </row>
    <row r="26" spans="1:27" x14ac:dyDescent="0.3">
      <c r="A26" t="s">
        <v>1350</v>
      </c>
      <c r="B26" t="s">
        <v>1351</v>
      </c>
      <c r="C26">
        <v>34612501</v>
      </c>
      <c r="D26" t="s">
        <v>249</v>
      </c>
      <c r="E26" s="1">
        <v>0</v>
      </c>
      <c r="F26" s="1" t="s">
        <v>250</v>
      </c>
      <c r="G26" s="1">
        <v>2782</v>
      </c>
      <c r="H26" s="1">
        <v>92</v>
      </c>
      <c r="I26" s="1">
        <v>52</v>
      </c>
      <c r="J26" s="1">
        <v>9</v>
      </c>
      <c r="K26" s="1" t="s">
        <v>218</v>
      </c>
      <c r="L26" s="1">
        <v>1</v>
      </c>
      <c r="M26" s="1" t="s">
        <v>94</v>
      </c>
      <c r="N26" s="1" t="s">
        <v>251</v>
      </c>
      <c r="O26" t="s">
        <v>252</v>
      </c>
      <c r="P26" t="s">
        <v>253</v>
      </c>
      <c r="Q26" t="s">
        <v>254</v>
      </c>
      <c r="R26" t="s">
        <v>255</v>
      </c>
      <c r="S26">
        <v>2022</v>
      </c>
      <c r="T26" s="2">
        <v>44475</v>
      </c>
      <c r="W26" t="s">
        <v>256</v>
      </c>
      <c r="Y26">
        <f t="shared" si="0"/>
        <v>2782</v>
      </c>
      <c r="Z26">
        <f t="shared" si="1"/>
        <v>28</v>
      </c>
      <c r="AA26">
        <f t="shared" si="2"/>
        <v>1</v>
      </c>
    </row>
    <row r="27" spans="1:27" x14ac:dyDescent="0.3">
      <c r="A27" t="s">
        <v>1350</v>
      </c>
      <c r="B27" t="s">
        <v>1351</v>
      </c>
      <c r="C27">
        <v>35986174</v>
      </c>
      <c r="D27" t="s">
        <v>257</v>
      </c>
      <c r="E27" s="1">
        <v>0</v>
      </c>
      <c r="F27" s="1" t="s">
        <v>143</v>
      </c>
      <c r="G27" s="1">
        <v>248</v>
      </c>
      <c r="H27" s="1">
        <v>201</v>
      </c>
      <c r="I27" s="1">
        <v>105</v>
      </c>
      <c r="J27" s="1"/>
      <c r="K27" s="1"/>
      <c r="L27" s="1">
        <v>3</v>
      </c>
      <c r="M27" s="1" t="s">
        <v>258</v>
      </c>
      <c r="N27" s="1" t="s">
        <v>259</v>
      </c>
      <c r="O27" t="s">
        <v>260</v>
      </c>
      <c r="P27" t="s">
        <v>261</v>
      </c>
      <c r="Q27" t="s">
        <v>262</v>
      </c>
      <c r="R27" t="s">
        <v>263</v>
      </c>
      <c r="S27">
        <v>2022</v>
      </c>
      <c r="T27" s="2">
        <v>44792</v>
      </c>
      <c r="U27" t="s">
        <v>264</v>
      </c>
      <c r="W27" t="s">
        <v>265</v>
      </c>
      <c r="Y27">
        <f t="shared" si="0"/>
        <v>744</v>
      </c>
      <c r="Z27">
        <f t="shared" si="1"/>
        <v>7</v>
      </c>
      <c r="AA27">
        <f t="shared" si="2"/>
        <v>1</v>
      </c>
    </row>
    <row r="28" spans="1:27" x14ac:dyDescent="0.3">
      <c r="A28" t="s">
        <v>1350</v>
      </c>
      <c r="B28" t="s">
        <v>1351</v>
      </c>
      <c r="C28">
        <v>35979016</v>
      </c>
      <c r="D28" t="s">
        <v>266</v>
      </c>
      <c r="E28" s="1">
        <v>0</v>
      </c>
      <c r="F28" s="1" t="s">
        <v>23</v>
      </c>
      <c r="G28" s="1">
        <v>149</v>
      </c>
      <c r="H28" s="1">
        <v>92</v>
      </c>
      <c r="I28" s="1">
        <v>28</v>
      </c>
      <c r="J28" s="1"/>
      <c r="K28" s="1"/>
      <c r="L28" s="1">
        <v>1</v>
      </c>
      <c r="M28" s="1" t="s">
        <v>267</v>
      </c>
      <c r="N28" s="1" t="s">
        <v>268</v>
      </c>
      <c r="O28" t="s">
        <v>269</v>
      </c>
      <c r="P28" t="s">
        <v>270</v>
      </c>
      <c r="Q28" t="s">
        <v>271</v>
      </c>
      <c r="R28" t="s">
        <v>272</v>
      </c>
      <c r="S28">
        <v>2022</v>
      </c>
      <c r="T28" s="2">
        <v>44791</v>
      </c>
      <c r="U28" t="s">
        <v>273</v>
      </c>
      <c r="W28" t="s">
        <v>274</v>
      </c>
      <c r="Y28">
        <f t="shared" si="0"/>
        <v>149</v>
      </c>
      <c r="Z28">
        <f t="shared" si="1"/>
        <v>1</v>
      </c>
      <c r="AA28">
        <f t="shared" si="2"/>
        <v>1</v>
      </c>
    </row>
    <row r="29" spans="1:27" x14ac:dyDescent="0.3">
      <c r="A29" t="s">
        <v>1350</v>
      </c>
      <c r="B29" t="s">
        <v>1351</v>
      </c>
      <c r="C29">
        <v>36544145</v>
      </c>
      <c r="D29" t="s">
        <v>275</v>
      </c>
      <c r="E29" s="1">
        <v>0</v>
      </c>
      <c r="F29" s="1" t="s">
        <v>82</v>
      </c>
      <c r="G29" s="1">
        <v>37</v>
      </c>
      <c r="H29" s="1">
        <v>92</v>
      </c>
      <c r="I29" s="1"/>
      <c r="J29" s="1">
        <v>5</v>
      </c>
      <c r="K29" s="1" t="s">
        <v>276</v>
      </c>
      <c r="L29" s="1">
        <v>1</v>
      </c>
      <c r="M29" s="1" t="s">
        <v>277</v>
      </c>
      <c r="N29" s="1" t="s">
        <v>278</v>
      </c>
      <c r="O29" t="s">
        <v>279</v>
      </c>
      <c r="P29" t="s">
        <v>280</v>
      </c>
      <c r="Q29" t="s">
        <v>281</v>
      </c>
      <c r="R29" t="s">
        <v>282</v>
      </c>
      <c r="S29">
        <v>2022</v>
      </c>
      <c r="T29" s="2">
        <v>44916</v>
      </c>
      <c r="U29" t="s">
        <v>283</v>
      </c>
      <c r="W29" t="s">
        <v>284</v>
      </c>
      <c r="Y29">
        <f t="shared" si="0"/>
        <v>37</v>
      </c>
      <c r="Z29">
        <f t="shared" si="1"/>
        <v>0</v>
      </c>
      <c r="AA29">
        <f t="shared" si="2"/>
        <v>0</v>
      </c>
    </row>
    <row r="30" spans="1:27" x14ac:dyDescent="0.3">
      <c r="A30" t="s">
        <v>1350</v>
      </c>
      <c r="B30" t="s">
        <v>1351</v>
      </c>
      <c r="C30">
        <v>36597547</v>
      </c>
      <c r="D30" t="s">
        <v>285</v>
      </c>
      <c r="E30" s="1">
        <v>0</v>
      </c>
      <c r="F30" s="1" t="s">
        <v>286</v>
      </c>
      <c r="G30" s="1">
        <v>5</v>
      </c>
      <c r="H30" s="1">
        <v>368</v>
      </c>
      <c r="I30" s="1"/>
      <c r="J30" s="1"/>
      <c r="K30" s="1"/>
      <c r="L30" s="1">
        <v>1</v>
      </c>
      <c r="M30" s="1"/>
      <c r="N30" s="1" t="s">
        <v>287</v>
      </c>
      <c r="O30" t="s">
        <v>288</v>
      </c>
      <c r="P30" t="s">
        <v>289</v>
      </c>
      <c r="Q30" t="s">
        <v>290</v>
      </c>
      <c r="R30" t="s">
        <v>291</v>
      </c>
      <c r="S30">
        <v>2022</v>
      </c>
      <c r="T30" s="2">
        <v>44930</v>
      </c>
      <c r="U30" t="s">
        <v>292</v>
      </c>
      <c r="W30" t="s">
        <v>293</v>
      </c>
      <c r="Y30">
        <f t="shared" si="0"/>
        <v>5</v>
      </c>
      <c r="Z30">
        <f t="shared" si="1"/>
        <v>0</v>
      </c>
      <c r="AA30">
        <f t="shared" si="2"/>
        <v>0</v>
      </c>
    </row>
    <row r="31" spans="1:27" x14ac:dyDescent="0.3">
      <c r="A31" t="s">
        <v>1350</v>
      </c>
      <c r="B31" t="s">
        <v>1351</v>
      </c>
      <c r="C31">
        <v>36806647</v>
      </c>
      <c r="D31" t="s">
        <v>294</v>
      </c>
      <c r="E31">
        <v>0</v>
      </c>
      <c r="F31" s="1" t="s">
        <v>153</v>
      </c>
      <c r="G31" s="1">
        <v>47</v>
      </c>
      <c r="I31" t="s">
        <v>295</v>
      </c>
      <c r="K31" t="s">
        <v>296</v>
      </c>
      <c r="L31" s="1">
        <v>1</v>
      </c>
      <c r="N31" s="1" t="s">
        <v>297</v>
      </c>
      <c r="O31" t="s">
        <v>298</v>
      </c>
      <c r="P31" t="s">
        <v>299</v>
      </c>
      <c r="Q31" t="s">
        <v>300</v>
      </c>
      <c r="R31" t="s">
        <v>159</v>
      </c>
      <c r="S31">
        <v>2023</v>
      </c>
      <c r="T31" s="2">
        <v>44979</v>
      </c>
      <c r="W31" t="s">
        <v>301</v>
      </c>
      <c r="Y31">
        <f t="shared" si="0"/>
        <v>47</v>
      </c>
      <c r="Z31">
        <f t="shared" si="1"/>
        <v>0</v>
      </c>
      <c r="AA31">
        <f t="shared" si="2"/>
        <v>0</v>
      </c>
    </row>
    <row r="32" spans="1:27" x14ac:dyDescent="0.3">
      <c r="A32" t="s">
        <v>1350</v>
      </c>
      <c r="B32" t="s">
        <v>1351</v>
      </c>
      <c r="C32">
        <v>36418382</v>
      </c>
      <c r="D32" t="s">
        <v>302</v>
      </c>
      <c r="E32" s="1">
        <v>0</v>
      </c>
      <c r="F32" s="1" t="s">
        <v>143</v>
      </c>
      <c r="G32" s="1">
        <v>836</v>
      </c>
      <c r="H32" s="1">
        <v>91</v>
      </c>
      <c r="I32" t="s">
        <v>303</v>
      </c>
      <c r="J32" s="1"/>
      <c r="K32" s="1"/>
      <c r="L32" s="1">
        <v>1</v>
      </c>
      <c r="M32" s="1" t="s">
        <v>304</v>
      </c>
      <c r="N32" s="1" t="s">
        <v>305</v>
      </c>
      <c r="O32" t="s">
        <v>306</v>
      </c>
      <c r="P32" t="s">
        <v>307</v>
      </c>
      <c r="Q32" t="s">
        <v>308</v>
      </c>
      <c r="R32" t="s">
        <v>246</v>
      </c>
      <c r="S32">
        <v>2022</v>
      </c>
      <c r="T32" s="2">
        <v>44888</v>
      </c>
      <c r="U32" t="s">
        <v>309</v>
      </c>
      <c r="W32" t="s">
        <v>310</v>
      </c>
      <c r="Y32">
        <f t="shared" si="0"/>
        <v>836</v>
      </c>
      <c r="Z32">
        <f t="shared" si="1"/>
        <v>8</v>
      </c>
      <c r="AA32">
        <f t="shared" si="2"/>
        <v>1</v>
      </c>
    </row>
    <row r="33" spans="1:27" x14ac:dyDescent="0.3">
      <c r="A33" t="s">
        <v>1350</v>
      </c>
      <c r="B33" t="s">
        <v>1351</v>
      </c>
      <c r="C33">
        <v>36796491</v>
      </c>
      <c r="D33" t="s">
        <v>311</v>
      </c>
      <c r="E33" s="1">
        <v>0</v>
      </c>
      <c r="F33" s="1" t="s">
        <v>23</v>
      </c>
      <c r="G33" s="1">
        <v>158</v>
      </c>
      <c r="H33" s="1">
        <v>92</v>
      </c>
      <c r="I33" s="1">
        <v>4</v>
      </c>
      <c r="J33" s="1">
        <v>2</v>
      </c>
      <c r="K33" s="1" t="s">
        <v>312</v>
      </c>
      <c r="L33" s="1">
        <v>1</v>
      </c>
      <c r="M33" s="1" t="s">
        <v>313</v>
      </c>
      <c r="N33" s="1" t="s">
        <v>314</v>
      </c>
      <c r="O33" t="s">
        <v>315</v>
      </c>
      <c r="P33" t="s">
        <v>316</v>
      </c>
      <c r="Q33" t="s">
        <v>317</v>
      </c>
      <c r="R33" t="s">
        <v>318</v>
      </c>
      <c r="S33">
        <v>2023</v>
      </c>
      <c r="T33" s="2">
        <v>44973</v>
      </c>
      <c r="W33" t="s">
        <v>319</v>
      </c>
      <c r="Y33">
        <f t="shared" si="0"/>
        <v>158</v>
      </c>
      <c r="Z33">
        <f t="shared" si="1"/>
        <v>1</v>
      </c>
      <c r="AA33">
        <f t="shared" si="2"/>
        <v>1</v>
      </c>
    </row>
    <row r="34" spans="1:27" x14ac:dyDescent="0.3">
      <c r="A34" t="s">
        <v>1350</v>
      </c>
      <c r="B34" t="s">
        <v>1351</v>
      </c>
      <c r="C34">
        <v>36082780</v>
      </c>
      <c r="D34" t="s">
        <v>320</v>
      </c>
      <c r="E34" s="1">
        <v>0</v>
      </c>
      <c r="F34" s="1" t="s">
        <v>23</v>
      </c>
      <c r="G34" s="1">
        <v>174</v>
      </c>
      <c r="H34" s="1">
        <v>33</v>
      </c>
      <c r="I34">
        <v>11</v>
      </c>
      <c r="J34" s="1">
        <v>1</v>
      </c>
      <c r="K34" t="s">
        <v>321</v>
      </c>
      <c r="L34" s="1">
        <v>3</v>
      </c>
      <c r="M34" s="1" t="s">
        <v>322</v>
      </c>
      <c r="O34" t="s">
        <v>323</v>
      </c>
      <c r="P34" t="s">
        <v>324</v>
      </c>
      <c r="Q34" t="s">
        <v>325</v>
      </c>
      <c r="R34" t="s">
        <v>326</v>
      </c>
      <c r="S34">
        <v>2022</v>
      </c>
      <c r="T34" s="2">
        <v>44813</v>
      </c>
      <c r="U34" t="s">
        <v>327</v>
      </c>
      <c r="W34" t="s">
        <v>328</v>
      </c>
      <c r="Y34">
        <f t="shared" si="0"/>
        <v>522</v>
      </c>
      <c r="Z34">
        <f t="shared" si="1"/>
        <v>5</v>
      </c>
      <c r="AA34">
        <f t="shared" si="2"/>
        <v>0</v>
      </c>
    </row>
    <row r="35" spans="1:27" x14ac:dyDescent="0.3">
      <c r="A35" t="s">
        <v>1350</v>
      </c>
      <c r="B35" t="s">
        <v>1351</v>
      </c>
      <c r="C35" s="4">
        <v>36009404</v>
      </c>
      <c r="D35" s="4" t="s">
        <v>329</v>
      </c>
      <c r="E35" s="5">
        <v>0</v>
      </c>
      <c r="F35" s="5" t="s">
        <v>82</v>
      </c>
      <c r="G35" s="4">
        <v>88</v>
      </c>
      <c r="H35" s="5">
        <v>92</v>
      </c>
      <c r="I35" s="4" t="s">
        <v>330</v>
      </c>
      <c r="J35" s="4"/>
      <c r="K35" s="4"/>
      <c r="L35" s="5">
        <v>1</v>
      </c>
      <c r="M35" s="5" t="s">
        <v>331</v>
      </c>
      <c r="N35" s="5" t="s">
        <v>332</v>
      </c>
      <c r="O35" s="4" t="s">
        <v>333</v>
      </c>
      <c r="P35" s="4" t="s">
        <v>334</v>
      </c>
      <c r="Q35" s="4" t="s">
        <v>335</v>
      </c>
      <c r="R35" s="4" t="s">
        <v>178</v>
      </c>
      <c r="S35" s="4">
        <v>2022</v>
      </c>
      <c r="T35" s="6">
        <v>44799</v>
      </c>
      <c r="U35" s="4" t="s">
        <v>336</v>
      </c>
      <c r="V35" s="4"/>
      <c r="W35" s="4" t="s">
        <v>337</v>
      </c>
      <c r="Y35">
        <f t="shared" si="0"/>
        <v>88</v>
      </c>
      <c r="Z35">
        <f t="shared" si="1"/>
        <v>0</v>
      </c>
      <c r="AA35">
        <f t="shared" si="2"/>
        <v>1</v>
      </c>
    </row>
    <row r="36" spans="1:27" x14ac:dyDescent="0.3">
      <c r="A36" t="s">
        <v>1350</v>
      </c>
      <c r="B36" t="s">
        <v>1351</v>
      </c>
      <c r="C36">
        <v>35838333</v>
      </c>
      <c r="D36" t="s">
        <v>338</v>
      </c>
      <c r="E36" s="1">
        <v>0</v>
      </c>
      <c r="F36" s="1" t="s">
        <v>82</v>
      </c>
      <c r="G36">
        <v>66</v>
      </c>
      <c r="H36" s="1">
        <v>92</v>
      </c>
      <c r="I36">
        <v>11</v>
      </c>
      <c r="K36" t="s">
        <v>339</v>
      </c>
      <c r="L36" s="1">
        <v>1</v>
      </c>
      <c r="M36" s="1" t="s">
        <v>173</v>
      </c>
      <c r="N36" t="s">
        <v>340</v>
      </c>
      <c r="O36" t="s">
        <v>341</v>
      </c>
      <c r="P36" t="s">
        <v>342</v>
      </c>
      <c r="Q36" t="s">
        <v>343</v>
      </c>
      <c r="R36" t="s">
        <v>344</v>
      </c>
      <c r="S36">
        <v>2022</v>
      </c>
      <c r="T36" s="2">
        <v>44757</v>
      </c>
      <c r="U36" t="s">
        <v>345</v>
      </c>
      <c r="W36" t="s">
        <v>346</v>
      </c>
      <c r="Y36">
        <f t="shared" si="0"/>
        <v>66</v>
      </c>
      <c r="Z36">
        <f t="shared" si="1"/>
        <v>0</v>
      </c>
      <c r="AA36">
        <f t="shared" si="2"/>
        <v>1</v>
      </c>
    </row>
    <row r="37" spans="1:27" x14ac:dyDescent="0.3">
      <c r="A37" t="s">
        <v>1350</v>
      </c>
      <c r="B37" t="s">
        <v>1351</v>
      </c>
      <c r="C37">
        <v>36167782</v>
      </c>
      <c r="D37" t="s">
        <v>347</v>
      </c>
      <c r="E37" s="1">
        <v>0</v>
      </c>
      <c r="F37" s="1" t="s">
        <v>348</v>
      </c>
      <c r="G37">
        <v>200</v>
      </c>
      <c r="H37" s="1">
        <v>92</v>
      </c>
      <c r="I37" s="1">
        <v>37</v>
      </c>
      <c r="J37" s="1">
        <v>2</v>
      </c>
      <c r="K37" t="s">
        <v>349</v>
      </c>
      <c r="L37" s="1">
        <v>1</v>
      </c>
      <c r="M37" s="1" t="s">
        <v>94</v>
      </c>
      <c r="N37" t="s">
        <v>350</v>
      </c>
      <c r="O37" t="s">
        <v>351</v>
      </c>
      <c r="P37" t="s">
        <v>352</v>
      </c>
      <c r="Q37" t="s">
        <v>353</v>
      </c>
      <c r="R37" t="s">
        <v>246</v>
      </c>
      <c r="S37">
        <v>2022</v>
      </c>
      <c r="T37" s="2">
        <v>44831</v>
      </c>
      <c r="U37" t="s">
        <v>354</v>
      </c>
      <c r="W37" t="s">
        <v>355</v>
      </c>
      <c r="Y37">
        <f t="shared" si="0"/>
        <v>200</v>
      </c>
      <c r="Z37">
        <f t="shared" si="1"/>
        <v>2</v>
      </c>
      <c r="AA37">
        <f t="shared" si="2"/>
        <v>0</v>
      </c>
    </row>
    <row r="38" spans="1:27" x14ac:dyDescent="0.3">
      <c r="A38" t="s">
        <v>1350</v>
      </c>
      <c r="B38" t="s">
        <v>1351</v>
      </c>
      <c r="C38">
        <v>35948938</v>
      </c>
      <c r="D38" t="s">
        <v>356</v>
      </c>
      <c r="E38" s="1">
        <v>0</v>
      </c>
      <c r="F38" s="1" t="s">
        <v>23</v>
      </c>
      <c r="G38">
        <v>45</v>
      </c>
      <c r="H38" s="1">
        <v>92</v>
      </c>
      <c r="I38" s="1">
        <v>24</v>
      </c>
      <c r="J38" s="1"/>
      <c r="K38" t="s">
        <v>357</v>
      </c>
      <c r="L38" s="1">
        <v>1</v>
      </c>
      <c r="M38" s="1" t="s">
        <v>358</v>
      </c>
      <c r="N38" t="s">
        <v>359</v>
      </c>
      <c r="O38" t="s">
        <v>360</v>
      </c>
      <c r="P38" t="s">
        <v>361</v>
      </c>
      <c r="Q38" t="s">
        <v>362</v>
      </c>
      <c r="R38" t="s">
        <v>363</v>
      </c>
      <c r="S38">
        <v>2022</v>
      </c>
      <c r="T38" s="2">
        <v>44783</v>
      </c>
      <c r="U38" t="s">
        <v>364</v>
      </c>
      <c r="W38" t="s">
        <v>365</v>
      </c>
      <c r="Y38">
        <f t="shared" si="0"/>
        <v>45</v>
      </c>
      <c r="Z38">
        <f t="shared" si="1"/>
        <v>0</v>
      </c>
      <c r="AA38">
        <f t="shared" si="2"/>
        <v>0</v>
      </c>
    </row>
    <row r="39" spans="1:27" x14ac:dyDescent="0.3">
      <c r="A39" t="s">
        <v>1350</v>
      </c>
      <c r="B39" t="s">
        <v>1351</v>
      </c>
      <c r="C39">
        <v>36401429</v>
      </c>
      <c r="D39" t="s">
        <v>366</v>
      </c>
      <c r="E39" s="1">
        <v>0</v>
      </c>
      <c r="F39" s="1" t="s">
        <v>367</v>
      </c>
      <c r="G39">
        <v>38</v>
      </c>
      <c r="H39" s="1">
        <v>58</v>
      </c>
      <c r="L39" s="1">
        <v>1</v>
      </c>
      <c r="M39" s="1" t="s">
        <v>94</v>
      </c>
      <c r="N39" t="s">
        <v>368</v>
      </c>
      <c r="O39" t="s">
        <v>369</v>
      </c>
      <c r="P39" t="s">
        <v>370</v>
      </c>
      <c r="Q39" t="s">
        <v>371</v>
      </c>
      <c r="R39" t="s">
        <v>372</v>
      </c>
      <c r="S39">
        <v>2022</v>
      </c>
      <c r="T39" s="2">
        <v>44884</v>
      </c>
      <c r="U39" t="s">
        <v>373</v>
      </c>
      <c r="W39" t="s">
        <v>374</v>
      </c>
      <c r="Y39">
        <f t="shared" si="0"/>
        <v>38</v>
      </c>
      <c r="Z39">
        <f t="shared" si="1"/>
        <v>0</v>
      </c>
      <c r="AA39">
        <f t="shared" si="2"/>
        <v>0</v>
      </c>
    </row>
    <row r="40" spans="1:27" x14ac:dyDescent="0.3">
      <c r="A40" t="s">
        <v>1350</v>
      </c>
      <c r="B40" t="s">
        <v>1351</v>
      </c>
      <c r="C40">
        <v>36405747</v>
      </c>
      <c r="D40" t="s">
        <v>375</v>
      </c>
      <c r="E40" s="1">
        <v>0</v>
      </c>
      <c r="F40" s="1" t="s">
        <v>112</v>
      </c>
      <c r="G40">
        <v>597</v>
      </c>
      <c r="H40">
        <v>304</v>
      </c>
      <c r="K40" t="s">
        <v>376</v>
      </c>
      <c r="L40" s="1">
        <v>4</v>
      </c>
      <c r="M40" s="1" t="s">
        <v>377</v>
      </c>
      <c r="N40" t="s">
        <v>378</v>
      </c>
      <c r="O40" t="s">
        <v>379</v>
      </c>
      <c r="P40" t="s">
        <v>380</v>
      </c>
      <c r="Q40" t="s">
        <v>381</v>
      </c>
      <c r="R40" t="s">
        <v>99</v>
      </c>
      <c r="S40">
        <v>2022</v>
      </c>
      <c r="T40" s="2">
        <v>44886</v>
      </c>
      <c r="U40" t="s">
        <v>382</v>
      </c>
      <c r="W40" t="s">
        <v>383</v>
      </c>
      <c r="Y40">
        <f t="shared" si="0"/>
        <v>2388</v>
      </c>
      <c r="Z40">
        <f t="shared" si="1"/>
        <v>24</v>
      </c>
      <c r="AA40">
        <f t="shared" si="2"/>
        <v>1</v>
      </c>
    </row>
    <row r="41" spans="1:27" x14ac:dyDescent="0.3">
      <c r="A41" t="s">
        <v>1350</v>
      </c>
      <c r="B41" t="s">
        <v>1351</v>
      </c>
      <c r="C41">
        <v>36463488</v>
      </c>
      <c r="D41" t="s">
        <v>384</v>
      </c>
      <c r="E41" s="1">
        <v>0</v>
      </c>
      <c r="F41" s="1" t="s">
        <v>153</v>
      </c>
      <c r="G41">
        <v>48</v>
      </c>
      <c r="L41" s="1">
        <v>1</v>
      </c>
      <c r="N41" t="s">
        <v>385</v>
      </c>
      <c r="O41" t="s">
        <v>386</v>
      </c>
      <c r="P41" t="s">
        <v>387</v>
      </c>
      <c r="Q41" t="s">
        <v>388</v>
      </c>
      <c r="R41" t="s">
        <v>389</v>
      </c>
      <c r="S41">
        <v>2022</v>
      </c>
      <c r="T41" s="2">
        <v>44899</v>
      </c>
      <c r="W41" t="s">
        <v>390</v>
      </c>
      <c r="Y41">
        <f t="shared" si="0"/>
        <v>48</v>
      </c>
      <c r="Z41">
        <f t="shared" si="1"/>
        <v>0</v>
      </c>
      <c r="AA41">
        <f t="shared" si="2"/>
        <v>1</v>
      </c>
    </row>
    <row r="42" spans="1:27" x14ac:dyDescent="0.3">
      <c r="A42" t="s">
        <v>1350</v>
      </c>
      <c r="B42" t="s">
        <v>1351</v>
      </c>
      <c r="C42">
        <v>36071461</v>
      </c>
      <c r="D42" t="s">
        <v>391</v>
      </c>
      <c r="E42" s="1">
        <v>0</v>
      </c>
      <c r="F42" s="1" t="s">
        <v>392</v>
      </c>
      <c r="G42">
        <v>42</v>
      </c>
      <c r="H42" s="1">
        <v>45</v>
      </c>
      <c r="L42" s="1">
        <v>1</v>
      </c>
      <c r="M42" s="1" t="s">
        <v>393</v>
      </c>
      <c r="N42" t="s">
        <v>394</v>
      </c>
      <c r="O42" t="s">
        <v>395</v>
      </c>
      <c r="P42" t="s">
        <v>396</v>
      </c>
      <c r="Q42" t="s">
        <v>397</v>
      </c>
      <c r="R42" t="s">
        <v>398</v>
      </c>
      <c r="S42">
        <v>2022</v>
      </c>
      <c r="T42" s="2">
        <v>44811</v>
      </c>
      <c r="U42" t="s">
        <v>399</v>
      </c>
      <c r="W42" t="s">
        <v>400</v>
      </c>
      <c r="Y42">
        <f t="shared" si="0"/>
        <v>42</v>
      </c>
      <c r="Z42">
        <f t="shared" si="1"/>
        <v>0</v>
      </c>
      <c r="AA42">
        <f t="shared" si="2"/>
        <v>0</v>
      </c>
    </row>
    <row r="43" spans="1:27" x14ac:dyDescent="0.3">
      <c r="A43" t="s">
        <v>1350</v>
      </c>
      <c r="B43" t="s">
        <v>1351</v>
      </c>
      <c r="C43" s="4">
        <v>36196264</v>
      </c>
      <c r="D43" s="4" t="s">
        <v>401</v>
      </c>
      <c r="E43" s="5">
        <v>1</v>
      </c>
      <c r="F43" s="5" t="s">
        <v>82</v>
      </c>
      <c r="G43" s="4">
        <v>1120</v>
      </c>
      <c r="H43" s="5">
        <v>11</v>
      </c>
      <c r="I43" s="4"/>
      <c r="J43" s="4">
        <v>11</v>
      </c>
      <c r="K43" s="4" t="s">
        <v>402</v>
      </c>
      <c r="L43" s="5">
        <v>1</v>
      </c>
      <c r="M43" s="5" t="s">
        <v>403</v>
      </c>
      <c r="N43" s="4" t="s">
        <v>404</v>
      </c>
      <c r="O43" s="4" t="s">
        <v>405</v>
      </c>
      <c r="P43" s="4" t="s">
        <v>406</v>
      </c>
      <c r="Q43" s="4" t="s">
        <v>407</v>
      </c>
      <c r="R43" s="4" t="s">
        <v>408</v>
      </c>
      <c r="S43" s="4">
        <v>2022</v>
      </c>
      <c r="T43" s="6">
        <v>44839</v>
      </c>
      <c r="U43" s="4" t="s">
        <v>409</v>
      </c>
      <c r="V43" s="4"/>
      <c r="W43" s="4" t="s">
        <v>410</v>
      </c>
      <c r="Y43">
        <f t="shared" si="0"/>
        <v>1120</v>
      </c>
      <c r="Z43">
        <f t="shared" si="1"/>
        <v>11</v>
      </c>
      <c r="AA43">
        <f t="shared" si="2"/>
        <v>1</v>
      </c>
    </row>
    <row r="44" spans="1:27" x14ac:dyDescent="0.3">
      <c r="A44" t="s">
        <v>1350</v>
      </c>
      <c r="B44" t="s">
        <v>1351</v>
      </c>
      <c r="C44">
        <v>35048953</v>
      </c>
      <c r="D44" t="s">
        <v>411</v>
      </c>
      <c r="E44" s="1">
        <v>0</v>
      </c>
      <c r="F44" t="s">
        <v>82</v>
      </c>
      <c r="G44">
        <v>31</v>
      </c>
      <c r="H44">
        <v>180</v>
      </c>
      <c r="K44" t="s">
        <v>412</v>
      </c>
      <c r="L44">
        <v>2</v>
      </c>
      <c r="M44" t="s">
        <v>413</v>
      </c>
      <c r="N44" t="s">
        <v>414</v>
      </c>
      <c r="O44" t="s">
        <v>415</v>
      </c>
      <c r="P44" t="s">
        <v>416</v>
      </c>
      <c r="Q44" t="s">
        <v>417</v>
      </c>
      <c r="R44" t="s">
        <v>418</v>
      </c>
      <c r="S44">
        <v>2022</v>
      </c>
      <c r="T44" s="2">
        <v>44581</v>
      </c>
      <c r="W44" t="s">
        <v>419</v>
      </c>
      <c r="Y44">
        <f t="shared" si="0"/>
        <v>62</v>
      </c>
      <c r="Z44">
        <f t="shared" si="1"/>
        <v>0</v>
      </c>
      <c r="AA44">
        <f t="shared" si="2"/>
        <v>1</v>
      </c>
    </row>
    <row r="45" spans="1:27" x14ac:dyDescent="0.3">
      <c r="A45" t="s">
        <v>1350</v>
      </c>
      <c r="B45" t="s">
        <v>1351</v>
      </c>
      <c r="C45">
        <v>36126692</v>
      </c>
      <c r="D45" t="s">
        <v>420</v>
      </c>
      <c r="E45" s="1">
        <v>0</v>
      </c>
      <c r="F45" s="1" t="s">
        <v>153</v>
      </c>
      <c r="G45">
        <v>158</v>
      </c>
      <c r="H45">
        <v>92</v>
      </c>
      <c r="J45">
        <v>3</v>
      </c>
      <c r="K45" t="s">
        <v>421</v>
      </c>
      <c r="L45" s="1">
        <v>1</v>
      </c>
      <c r="M45" s="1" t="s">
        <v>94</v>
      </c>
      <c r="N45" t="s">
        <v>422</v>
      </c>
      <c r="O45" t="s">
        <v>423</v>
      </c>
      <c r="P45" t="s">
        <v>424</v>
      </c>
      <c r="Q45" t="s">
        <v>425</v>
      </c>
      <c r="R45" t="s">
        <v>426</v>
      </c>
      <c r="S45">
        <v>2022</v>
      </c>
      <c r="T45" s="2">
        <v>44824</v>
      </c>
      <c r="W45" t="s">
        <v>427</v>
      </c>
      <c r="Y45">
        <f t="shared" si="0"/>
        <v>158</v>
      </c>
      <c r="Z45">
        <f t="shared" si="1"/>
        <v>1</v>
      </c>
      <c r="AA45">
        <f t="shared" si="2"/>
        <v>1</v>
      </c>
    </row>
    <row r="46" spans="1:27" x14ac:dyDescent="0.3">
      <c r="A46" t="s">
        <v>1350</v>
      </c>
      <c r="B46" t="s">
        <v>1351</v>
      </c>
      <c r="C46">
        <v>36319844</v>
      </c>
      <c r="D46" t="s">
        <v>428</v>
      </c>
      <c r="E46" s="1">
        <v>0</v>
      </c>
      <c r="F46" s="1" t="s">
        <v>23</v>
      </c>
      <c r="G46">
        <v>116</v>
      </c>
      <c r="H46">
        <v>184</v>
      </c>
      <c r="I46">
        <v>13</v>
      </c>
      <c r="J46">
        <v>4</v>
      </c>
      <c r="K46" t="s">
        <v>429</v>
      </c>
      <c r="L46" s="1">
        <v>2</v>
      </c>
      <c r="M46" s="1" t="s">
        <v>430</v>
      </c>
      <c r="O46" t="s">
        <v>431</v>
      </c>
      <c r="P46" t="s">
        <v>432</v>
      </c>
      <c r="Q46" t="s">
        <v>433</v>
      </c>
      <c r="R46" t="s">
        <v>246</v>
      </c>
      <c r="S46">
        <v>2022</v>
      </c>
      <c r="T46" s="2">
        <v>44867</v>
      </c>
      <c r="U46" t="s">
        <v>434</v>
      </c>
      <c r="W46" t="s">
        <v>435</v>
      </c>
      <c r="Y46">
        <f t="shared" si="0"/>
        <v>232</v>
      </c>
      <c r="Z46">
        <f t="shared" si="1"/>
        <v>2</v>
      </c>
      <c r="AA46">
        <f t="shared" si="2"/>
        <v>0</v>
      </c>
    </row>
    <row r="47" spans="1:27" x14ac:dyDescent="0.3">
      <c r="A47" t="s">
        <v>1350</v>
      </c>
      <c r="B47" t="s">
        <v>1351</v>
      </c>
      <c r="C47">
        <v>36230498</v>
      </c>
      <c r="D47" t="s">
        <v>436</v>
      </c>
      <c r="E47" s="1">
        <v>0</v>
      </c>
      <c r="F47" s="1" t="s">
        <v>437</v>
      </c>
      <c r="G47">
        <v>28</v>
      </c>
      <c r="H47">
        <v>184</v>
      </c>
      <c r="I47">
        <v>3</v>
      </c>
      <c r="J47">
        <v>2</v>
      </c>
      <c r="K47" t="s">
        <v>438</v>
      </c>
      <c r="L47" s="1">
        <v>2</v>
      </c>
      <c r="M47" s="1" t="s">
        <v>439</v>
      </c>
      <c r="N47" t="s">
        <v>440</v>
      </c>
      <c r="O47" t="s">
        <v>441</v>
      </c>
      <c r="P47" t="s">
        <v>442</v>
      </c>
      <c r="Q47" t="s">
        <v>443</v>
      </c>
      <c r="R47" t="s">
        <v>444</v>
      </c>
      <c r="S47">
        <v>2022</v>
      </c>
      <c r="T47" s="2">
        <v>44848</v>
      </c>
      <c r="U47" t="s">
        <v>445</v>
      </c>
      <c r="W47" t="s">
        <v>446</v>
      </c>
      <c r="Y47">
        <f t="shared" si="0"/>
        <v>56</v>
      </c>
      <c r="Z47">
        <f t="shared" si="1"/>
        <v>0</v>
      </c>
      <c r="AA47">
        <f t="shared" si="2"/>
        <v>1</v>
      </c>
    </row>
    <row r="48" spans="1:27" x14ac:dyDescent="0.3">
      <c r="A48" t="s">
        <v>1350</v>
      </c>
      <c r="B48" t="s">
        <v>1351</v>
      </c>
      <c r="C48" s="7">
        <v>36384809</v>
      </c>
      <c r="D48" s="7" t="s">
        <v>447</v>
      </c>
      <c r="E48" s="8">
        <v>0</v>
      </c>
      <c r="F48" s="8" t="s">
        <v>143</v>
      </c>
      <c r="G48" s="7">
        <v>72</v>
      </c>
      <c r="H48" s="7">
        <v>1196</v>
      </c>
      <c r="I48" s="7"/>
      <c r="J48" s="7">
        <v>1</v>
      </c>
      <c r="K48" s="7" t="s">
        <v>448</v>
      </c>
      <c r="L48" s="8">
        <v>13</v>
      </c>
      <c r="M48" s="8" t="s">
        <v>449</v>
      </c>
      <c r="N48" s="7" t="s">
        <v>450</v>
      </c>
      <c r="O48" s="7" t="s">
        <v>451</v>
      </c>
      <c r="P48" s="7" t="s">
        <v>452</v>
      </c>
      <c r="Q48" s="7" t="s">
        <v>453</v>
      </c>
      <c r="R48" s="7" t="s">
        <v>454</v>
      </c>
      <c r="S48" s="7">
        <v>2022</v>
      </c>
      <c r="T48" s="9">
        <v>44882</v>
      </c>
      <c r="U48" s="7" t="s">
        <v>455</v>
      </c>
      <c r="V48" s="7"/>
      <c r="W48" s="7" t="s">
        <v>456</v>
      </c>
      <c r="Y48">
        <f t="shared" si="0"/>
        <v>936</v>
      </c>
      <c r="Z48">
        <f t="shared" si="1"/>
        <v>9</v>
      </c>
      <c r="AA48">
        <f t="shared" si="2"/>
        <v>1</v>
      </c>
    </row>
    <row r="49" spans="1:27" x14ac:dyDescent="0.3">
      <c r="A49" t="s">
        <v>1350</v>
      </c>
      <c r="B49" t="s">
        <v>1351</v>
      </c>
      <c r="C49">
        <v>35967369</v>
      </c>
      <c r="D49" t="s">
        <v>457</v>
      </c>
      <c r="E49" s="1">
        <v>0</v>
      </c>
      <c r="F49" t="s">
        <v>112</v>
      </c>
      <c r="G49">
        <v>172</v>
      </c>
      <c r="H49">
        <v>92</v>
      </c>
      <c r="I49">
        <v>3</v>
      </c>
      <c r="J49">
        <v>1</v>
      </c>
      <c r="K49" t="s">
        <v>458</v>
      </c>
      <c r="L49">
        <v>1</v>
      </c>
      <c r="M49" t="s">
        <v>459</v>
      </c>
      <c r="N49" t="s">
        <v>460</v>
      </c>
      <c r="O49" t="s">
        <v>461</v>
      </c>
      <c r="P49" t="s">
        <v>462</v>
      </c>
      <c r="Q49" t="s">
        <v>463</v>
      </c>
      <c r="R49" t="s">
        <v>99</v>
      </c>
      <c r="S49">
        <v>2022</v>
      </c>
      <c r="T49" s="2">
        <v>44788</v>
      </c>
      <c r="U49" t="s">
        <v>464</v>
      </c>
      <c r="W49" t="s">
        <v>465</v>
      </c>
      <c r="Y49">
        <f t="shared" si="0"/>
        <v>172</v>
      </c>
      <c r="Z49">
        <f t="shared" si="1"/>
        <v>1</v>
      </c>
      <c r="AA49">
        <f t="shared" si="2"/>
        <v>1</v>
      </c>
    </row>
    <row r="50" spans="1:27" x14ac:dyDescent="0.3">
      <c r="A50" t="s">
        <v>1350</v>
      </c>
      <c r="B50" t="s">
        <v>1351</v>
      </c>
      <c r="C50">
        <v>35967328</v>
      </c>
      <c r="D50" t="s">
        <v>466</v>
      </c>
      <c r="E50" s="1">
        <v>0</v>
      </c>
      <c r="F50" t="s">
        <v>112</v>
      </c>
      <c r="G50">
        <v>74</v>
      </c>
      <c r="H50">
        <v>364</v>
      </c>
      <c r="I50">
        <v>19</v>
      </c>
      <c r="K50" t="s">
        <v>467</v>
      </c>
      <c r="L50" s="1">
        <v>4</v>
      </c>
      <c r="M50" s="1" t="s">
        <v>468</v>
      </c>
      <c r="N50" t="s">
        <v>469</v>
      </c>
      <c r="O50" t="s">
        <v>470</v>
      </c>
      <c r="P50" t="s">
        <v>471</v>
      </c>
      <c r="Q50" t="s">
        <v>472</v>
      </c>
      <c r="R50" t="s">
        <v>99</v>
      </c>
      <c r="S50">
        <v>2022</v>
      </c>
      <c r="T50" s="2">
        <v>44788</v>
      </c>
      <c r="U50" t="s">
        <v>473</v>
      </c>
      <c r="W50" t="s">
        <v>474</v>
      </c>
      <c r="Y50">
        <f t="shared" si="0"/>
        <v>296</v>
      </c>
      <c r="Z50">
        <f t="shared" si="1"/>
        <v>3</v>
      </c>
      <c r="AA50">
        <f t="shared" si="2"/>
        <v>0</v>
      </c>
    </row>
    <row r="51" spans="1:27" x14ac:dyDescent="0.3">
      <c r="A51" t="s">
        <v>1350</v>
      </c>
      <c r="B51" t="s">
        <v>1351</v>
      </c>
      <c r="C51">
        <v>36337899</v>
      </c>
      <c r="D51" t="s">
        <v>475</v>
      </c>
      <c r="E51" s="1">
        <v>0</v>
      </c>
      <c r="F51" t="s">
        <v>476</v>
      </c>
      <c r="G51">
        <v>316</v>
      </c>
      <c r="H51">
        <v>7</v>
      </c>
      <c r="I51">
        <v>5</v>
      </c>
      <c r="J51" t="s">
        <v>477</v>
      </c>
      <c r="K51" t="s">
        <v>478</v>
      </c>
      <c r="L51" s="1">
        <v>1</v>
      </c>
      <c r="M51" s="1" t="s">
        <v>199</v>
      </c>
      <c r="N51" t="s">
        <v>479</v>
      </c>
      <c r="O51" t="s">
        <v>480</v>
      </c>
      <c r="P51" t="s">
        <v>481</v>
      </c>
      <c r="Q51" t="s">
        <v>482</v>
      </c>
      <c r="R51" t="s">
        <v>272</v>
      </c>
      <c r="S51">
        <v>2022</v>
      </c>
      <c r="T51" s="2">
        <v>44872</v>
      </c>
      <c r="U51" t="s">
        <v>483</v>
      </c>
      <c r="W51" t="s">
        <v>484</v>
      </c>
      <c r="Y51">
        <f t="shared" si="0"/>
        <v>316</v>
      </c>
      <c r="Z51">
        <f t="shared" si="1"/>
        <v>3</v>
      </c>
      <c r="AA51">
        <f t="shared" si="2"/>
        <v>0</v>
      </c>
    </row>
    <row r="52" spans="1:27" x14ac:dyDescent="0.3">
      <c r="A52" t="s">
        <v>1350</v>
      </c>
      <c r="B52" t="s">
        <v>1351</v>
      </c>
      <c r="C52">
        <v>36595532</v>
      </c>
      <c r="D52" t="s">
        <v>485</v>
      </c>
      <c r="E52" s="1">
        <v>0</v>
      </c>
      <c r="F52" t="s">
        <v>112</v>
      </c>
      <c r="G52">
        <v>55</v>
      </c>
      <c r="H52">
        <v>368</v>
      </c>
      <c r="I52">
        <v>242</v>
      </c>
      <c r="J52">
        <v>20</v>
      </c>
      <c r="K52" t="s">
        <v>486</v>
      </c>
      <c r="L52" s="1">
        <v>1</v>
      </c>
      <c r="M52" s="1" t="s">
        <v>487</v>
      </c>
      <c r="O52" t="s">
        <v>488</v>
      </c>
      <c r="P52" t="s">
        <v>489</v>
      </c>
      <c r="Q52" t="s">
        <v>490</v>
      </c>
      <c r="R52" t="s">
        <v>491</v>
      </c>
      <c r="S52">
        <v>2023</v>
      </c>
      <c r="T52" s="2">
        <v>44929</v>
      </c>
      <c r="U52" t="s">
        <v>492</v>
      </c>
      <c r="W52" t="s">
        <v>493</v>
      </c>
      <c r="Y52">
        <f t="shared" si="0"/>
        <v>55</v>
      </c>
      <c r="Z52">
        <f t="shared" si="1"/>
        <v>0</v>
      </c>
      <c r="AA52">
        <f t="shared" si="2"/>
        <v>1</v>
      </c>
    </row>
    <row r="53" spans="1:27" x14ac:dyDescent="0.3">
      <c r="A53" t="s">
        <v>1350</v>
      </c>
      <c r="B53" t="s">
        <v>1351</v>
      </c>
      <c r="C53">
        <v>36124688</v>
      </c>
      <c r="D53" t="s">
        <v>494</v>
      </c>
      <c r="E53" s="1">
        <v>0</v>
      </c>
      <c r="F53" t="s">
        <v>153</v>
      </c>
      <c r="G53">
        <v>32</v>
      </c>
      <c r="H53">
        <v>92</v>
      </c>
      <c r="I53">
        <v>21</v>
      </c>
      <c r="J53">
        <v>6</v>
      </c>
      <c r="K53" t="s">
        <v>495</v>
      </c>
      <c r="L53" s="1">
        <v>1</v>
      </c>
      <c r="M53" s="1" t="s">
        <v>94</v>
      </c>
      <c r="N53" t="s">
        <v>496</v>
      </c>
      <c r="O53" t="s">
        <v>497</v>
      </c>
      <c r="P53" t="s">
        <v>498</v>
      </c>
      <c r="Q53" t="s">
        <v>499</v>
      </c>
      <c r="R53" t="s">
        <v>500</v>
      </c>
      <c r="S53">
        <v>2022</v>
      </c>
      <c r="T53" s="2">
        <v>44824</v>
      </c>
      <c r="U53" t="s">
        <v>501</v>
      </c>
      <c r="W53" t="s">
        <v>502</v>
      </c>
      <c r="Y53">
        <f t="shared" si="0"/>
        <v>32</v>
      </c>
      <c r="Z53">
        <f t="shared" si="1"/>
        <v>0</v>
      </c>
      <c r="AA53">
        <f t="shared" si="2"/>
        <v>0</v>
      </c>
    </row>
    <row r="54" spans="1:27" x14ac:dyDescent="0.3">
      <c r="A54" t="s">
        <v>1350</v>
      </c>
      <c r="B54" t="s">
        <v>1351</v>
      </c>
      <c r="C54">
        <v>35788746</v>
      </c>
      <c r="D54" t="s">
        <v>503</v>
      </c>
      <c r="E54" s="1">
        <v>0</v>
      </c>
      <c r="F54" t="s">
        <v>153</v>
      </c>
      <c r="G54">
        <v>89</v>
      </c>
      <c r="H54">
        <v>368</v>
      </c>
      <c r="J54">
        <v>17</v>
      </c>
      <c r="K54" t="s">
        <v>504</v>
      </c>
      <c r="L54" s="1">
        <v>4</v>
      </c>
      <c r="M54" s="1" t="s">
        <v>505</v>
      </c>
      <c r="N54" t="s">
        <v>506</v>
      </c>
      <c r="O54" t="s">
        <v>507</v>
      </c>
      <c r="P54" t="s">
        <v>508</v>
      </c>
      <c r="Q54" t="s">
        <v>509</v>
      </c>
      <c r="R54" t="s">
        <v>510</v>
      </c>
      <c r="S54">
        <v>2022</v>
      </c>
      <c r="T54" s="2">
        <v>44747</v>
      </c>
      <c r="U54" t="s">
        <v>511</v>
      </c>
      <c r="W54" t="s">
        <v>512</v>
      </c>
      <c r="Y54">
        <f t="shared" si="0"/>
        <v>356</v>
      </c>
      <c r="Z54">
        <f t="shared" si="1"/>
        <v>3</v>
      </c>
      <c r="AA54">
        <f t="shared" si="2"/>
        <v>1</v>
      </c>
    </row>
    <row r="55" spans="1:27" x14ac:dyDescent="0.3">
      <c r="A55" t="s">
        <v>1350</v>
      </c>
      <c r="B55" t="s">
        <v>1351</v>
      </c>
      <c r="C55" s="4">
        <v>36508319</v>
      </c>
      <c r="D55" s="4" t="s">
        <v>513</v>
      </c>
      <c r="E55" s="5">
        <v>0</v>
      </c>
      <c r="F55" s="4" t="s">
        <v>514</v>
      </c>
      <c r="G55" s="4">
        <v>427</v>
      </c>
      <c r="H55" s="4">
        <v>417</v>
      </c>
      <c r="I55" s="4"/>
      <c r="J55" s="4"/>
      <c r="K55" s="4"/>
      <c r="L55" s="5">
        <v>1</v>
      </c>
      <c r="M55" s="5" t="s">
        <v>25</v>
      </c>
      <c r="N55" s="4" t="s">
        <v>515</v>
      </c>
      <c r="O55" s="4" t="s">
        <v>516</v>
      </c>
      <c r="P55" s="4" t="s">
        <v>517</v>
      </c>
      <c r="Q55" s="4" t="s">
        <v>518</v>
      </c>
      <c r="R55" s="4" t="s">
        <v>519</v>
      </c>
      <c r="S55" s="4">
        <v>2023</v>
      </c>
      <c r="T55" s="6">
        <v>44907</v>
      </c>
      <c r="U55" s="4" t="s">
        <v>520</v>
      </c>
      <c r="V55" s="4" t="s">
        <v>521</v>
      </c>
      <c r="W55" s="4" t="s">
        <v>522</v>
      </c>
      <c r="Y55">
        <f t="shared" si="0"/>
        <v>427</v>
      </c>
      <c r="Z55">
        <f t="shared" si="1"/>
        <v>4</v>
      </c>
      <c r="AA55">
        <f t="shared" si="2"/>
        <v>0</v>
      </c>
    </row>
    <row r="56" spans="1:27" x14ac:dyDescent="0.3">
      <c r="A56" t="s">
        <v>1350</v>
      </c>
      <c r="B56" t="s">
        <v>1351</v>
      </c>
      <c r="C56" s="4">
        <v>35984888</v>
      </c>
      <c r="D56" s="4" t="s">
        <v>523</v>
      </c>
      <c r="E56" s="5">
        <v>0</v>
      </c>
      <c r="F56" s="4" t="s">
        <v>44</v>
      </c>
      <c r="G56" s="4">
        <v>805</v>
      </c>
      <c r="H56" s="4">
        <v>1472</v>
      </c>
      <c r="I56" s="4"/>
      <c r="J56" s="4"/>
      <c r="K56" s="4"/>
      <c r="L56" s="5">
        <v>1</v>
      </c>
      <c r="M56" s="5" t="s">
        <v>25</v>
      </c>
      <c r="N56" s="4" t="s">
        <v>524</v>
      </c>
      <c r="O56" s="4" t="s">
        <v>525</v>
      </c>
      <c r="P56" s="4" t="s">
        <v>526</v>
      </c>
      <c r="Q56" s="4" t="s">
        <v>527</v>
      </c>
      <c r="R56" s="4" t="s">
        <v>528</v>
      </c>
      <c r="S56" s="4">
        <v>2022</v>
      </c>
      <c r="T56" s="6">
        <v>44792</v>
      </c>
      <c r="U56" s="4" t="s">
        <v>529</v>
      </c>
      <c r="V56" s="4"/>
      <c r="W56" s="4" t="s">
        <v>530</v>
      </c>
      <c r="Y56">
        <f t="shared" si="0"/>
        <v>805</v>
      </c>
      <c r="Z56">
        <f t="shared" si="1"/>
        <v>8</v>
      </c>
      <c r="AA56">
        <f t="shared" si="2"/>
        <v>0</v>
      </c>
    </row>
    <row r="57" spans="1:27" x14ac:dyDescent="0.3">
      <c r="A57" t="s">
        <v>1350</v>
      </c>
      <c r="B57" t="s">
        <v>1351</v>
      </c>
      <c r="C57">
        <v>36600882</v>
      </c>
      <c r="D57" t="s">
        <v>531</v>
      </c>
      <c r="E57" s="1">
        <v>0</v>
      </c>
      <c r="F57" t="s">
        <v>532</v>
      </c>
      <c r="G57">
        <v>810</v>
      </c>
      <c r="H57">
        <v>276</v>
      </c>
      <c r="J57">
        <v>2</v>
      </c>
      <c r="K57" t="s">
        <v>533</v>
      </c>
      <c r="L57" s="1">
        <v>3</v>
      </c>
      <c r="M57" s="1" t="s">
        <v>534</v>
      </c>
      <c r="N57" t="s">
        <v>535</v>
      </c>
      <c r="O57" t="s">
        <v>536</v>
      </c>
      <c r="P57" t="s">
        <v>537</v>
      </c>
      <c r="Q57" t="s">
        <v>538</v>
      </c>
      <c r="R57" t="s">
        <v>539</v>
      </c>
      <c r="S57">
        <v>2022</v>
      </c>
      <c r="T57" s="2">
        <v>44931</v>
      </c>
      <c r="U57" t="s">
        <v>540</v>
      </c>
      <c r="W57" t="s">
        <v>541</v>
      </c>
      <c r="Y57">
        <f t="shared" si="0"/>
        <v>2430</v>
      </c>
      <c r="Z57">
        <f t="shared" si="1"/>
        <v>25</v>
      </c>
      <c r="AA57">
        <f t="shared" si="2"/>
        <v>0</v>
      </c>
    </row>
    <row r="58" spans="1:27" x14ac:dyDescent="0.3">
      <c r="A58" t="s">
        <v>1350</v>
      </c>
      <c r="B58" t="s">
        <v>1351</v>
      </c>
      <c r="C58">
        <v>35897671</v>
      </c>
      <c r="D58" t="s">
        <v>542</v>
      </c>
      <c r="E58" s="1">
        <v>0</v>
      </c>
      <c r="F58" t="s">
        <v>543</v>
      </c>
      <c r="G58">
        <v>53</v>
      </c>
      <c r="H58">
        <v>92</v>
      </c>
      <c r="I58">
        <v>26</v>
      </c>
      <c r="J58">
        <v>3</v>
      </c>
      <c r="K58" t="s">
        <v>544</v>
      </c>
      <c r="L58" s="1">
        <v>1</v>
      </c>
      <c r="M58" s="1" t="s">
        <v>413</v>
      </c>
      <c r="N58" t="s">
        <v>545</v>
      </c>
      <c r="O58" t="s">
        <v>546</v>
      </c>
      <c r="P58" t="s">
        <v>547</v>
      </c>
      <c r="Q58" t="s">
        <v>548</v>
      </c>
      <c r="R58" t="s">
        <v>168</v>
      </c>
      <c r="S58">
        <v>2022</v>
      </c>
      <c r="T58" s="2">
        <v>44770</v>
      </c>
      <c r="U58" t="s">
        <v>549</v>
      </c>
      <c r="W58" t="s">
        <v>550</v>
      </c>
      <c r="Y58">
        <f t="shared" si="0"/>
        <v>53</v>
      </c>
      <c r="Z58">
        <f t="shared" si="1"/>
        <v>0</v>
      </c>
      <c r="AA58">
        <f t="shared" si="2"/>
        <v>1</v>
      </c>
    </row>
    <row r="59" spans="1:27" x14ac:dyDescent="0.3">
      <c r="A59" t="s">
        <v>1350</v>
      </c>
      <c r="B59" t="s">
        <v>1351</v>
      </c>
      <c r="C59">
        <v>36325271</v>
      </c>
      <c r="D59" t="s">
        <v>551</v>
      </c>
      <c r="E59" s="1">
        <v>0</v>
      </c>
      <c r="F59" t="s">
        <v>82</v>
      </c>
      <c r="G59">
        <v>580</v>
      </c>
      <c r="H59">
        <v>92</v>
      </c>
      <c r="K59" t="s">
        <v>552</v>
      </c>
      <c r="L59" s="1">
        <v>1</v>
      </c>
      <c r="M59" s="1" t="s">
        <v>553</v>
      </c>
      <c r="N59" t="s">
        <v>554</v>
      </c>
      <c r="O59" t="s">
        <v>555</v>
      </c>
      <c r="P59" t="s">
        <v>556</v>
      </c>
      <c r="Q59" t="s">
        <v>557</v>
      </c>
      <c r="R59" t="s">
        <v>558</v>
      </c>
      <c r="S59">
        <v>2022</v>
      </c>
      <c r="T59" s="2">
        <v>44868</v>
      </c>
      <c r="U59" t="s">
        <v>559</v>
      </c>
      <c r="W59" t="s">
        <v>560</v>
      </c>
      <c r="Y59">
        <f t="shared" si="0"/>
        <v>580</v>
      </c>
      <c r="Z59">
        <f t="shared" si="1"/>
        <v>6</v>
      </c>
      <c r="AA59">
        <f t="shared" si="2"/>
        <v>0</v>
      </c>
    </row>
    <row r="60" spans="1:27" x14ac:dyDescent="0.3">
      <c r="A60" t="s">
        <v>1350</v>
      </c>
      <c r="B60" t="s">
        <v>1351</v>
      </c>
      <c r="C60">
        <v>36209229</v>
      </c>
      <c r="D60" t="s">
        <v>561</v>
      </c>
      <c r="E60" s="1">
        <v>0</v>
      </c>
      <c r="F60" t="s">
        <v>23</v>
      </c>
      <c r="G60">
        <v>398</v>
      </c>
      <c r="H60">
        <v>92</v>
      </c>
      <c r="J60">
        <v>9</v>
      </c>
      <c r="K60" t="s">
        <v>6069</v>
      </c>
      <c r="L60" s="1">
        <v>1</v>
      </c>
      <c r="M60" s="1" t="s">
        <v>562</v>
      </c>
      <c r="N60" t="s">
        <v>563</v>
      </c>
      <c r="O60" t="s">
        <v>564</v>
      </c>
      <c r="P60" t="s">
        <v>565</v>
      </c>
      <c r="Q60" t="s">
        <v>566</v>
      </c>
      <c r="R60" t="s">
        <v>567</v>
      </c>
      <c r="S60">
        <v>2022</v>
      </c>
      <c r="T60" s="2">
        <v>44842</v>
      </c>
      <c r="U60" t="s">
        <v>568</v>
      </c>
      <c r="W60" t="s">
        <v>569</v>
      </c>
      <c r="Y60">
        <f t="shared" si="0"/>
        <v>398</v>
      </c>
      <c r="Z60">
        <f t="shared" si="1"/>
        <v>4</v>
      </c>
      <c r="AA60">
        <f t="shared" si="2"/>
        <v>0</v>
      </c>
    </row>
    <row r="61" spans="1:27" x14ac:dyDescent="0.3">
      <c r="A61" t="s">
        <v>1350</v>
      </c>
      <c r="B61" t="s">
        <v>1351</v>
      </c>
      <c r="C61" s="4">
        <v>36694116</v>
      </c>
      <c r="D61" s="4" t="s">
        <v>570</v>
      </c>
      <c r="E61" s="5">
        <v>0</v>
      </c>
      <c r="F61" s="4" t="s">
        <v>571</v>
      </c>
      <c r="G61" s="4">
        <v>1080</v>
      </c>
      <c r="H61" s="4">
        <v>2</v>
      </c>
      <c r="I61" s="4"/>
      <c r="J61" s="4"/>
      <c r="K61" s="4" t="s">
        <v>572</v>
      </c>
      <c r="L61" s="4">
        <v>1</v>
      </c>
      <c r="M61" s="5" t="s">
        <v>573</v>
      </c>
      <c r="N61" s="4" t="s">
        <v>574</v>
      </c>
      <c r="O61" s="4" t="s">
        <v>575</v>
      </c>
      <c r="P61" s="4" t="s">
        <v>576</v>
      </c>
      <c r="Q61" s="4" t="s">
        <v>577</v>
      </c>
      <c r="R61" s="4" t="s">
        <v>67</v>
      </c>
      <c r="S61" s="4">
        <v>2023</v>
      </c>
      <c r="T61" s="6">
        <v>44950</v>
      </c>
      <c r="U61" s="4" t="s">
        <v>578</v>
      </c>
      <c r="V61" s="4"/>
      <c r="W61" s="4" t="s">
        <v>579</v>
      </c>
      <c r="Y61">
        <f t="shared" si="0"/>
        <v>1080</v>
      </c>
      <c r="Z61">
        <f t="shared" si="1"/>
        <v>11</v>
      </c>
      <c r="AA61">
        <f t="shared" si="2"/>
        <v>0</v>
      </c>
    </row>
    <row r="62" spans="1:27" x14ac:dyDescent="0.3">
      <c r="A62" t="s">
        <v>1350</v>
      </c>
      <c r="B62" t="s">
        <v>1351</v>
      </c>
      <c r="C62">
        <v>35792171</v>
      </c>
      <c r="D62" t="s">
        <v>580</v>
      </c>
      <c r="E62" s="1">
        <v>0</v>
      </c>
      <c r="F62" t="s">
        <v>581</v>
      </c>
      <c r="G62">
        <v>6</v>
      </c>
      <c r="H62">
        <v>92</v>
      </c>
      <c r="I62">
        <v>10</v>
      </c>
      <c r="L62" s="1">
        <v>1</v>
      </c>
      <c r="M62" s="1" t="s">
        <v>582</v>
      </c>
      <c r="N62" t="s">
        <v>583</v>
      </c>
      <c r="O62" t="s">
        <v>584</v>
      </c>
      <c r="P62" t="s">
        <v>585</v>
      </c>
      <c r="Q62" t="s">
        <v>586</v>
      </c>
      <c r="R62" t="s">
        <v>587</v>
      </c>
      <c r="S62">
        <v>2022</v>
      </c>
      <c r="T62" s="2">
        <v>44748</v>
      </c>
      <c r="W62" t="s">
        <v>588</v>
      </c>
      <c r="Y62">
        <f t="shared" si="0"/>
        <v>6</v>
      </c>
      <c r="Z62">
        <f t="shared" si="1"/>
        <v>0</v>
      </c>
      <c r="AA62">
        <f t="shared" si="2"/>
        <v>0</v>
      </c>
    </row>
    <row r="63" spans="1:27" x14ac:dyDescent="0.3">
      <c r="A63" t="s">
        <v>1350</v>
      </c>
      <c r="B63" t="s">
        <v>1351</v>
      </c>
      <c r="C63">
        <v>36738080</v>
      </c>
      <c r="D63" t="s">
        <v>589</v>
      </c>
      <c r="E63" s="1">
        <v>0</v>
      </c>
      <c r="F63" t="s">
        <v>590</v>
      </c>
      <c r="G63">
        <v>2578</v>
      </c>
      <c r="H63">
        <v>171</v>
      </c>
      <c r="I63">
        <v>27</v>
      </c>
      <c r="J63">
        <v>3</v>
      </c>
      <c r="K63" t="s">
        <v>591</v>
      </c>
      <c r="L63">
        <v>2</v>
      </c>
      <c r="M63" t="s">
        <v>592</v>
      </c>
      <c r="N63" t="s">
        <v>593</v>
      </c>
      <c r="O63" t="s">
        <v>594</v>
      </c>
      <c r="P63" t="s">
        <v>595</v>
      </c>
      <c r="Q63" t="s">
        <v>596</v>
      </c>
      <c r="R63" t="s">
        <v>597</v>
      </c>
      <c r="S63">
        <v>2023</v>
      </c>
      <c r="T63" s="2">
        <v>44961</v>
      </c>
      <c r="W63" t="s">
        <v>598</v>
      </c>
      <c r="Y63">
        <f t="shared" si="0"/>
        <v>5156</v>
      </c>
      <c r="Z63">
        <f t="shared" si="1"/>
        <v>53</v>
      </c>
      <c r="AA63">
        <f t="shared" si="2"/>
        <v>1</v>
      </c>
    </row>
    <row r="64" spans="1:27" x14ac:dyDescent="0.3">
      <c r="A64" t="s">
        <v>1350</v>
      </c>
      <c r="B64" t="s">
        <v>1351</v>
      </c>
      <c r="C64">
        <v>36467791</v>
      </c>
      <c r="D64" t="s">
        <v>599</v>
      </c>
      <c r="E64" s="1">
        <v>0</v>
      </c>
      <c r="F64" t="s">
        <v>82</v>
      </c>
      <c r="G64">
        <v>59</v>
      </c>
      <c r="H64">
        <v>92</v>
      </c>
      <c r="J64">
        <v>11</v>
      </c>
      <c r="K64" t="s">
        <v>600</v>
      </c>
      <c r="L64" s="1">
        <v>1</v>
      </c>
      <c r="M64" s="1" t="s">
        <v>94</v>
      </c>
      <c r="N64" t="s">
        <v>601</v>
      </c>
      <c r="O64" t="s">
        <v>602</v>
      </c>
      <c r="P64" t="s">
        <v>603</v>
      </c>
      <c r="Q64" t="s">
        <v>604</v>
      </c>
      <c r="R64" t="s">
        <v>605</v>
      </c>
      <c r="S64">
        <v>2022</v>
      </c>
      <c r="T64" s="2">
        <v>44900</v>
      </c>
      <c r="U64" t="s">
        <v>606</v>
      </c>
      <c r="W64" t="s">
        <v>607</v>
      </c>
      <c r="Y64">
        <f t="shared" si="0"/>
        <v>59</v>
      </c>
      <c r="Z64">
        <f t="shared" si="1"/>
        <v>0</v>
      </c>
      <c r="AA64">
        <f t="shared" si="2"/>
        <v>1</v>
      </c>
    </row>
    <row r="65" spans="1:27" x14ac:dyDescent="0.3">
      <c r="A65" t="s">
        <v>1350</v>
      </c>
      <c r="B65" t="s">
        <v>1351</v>
      </c>
      <c r="C65">
        <v>36428847</v>
      </c>
      <c r="D65" t="s">
        <v>608</v>
      </c>
      <c r="E65" s="1">
        <v>0</v>
      </c>
      <c r="F65" t="s">
        <v>286</v>
      </c>
      <c r="G65">
        <v>182</v>
      </c>
      <c r="H65">
        <v>17</v>
      </c>
      <c r="I65">
        <v>6</v>
      </c>
      <c r="K65" t="s">
        <v>609</v>
      </c>
      <c r="L65">
        <v>2</v>
      </c>
      <c r="M65" s="1" t="s">
        <v>610</v>
      </c>
      <c r="O65" t="s">
        <v>611</v>
      </c>
      <c r="P65" t="s">
        <v>612</v>
      </c>
      <c r="Q65" t="s">
        <v>613</v>
      </c>
      <c r="R65" t="s">
        <v>614</v>
      </c>
      <c r="S65">
        <v>2022</v>
      </c>
      <c r="T65" s="2">
        <v>44891</v>
      </c>
      <c r="U65" t="s">
        <v>615</v>
      </c>
      <c r="W65" t="s">
        <v>616</v>
      </c>
      <c r="Y65">
        <f t="shared" si="0"/>
        <v>364</v>
      </c>
      <c r="Z65">
        <f t="shared" si="1"/>
        <v>3</v>
      </c>
      <c r="AA65">
        <f t="shared" si="2"/>
        <v>1</v>
      </c>
    </row>
    <row r="66" spans="1:27" x14ac:dyDescent="0.3">
      <c r="A66" t="s">
        <v>1350</v>
      </c>
      <c r="B66" t="s">
        <v>1351</v>
      </c>
      <c r="C66">
        <v>36893189</v>
      </c>
      <c r="D66" t="s">
        <v>617</v>
      </c>
      <c r="E66" s="1">
        <v>0</v>
      </c>
      <c r="F66" t="s">
        <v>143</v>
      </c>
      <c r="G66">
        <v>87</v>
      </c>
      <c r="H66">
        <v>20</v>
      </c>
      <c r="I66">
        <v>12</v>
      </c>
      <c r="K66" t="s">
        <v>618</v>
      </c>
      <c r="L66">
        <v>1</v>
      </c>
      <c r="M66" t="s">
        <v>94</v>
      </c>
      <c r="N66" t="s">
        <v>619</v>
      </c>
      <c r="O66" t="s">
        <v>620</v>
      </c>
      <c r="P66" t="s">
        <v>621</v>
      </c>
      <c r="Q66" t="s">
        <v>622</v>
      </c>
      <c r="R66" t="s">
        <v>623</v>
      </c>
      <c r="S66">
        <v>2023</v>
      </c>
      <c r="T66" s="2">
        <v>44994</v>
      </c>
      <c r="U66" t="s">
        <v>624</v>
      </c>
      <c r="W66" t="s">
        <v>625</v>
      </c>
      <c r="Y66">
        <f t="shared" si="0"/>
        <v>87</v>
      </c>
      <c r="Z66">
        <f t="shared" si="1"/>
        <v>0</v>
      </c>
      <c r="AA66">
        <f t="shared" si="2"/>
        <v>1</v>
      </c>
    </row>
    <row r="67" spans="1:27" x14ac:dyDescent="0.3">
      <c r="A67" t="s">
        <v>1350</v>
      </c>
      <c r="B67" t="s">
        <v>1351</v>
      </c>
      <c r="C67" s="4">
        <v>35805033</v>
      </c>
      <c r="D67" s="4" t="s">
        <v>626</v>
      </c>
      <c r="E67" s="4">
        <v>0</v>
      </c>
      <c r="F67" s="4" t="s">
        <v>627</v>
      </c>
      <c r="G67" s="4">
        <v>205</v>
      </c>
      <c r="H67" s="4">
        <v>1104</v>
      </c>
      <c r="I67" s="4">
        <v>27</v>
      </c>
      <c r="J67" s="4">
        <v>6</v>
      </c>
      <c r="K67" s="4" t="s">
        <v>628</v>
      </c>
      <c r="L67" s="4">
        <v>12</v>
      </c>
      <c r="M67" s="5" t="s">
        <v>629</v>
      </c>
      <c r="N67" s="4" t="s">
        <v>630</v>
      </c>
      <c r="O67" s="4" t="s">
        <v>631</v>
      </c>
      <c r="P67" s="4" t="s">
        <v>632</v>
      </c>
      <c r="Q67" s="4" t="s">
        <v>633</v>
      </c>
      <c r="R67" s="4" t="s">
        <v>444</v>
      </c>
      <c r="S67" s="4">
        <v>2022</v>
      </c>
      <c r="T67" s="6">
        <v>44751</v>
      </c>
      <c r="U67" s="4" t="s">
        <v>634</v>
      </c>
      <c r="V67" s="4"/>
      <c r="W67" s="4" t="s">
        <v>635</v>
      </c>
      <c r="Y67">
        <f t="shared" ref="Y67:Y130" si="3">IFERROR(L67*G67,"N/A")</f>
        <v>2460</v>
      </c>
      <c r="Z67">
        <f t="shared" ref="Z67:Z130" si="4">IFERROR(ROUNDDOWN(Y67/96,0),"")</f>
        <v>25</v>
      </c>
      <c r="AA67">
        <f t="shared" ref="AA67:AA130" si="5">IFERROR(ROUNDDOWN((MOD(Y67,96)/48),0),"")</f>
        <v>1</v>
      </c>
    </row>
    <row r="68" spans="1:27" x14ac:dyDescent="0.3">
      <c r="A68" t="s">
        <v>1350</v>
      </c>
      <c r="B68" t="s">
        <v>1351</v>
      </c>
      <c r="C68">
        <v>36829233</v>
      </c>
      <c r="D68" t="s">
        <v>636</v>
      </c>
      <c r="E68" s="1">
        <v>0</v>
      </c>
      <c r="F68" t="s">
        <v>112</v>
      </c>
      <c r="G68">
        <v>60</v>
      </c>
      <c r="H68">
        <v>276</v>
      </c>
      <c r="I68">
        <v>42</v>
      </c>
      <c r="J68">
        <v>3</v>
      </c>
      <c r="K68" t="s">
        <v>637</v>
      </c>
      <c r="L68">
        <v>3</v>
      </c>
      <c r="M68" t="s">
        <v>638</v>
      </c>
      <c r="N68" t="s">
        <v>639</v>
      </c>
      <c r="O68" t="s">
        <v>640</v>
      </c>
      <c r="P68" t="s">
        <v>641</v>
      </c>
      <c r="Q68" t="s">
        <v>642</v>
      </c>
      <c r="R68" t="s">
        <v>282</v>
      </c>
      <c r="S68">
        <v>2023</v>
      </c>
      <c r="T68" s="2">
        <v>44981</v>
      </c>
      <c r="U68" t="s">
        <v>643</v>
      </c>
      <c r="W68" t="s">
        <v>644</v>
      </c>
      <c r="Y68">
        <f t="shared" si="3"/>
        <v>180</v>
      </c>
      <c r="Z68">
        <f t="shared" si="4"/>
        <v>1</v>
      </c>
      <c r="AA68">
        <f t="shared" si="5"/>
        <v>1</v>
      </c>
    </row>
    <row r="69" spans="1:27" x14ac:dyDescent="0.3">
      <c r="A69" t="s">
        <v>1350</v>
      </c>
      <c r="B69" t="s">
        <v>1351</v>
      </c>
      <c r="C69">
        <v>37047248</v>
      </c>
      <c r="D69" t="s">
        <v>645</v>
      </c>
      <c r="E69" s="1">
        <v>0</v>
      </c>
      <c r="F69" t="s">
        <v>112</v>
      </c>
      <c r="G69">
        <v>76</v>
      </c>
      <c r="H69">
        <v>1387</v>
      </c>
      <c r="I69">
        <v>7</v>
      </c>
      <c r="K69" t="s">
        <v>646</v>
      </c>
      <c r="L69">
        <v>1</v>
      </c>
      <c r="M69" t="s">
        <v>647</v>
      </c>
      <c r="N69" t="s">
        <v>648</v>
      </c>
      <c r="O69" t="s">
        <v>649</v>
      </c>
      <c r="P69" t="s">
        <v>650</v>
      </c>
      <c r="Q69" t="s">
        <v>651</v>
      </c>
      <c r="R69" t="s">
        <v>168</v>
      </c>
      <c r="S69">
        <v>2023</v>
      </c>
      <c r="T69" s="2">
        <v>45029</v>
      </c>
      <c r="U69" t="s">
        <v>652</v>
      </c>
      <c r="W69" t="s">
        <v>653</v>
      </c>
      <c r="Y69">
        <f t="shared" si="3"/>
        <v>76</v>
      </c>
      <c r="Z69">
        <f t="shared" si="4"/>
        <v>0</v>
      </c>
      <c r="AA69">
        <f t="shared" si="5"/>
        <v>1</v>
      </c>
    </row>
    <row r="70" spans="1:27" x14ac:dyDescent="0.3">
      <c r="A70" t="s">
        <v>1350</v>
      </c>
      <c r="B70" t="s">
        <v>1351</v>
      </c>
      <c r="C70">
        <v>36351678</v>
      </c>
      <c r="D70" t="s">
        <v>654</v>
      </c>
      <c r="E70" s="1">
        <v>0</v>
      </c>
      <c r="F70" t="s">
        <v>655</v>
      </c>
      <c r="G70">
        <v>81</v>
      </c>
      <c r="H70">
        <v>184</v>
      </c>
      <c r="I70">
        <v>7</v>
      </c>
      <c r="K70" t="s">
        <v>656</v>
      </c>
      <c r="L70">
        <v>2</v>
      </c>
      <c r="M70" t="s">
        <v>657</v>
      </c>
      <c r="N70" t="s">
        <v>658</v>
      </c>
      <c r="O70" t="s">
        <v>659</v>
      </c>
      <c r="P70" t="s">
        <v>660</v>
      </c>
      <c r="Q70" t="s">
        <v>661</v>
      </c>
      <c r="R70" t="s">
        <v>662</v>
      </c>
      <c r="S70">
        <v>2022</v>
      </c>
      <c r="T70" s="2">
        <v>44874</v>
      </c>
      <c r="U70" t="s">
        <v>663</v>
      </c>
      <c r="W70" t="s">
        <v>664</v>
      </c>
      <c r="Y70">
        <f t="shared" si="3"/>
        <v>162</v>
      </c>
      <c r="Z70">
        <f t="shared" si="4"/>
        <v>1</v>
      </c>
      <c r="AA70">
        <f t="shared" si="5"/>
        <v>1</v>
      </c>
    </row>
    <row r="71" spans="1:27" x14ac:dyDescent="0.3">
      <c r="A71" t="s">
        <v>1350</v>
      </c>
      <c r="B71" t="s">
        <v>1351</v>
      </c>
      <c r="C71">
        <v>36788016</v>
      </c>
      <c r="D71" t="s">
        <v>665</v>
      </c>
      <c r="E71" s="1">
        <v>0</v>
      </c>
      <c r="F71" t="s">
        <v>153</v>
      </c>
      <c r="G71">
        <v>352</v>
      </c>
      <c r="H71">
        <v>446</v>
      </c>
      <c r="J71">
        <v>25</v>
      </c>
      <c r="K71" t="s">
        <v>6070</v>
      </c>
      <c r="L71">
        <v>5</v>
      </c>
      <c r="M71" t="s">
        <v>666</v>
      </c>
      <c r="N71" t="s">
        <v>667</v>
      </c>
      <c r="O71" t="s">
        <v>668</v>
      </c>
      <c r="P71" t="s">
        <v>669</v>
      </c>
      <c r="Q71" t="s">
        <v>670</v>
      </c>
      <c r="R71" t="s">
        <v>671</v>
      </c>
      <c r="S71">
        <v>2023</v>
      </c>
      <c r="T71" s="2">
        <v>44971</v>
      </c>
      <c r="W71" t="s">
        <v>672</v>
      </c>
      <c r="Y71">
        <f t="shared" si="3"/>
        <v>1760</v>
      </c>
      <c r="Z71">
        <f t="shared" si="4"/>
        <v>18</v>
      </c>
      <c r="AA71">
        <f t="shared" si="5"/>
        <v>0</v>
      </c>
    </row>
    <row r="72" spans="1:27" x14ac:dyDescent="0.3">
      <c r="A72" t="s">
        <v>1350</v>
      </c>
      <c r="B72" t="s">
        <v>1351</v>
      </c>
      <c r="C72">
        <v>36267007</v>
      </c>
      <c r="D72" t="s">
        <v>673</v>
      </c>
      <c r="E72" s="1">
        <v>0</v>
      </c>
      <c r="F72" t="s">
        <v>674</v>
      </c>
      <c r="G72">
        <v>279</v>
      </c>
      <c r="H72">
        <v>273</v>
      </c>
      <c r="I72">
        <v>35</v>
      </c>
      <c r="K72" t="s">
        <v>675</v>
      </c>
      <c r="L72">
        <v>3</v>
      </c>
      <c r="M72" t="s">
        <v>676</v>
      </c>
      <c r="N72" t="s">
        <v>677</v>
      </c>
      <c r="O72" t="s">
        <v>678</v>
      </c>
      <c r="P72" t="s">
        <v>679</v>
      </c>
      <c r="Q72" t="s">
        <v>680</v>
      </c>
      <c r="R72" t="s">
        <v>681</v>
      </c>
      <c r="S72">
        <v>2023</v>
      </c>
      <c r="T72" s="2">
        <v>44855</v>
      </c>
      <c r="W72" t="s">
        <v>682</v>
      </c>
      <c r="Y72">
        <f t="shared" si="3"/>
        <v>837</v>
      </c>
      <c r="Z72">
        <f t="shared" si="4"/>
        <v>8</v>
      </c>
      <c r="AA72">
        <f t="shared" si="5"/>
        <v>1</v>
      </c>
    </row>
    <row r="73" spans="1:27" x14ac:dyDescent="0.3">
      <c r="A73" t="s">
        <v>1350</v>
      </c>
      <c r="B73" t="s">
        <v>1351</v>
      </c>
      <c r="C73">
        <v>36054558</v>
      </c>
      <c r="D73" t="s">
        <v>683</v>
      </c>
      <c r="E73" s="1">
        <v>0</v>
      </c>
      <c r="F73" t="s">
        <v>82</v>
      </c>
      <c r="G73">
        <v>401</v>
      </c>
      <c r="H73">
        <v>184</v>
      </c>
      <c r="J73">
        <v>6</v>
      </c>
      <c r="K73" t="s">
        <v>684</v>
      </c>
      <c r="L73">
        <v>2</v>
      </c>
      <c r="M73" t="s">
        <v>685</v>
      </c>
      <c r="N73" t="s">
        <v>686</v>
      </c>
      <c r="O73" t="s">
        <v>687</v>
      </c>
      <c r="P73" t="s">
        <v>688</v>
      </c>
      <c r="Q73" t="s">
        <v>689</v>
      </c>
      <c r="R73" t="s">
        <v>690</v>
      </c>
      <c r="S73">
        <v>2023</v>
      </c>
      <c r="T73" s="2">
        <v>44806</v>
      </c>
      <c r="W73" t="s">
        <v>691</v>
      </c>
      <c r="Y73">
        <f t="shared" si="3"/>
        <v>802</v>
      </c>
      <c r="Z73">
        <f t="shared" si="4"/>
        <v>8</v>
      </c>
      <c r="AA73">
        <f t="shared" si="5"/>
        <v>0</v>
      </c>
    </row>
    <row r="74" spans="1:27" x14ac:dyDescent="0.3">
      <c r="A74" t="s">
        <v>1350</v>
      </c>
      <c r="B74" t="s">
        <v>1351</v>
      </c>
      <c r="C74">
        <v>36180668</v>
      </c>
      <c r="D74" t="s">
        <v>692</v>
      </c>
      <c r="E74" s="1">
        <v>0</v>
      </c>
      <c r="F74" t="s">
        <v>655</v>
      </c>
      <c r="G74">
        <v>857</v>
      </c>
      <c r="H74">
        <v>92</v>
      </c>
      <c r="I74" t="s">
        <v>693</v>
      </c>
      <c r="K74" t="s">
        <v>694</v>
      </c>
      <c r="L74">
        <v>1</v>
      </c>
      <c r="M74" t="s">
        <v>695</v>
      </c>
      <c r="N74" t="s">
        <v>696</v>
      </c>
      <c r="O74" t="s">
        <v>697</v>
      </c>
      <c r="P74" t="s">
        <v>698</v>
      </c>
      <c r="Q74" t="s">
        <v>699</v>
      </c>
      <c r="R74" t="s">
        <v>700</v>
      </c>
      <c r="S74">
        <v>2022</v>
      </c>
      <c r="T74" s="2">
        <v>44834</v>
      </c>
      <c r="U74" t="s">
        <v>701</v>
      </c>
      <c r="W74" t="s">
        <v>702</v>
      </c>
      <c r="Y74">
        <f t="shared" si="3"/>
        <v>857</v>
      </c>
      <c r="Z74">
        <f t="shared" si="4"/>
        <v>8</v>
      </c>
      <c r="AA74">
        <f t="shared" si="5"/>
        <v>1</v>
      </c>
    </row>
    <row r="75" spans="1:27" x14ac:dyDescent="0.3">
      <c r="A75" t="s">
        <v>1350</v>
      </c>
      <c r="B75" t="s">
        <v>1351</v>
      </c>
      <c r="C75">
        <v>36255228</v>
      </c>
      <c r="D75" t="s">
        <v>703</v>
      </c>
      <c r="E75" s="1">
        <v>0</v>
      </c>
      <c r="F75" t="s">
        <v>153</v>
      </c>
      <c r="G75">
        <v>191</v>
      </c>
      <c r="H75">
        <v>92</v>
      </c>
      <c r="J75">
        <v>8</v>
      </c>
      <c r="K75" t="s">
        <v>704</v>
      </c>
      <c r="L75">
        <v>1</v>
      </c>
      <c r="M75" t="s">
        <v>705</v>
      </c>
      <c r="N75" t="s">
        <v>706</v>
      </c>
      <c r="O75" t="s">
        <v>707</v>
      </c>
      <c r="P75" t="s">
        <v>708</v>
      </c>
      <c r="Q75" t="s">
        <v>709</v>
      </c>
      <c r="R75" t="s">
        <v>418</v>
      </c>
      <c r="S75">
        <v>2022</v>
      </c>
      <c r="T75" s="2">
        <v>44852</v>
      </c>
      <c r="W75" t="s">
        <v>710</v>
      </c>
      <c r="Y75">
        <f t="shared" si="3"/>
        <v>191</v>
      </c>
      <c r="Z75">
        <f t="shared" si="4"/>
        <v>1</v>
      </c>
      <c r="AA75">
        <f t="shared" si="5"/>
        <v>1</v>
      </c>
    </row>
    <row r="76" spans="1:27" x14ac:dyDescent="0.3">
      <c r="A76" t="s">
        <v>1350</v>
      </c>
      <c r="B76" t="s">
        <v>1351</v>
      </c>
      <c r="C76">
        <v>36578124</v>
      </c>
      <c r="D76" t="s">
        <v>711</v>
      </c>
      <c r="E76" s="1">
        <v>0</v>
      </c>
      <c r="F76" t="s">
        <v>712</v>
      </c>
      <c r="G76">
        <v>24</v>
      </c>
      <c r="H76">
        <v>92</v>
      </c>
      <c r="K76" t="s">
        <v>713</v>
      </c>
      <c r="L76">
        <v>1</v>
      </c>
      <c r="M76" t="s">
        <v>553</v>
      </c>
      <c r="N76" t="s">
        <v>714</v>
      </c>
      <c r="O76" t="s">
        <v>715</v>
      </c>
      <c r="P76" t="s">
        <v>716</v>
      </c>
      <c r="Q76" t="s">
        <v>717</v>
      </c>
      <c r="R76" t="s">
        <v>718</v>
      </c>
      <c r="S76">
        <v>2022</v>
      </c>
      <c r="T76" s="2">
        <v>44924</v>
      </c>
      <c r="W76" t="s">
        <v>719</v>
      </c>
      <c r="Y76">
        <f t="shared" si="3"/>
        <v>24</v>
      </c>
      <c r="Z76">
        <f t="shared" si="4"/>
        <v>0</v>
      </c>
      <c r="AA76">
        <f t="shared" si="5"/>
        <v>0</v>
      </c>
    </row>
    <row r="77" spans="1:27" x14ac:dyDescent="0.3">
      <c r="A77" t="s">
        <v>1350</v>
      </c>
      <c r="B77" t="s">
        <v>1351</v>
      </c>
      <c r="C77" s="4">
        <v>36179808</v>
      </c>
      <c r="D77" s="4" t="s">
        <v>720</v>
      </c>
      <c r="E77" s="5">
        <v>0</v>
      </c>
      <c r="F77" s="4" t="s">
        <v>23</v>
      </c>
      <c r="G77" s="4"/>
      <c r="H77" s="4"/>
      <c r="I77" s="4">
        <v>15</v>
      </c>
      <c r="J77" s="4"/>
      <c r="K77" s="4" t="s">
        <v>721</v>
      </c>
      <c r="L77" s="4"/>
      <c r="M77" s="4" t="s">
        <v>722</v>
      </c>
      <c r="N77" s="4" t="s">
        <v>723</v>
      </c>
      <c r="O77" s="4" t="s">
        <v>724</v>
      </c>
      <c r="P77" s="4" t="s">
        <v>725</v>
      </c>
      <c r="Q77" s="4" t="s">
        <v>726</v>
      </c>
      <c r="R77" s="4" t="s">
        <v>727</v>
      </c>
      <c r="S77" s="4">
        <v>2022</v>
      </c>
      <c r="T77" s="6">
        <v>44834</v>
      </c>
      <c r="U77" s="4"/>
      <c r="V77" s="4"/>
      <c r="W77" s="4" t="s">
        <v>728</v>
      </c>
      <c r="Y77">
        <f t="shared" si="3"/>
        <v>0</v>
      </c>
      <c r="Z77">
        <f t="shared" si="4"/>
        <v>0</v>
      </c>
      <c r="AA77">
        <f t="shared" si="5"/>
        <v>0</v>
      </c>
    </row>
    <row r="78" spans="1:27" x14ac:dyDescent="0.3">
      <c r="A78" t="s">
        <v>1350</v>
      </c>
      <c r="B78" t="s">
        <v>1351</v>
      </c>
      <c r="C78">
        <v>36104952</v>
      </c>
      <c r="D78" t="s">
        <v>729</v>
      </c>
      <c r="E78" s="1">
        <v>0</v>
      </c>
      <c r="F78" t="s">
        <v>730</v>
      </c>
      <c r="G78">
        <v>2118</v>
      </c>
      <c r="H78">
        <v>92</v>
      </c>
      <c r="K78" t="s">
        <v>731</v>
      </c>
      <c r="L78">
        <v>1</v>
      </c>
      <c r="M78" t="s">
        <v>732</v>
      </c>
      <c r="N78" t="s">
        <v>733</v>
      </c>
      <c r="O78" t="s">
        <v>734</v>
      </c>
      <c r="P78" t="s">
        <v>735</v>
      </c>
      <c r="Q78" t="s">
        <v>736</v>
      </c>
      <c r="R78" t="s">
        <v>737</v>
      </c>
      <c r="S78">
        <v>2023</v>
      </c>
      <c r="T78" s="2">
        <v>44819</v>
      </c>
      <c r="W78" t="s">
        <v>738</v>
      </c>
      <c r="Y78">
        <f t="shared" si="3"/>
        <v>2118</v>
      </c>
      <c r="Z78">
        <f t="shared" si="4"/>
        <v>22</v>
      </c>
      <c r="AA78">
        <f t="shared" si="5"/>
        <v>0</v>
      </c>
    </row>
    <row r="79" spans="1:27" x14ac:dyDescent="0.3">
      <c r="A79" t="s">
        <v>1350</v>
      </c>
      <c r="B79" t="s">
        <v>1351</v>
      </c>
      <c r="C79">
        <v>35723762</v>
      </c>
      <c r="D79" t="s">
        <v>739</v>
      </c>
      <c r="E79" s="1">
        <v>0</v>
      </c>
      <c r="F79" t="s">
        <v>112</v>
      </c>
      <c r="G79">
        <v>75</v>
      </c>
      <c r="H79">
        <v>184</v>
      </c>
      <c r="I79">
        <v>7</v>
      </c>
      <c r="K79" t="s">
        <v>740</v>
      </c>
      <c r="L79">
        <v>2</v>
      </c>
      <c r="M79" t="s">
        <v>741</v>
      </c>
      <c r="N79" t="s">
        <v>742</v>
      </c>
      <c r="O79" t="s">
        <v>743</v>
      </c>
      <c r="P79" t="s">
        <v>744</v>
      </c>
      <c r="Q79" t="s">
        <v>745</v>
      </c>
      <c r="R79" t="s">
        <v>746</v>
      </c>
      <c r="S79">
        <v>2022</v>
      </c>
      <c r="T79" s="2">
        <v>44732</v>
      </c>
      <c r="U79" t="s">
        <v>747</v>
      </c>
      <c r="W79" t="s">
        <v>748</v>
      </c>
      <c r="Y79">
        <f t="shared" si="3"/>
        <v>150</v>
      </c>
      <c r="Z79">
        <f t="shared" si="4"/>
        <v>1</v>
      </c>
      <c r="AA79">
        <f t="shared" si="5"/>
        <v>1</v>
      </c>
    </row>
    <row r="80" spans="1:27" x14ac:dyDescent="0.3">
      <c r="A80" t="s">
        <v>1350</v>
      </c>
      <c r="B80" t="s">
        <v>1351</v>
      </c>
      <c r="C80">
        <v>36230528</v>
      </c>
      <c r="D80" t="s">
        <v>749</v>
      </c>
      <c r="E80" s="1">
        <v>0</v>
      </c>
      <c r="F80" t="s">
        <v>82</v>
      </c>
      <c r="G80">
        <v>83</v>
      </c>
      <c r="H80">
        <v>92</v>
      </c>
      <c r="J80">
        <v>13</v>
      </c>
      <c r="K80" t="s">
        <v>750</v>
      </c>
      <c r="L80">
        <v>1</v>
      </c>
      <c r="M80" t="s">
        <v>751</v>
      </c>
      <c r="N80" t="s">
        <v>752</v>
      </c>
      <c r="O80" t="s">
        <v>753</v>
      </c>
      <c r="P80" t="s">
        <v>754</v>
      </c>
      <c r="Q80" t="s">
        <v>755</v>
      </c>
      <c r="R80" t="s">
        <v>444</v>
      </c>
      <c r="S80">
        <v>2022</v>
      </c>
      <c r="T80" s="2">
        <v>44848</v>
      </c>
      <c r="U80" t="s">
        <v>756</v>
      </c>
      <c r="W80" t="s">
        <v>757</v>
      </c>
      <c r="Y80">
        <f t="shared" si="3"/>
        <v>83</v>
      </c>
      <c r="Z80">
        <f t="shared" si="4"/>
        <v>0</v>
      </c>
      <c r="AA80">
        <f t="shared" si="5"/>
        <v>1</v>
      </c>
    </row>
    <row r="81" spans="1:27" x14ac:dyDescent="0.3">
      <c r="A81" t="s">
        <v>1350</v>
      </c>
      <c r="B81" t="s">
        <v>1351</v>
      </c>
      <c r="C81">
        <v>36843211</v>
      </c>
      <c r="D81" t="s">
        <v>758</v>
      </c>
      <c r="E81" s="1">
        <v>1</v>
      </c>
      <c r="F81" t="s">
        <v>759</v>
      </c>
      <c r="G81">
        <v>468</v>
      </c>
      <c r="I81">
        <v>21</v>
      </c>
      <c r="J81">
        <v>18</v>
      </c>
      <c r="K81" t="s">
        <v>760</v>
      </c>
      <c r="L81">
        <v>1</v>
      </c>
      <c r="M81" t="s">
        <v>761</v>
      </c>
      <c r="N81" t="s">
        <v>762</v>
      </c>
      <c r="O81" t="s">
        <v>763</v>
      </c>
      <c r="P81" t="s">
        <v>764</v>
      </c>
      <c r="Q81" t="s">
        <v>765</v>
      </c>
      <c r="R81" t="s">
        <v>139</v>
      </c>
      <c r="S81">
        <v>2023</v>
      </c>
      <c r="T81" s="2">
        <v>44984</v>
      </c>
      <c r="W81" t="s">
        <v>766</v>
      </c>
      <c r="Y81">
        <f t="shared" si="3"/>
        <v>468</v>
      </c>
      <c r="Z81">
        <f t="shared" si="4"/>
        <v>4</v>
      </c>
      <c r="AA81">
        <f t="shared" si="5"/>
        <v>1</v>
      </c>
    </row>
    <row r="82" spans="1:27" x14ac:dyDescent="0.3">
      <c r="A82" t="s">
        <v>1350</v>
      </c>
      <c r="B82" t="s">
        <v>1351</v>
      </c>
      <c r="C82" s="4">
        <v>36250429</v>
      </c>
      <c r="D82" s="4" t="s">
        <v>767</v>
      </c>
      <c r="E82" s="5">
        <v>0</v>
      </c>
      <c r="F82" s="4" t="s">
        <v>82</v>
      </c>
      <c r="G82" s="4">
        <v>273</v>
      </c>
      <c r="H82" s="4">
        <v>92</v>
      </c>
      <c r="I82" s="4">
        <v>0</v>
      </c>
      <c r="J82" s="4">
        <v>0</v>
      </c>
      <c r="K82" s="4"/>
      <c r="L82" s="4">
        <v>1</v>
      </c>
      <c r="M82" s="4" t="s">
        <v>553</v>
      </c>
      <c r="N82" s="10" t="s">
        <v>768</v>
      </c>
      <c r="O82" s="4" t="s">
        <v>769</v>
      </c>
      <c r="P82" s="4" t="s">
        <v>770</v>
      </c>
      <c r="Q82" s="4" t="s">
        <v>771</v>
      </c>
      <c r="R82" s="4" t="s">
        <v>772</v>
      </c>
      <c r="S82" s="4">
        <v>2023</v>
      </c>
      <c r="T82" s="6">
        <v>44851</v>
      </c>
      <c r="U82" s="4" t="s">
        <v>773</v>
      </c>
      <c r="V82" s="4"/>
      <c r="W82" s="4" t="s">
        <v>774</v>
      </c>
      <c r="Y82">
        <f t="shared" si="3"/>
        <v>273</v>
      </c>
      <c r="Z82">
        <f t="shared" si="4"/>
        <v>2</v>
      </c>
      <c r="AA82">
        <f t="shared" si="5"/>
        <v>1</v>
      </c>
    </row>
    <row r="83" spans="1:27" x14ac:dyDescent="0.3">
      <c r="A83" t="s">
        <v>1350</v>
      </c>
      <c r="B83" t="s">
        <v>1351</v>
      </c>
      <c r="C83">
        <v>36921563</v>
      </c>
      <c r="D83" t="s">
        <v>775</v>
      </c>
      <c r="E83" s="1">
        <v>0</v>
      </c>
      <c r="F83" t="s">
        <v>82</v>
      </c>
      <c r="G83">
        <v>60</v>
      </c>
      <c r="H83">
        <v>92</v>
      </c>
      <c r="I83">
        <v>10</v>
      </c>
      <c r="J83">
        <v>3</v>
      </c>
      <c r="K83" t="s">
        <v>776</v>
      </c>
      <c r="L83">
        <v>1</v>
      </c>
      <c r="M83" t="s">
        <v>777</v>
      </c>
      <c r="N83" t="s">
        <v>778</v>
      </c>
      <c r="O83" t="s">
        <v>779</v>
      </c>
      <c r="P83" t="s">
        <v>780</v>
      </c>
      <c r="Q83" t="s">
        <v>781</v>
      </c>
      <c r="R83" t="s">
        <v>782</v>
      </c>
      <c r="S83">
        <v>2023</v>
      </c>
      <c r="T83" s="2">
        <v>45000</v>
      </c>
      <c r="U83" t="s">
        <v>783</v>
      </c>
      <c r="W83" t="s">
        <v>784</v>
      </c>
      <c r="Y83">
        <f t="shared" si="3"/>
        <v>60</v>
      </c>
      <c r="Z83">
        <f t="shared" si="4"/>
        <v>0</v>
      </c>
      <c r="AA83">
        <f t="shared" si="5"/>
        <v>1</v>
      </c>
    </row>
    <row r="84" spans="1:27" x14ac:dyDescent="0.3">
      <c r="A84" t="s">
        <v>1350</v>
      </c>
      <c r="B84" t="s">
        <v>1351</v>
      </c>
      <c r="C84">
        <v>36973952</v>
      </c>
      <c r="D84" t="s">
        <v>785</v>
      </c>
      <c r="E84" s="1">
        <v>0</v>
      </c>
      <c r="F84" t="s">
        <v>786</v>
      </c>
      <c r="G84">
        <v>2069</v>
      </c>
      <c r="H84">
        <v>92</v>
      </c>
      <c r="I84">
        <v>41</v>
      </c>
      <c r="J84">
        <v>3</v>
      </c>
      <c r="K84" t="s">
        <v>787</v>
      </c>
      <c r="L84">
        <v>1</v>
      </c>
      <c r="M84" t="s">
        <v>788</v>
      </c>
      <c r="N84" t="s">
        <v>789</v>
      </c>
      <c r="O84" t="s">
        <v>790</v>
      </c>
      <c r="P84" t="s">
        <v>791</v>
      </c>
      <c r="Q84" t="s">
        <v>792</v>
      </c>
      <c r="R84" t="s">
        <v>793</v>
      </c>
      <c r="S84">
        <v>2023</v>
      </c>
      <c r="T84" s="2">
        <v>45013</v>
      </c>
      <c r="U84" t="s">
        <v>794</v>
      </c>
      <c r="W84" t="s">
        <v>795</v>
      </c>
      <c r="Y84">
        <f t="shared" si="3"/>
        <v>2069</v>
      </c>
      <c r="Z84">
        <f t="shared" si="4"/>
        <v>21</v>
      </c>
      <c r="AA84">
        <f t="shared" si="5"/>
        <v>1</v>
      </c>
    </row>
    <row r="85" spans="1:27" x14ac:dyDescent="0.3">
      <c r="A85" t="s">
        <v>1350</v>
      </c>
      <c r="B85" t="s">
        <v>1351</v>
      </c>
      <c r="C85">
        <v>35972918</v>
      </c>
      <c r="D85" t="s">
        <v>796</v>
      </c>
      <c r="E85" s="1">
        <v>0</v>
      </c>
      <c r="F85" t="s">
        <v>797</v>
      </c>
      <c r="G85">
        <v>44</v>
      </c>
      <c r="H85">
        <v>92</v>
      </c>
      <c r="L85">
        <v>1</v>
      </c>
      <c r="M85" t="s">
        <v>798</v>
      </c>
      <c r="N85" t="s">
        <v>799</v>
      </c>
      <c r="O85" t="s">
        <v>800</v>
      </c>
      <c r="P85" t="s">
        <v>801</v>
      </c>
      <c r="Q85" t="s">
        <v>802</v>
      </c>
      <c r="R85" t="s">
        <v>803</v>
      </c>
      <c r="S85">
        <v>2022</v>
      </c>
      <c r="T85" s="2">
        <v>44789</v>
      </c>
      <c r="U85" t="s">
        <v>804</v>
      </c>
      <c r="W85" t="s">
        <v>805</v>
      </c>
      <c r="Y85">
        <f t="shared" si="3"/>
        <v>44</v>
      </c>
      <c r="Z85">
        <f t="shared" si="4"/>
        <v>0</v>
      </c>
      <c r="AA85">
        <f t="shared" si="5"/>
        <v>0</v>
      </c>
    </row>
    <row r="86" spans="1:27" x14ac:dyDescent="0.3">
      <c r="A86" t="s">
        <v>1350</v>
      </c>
      <c r="B86" t="s">
        <v>1351</v>
      </c>
      <c r="C86">
        <v>36851212</v>
      </c>
      <c r="D86" t="s">
        <v>806</v>
      </c>
      <c r="E86" s="1">
        <v>0</v>
      </c>
      <c r="F86" t="s">
        <v>112</v>
      </c>
      <c r="G86">
        <v>18</v>
      </c>
      <c r="H86">
        <v>92</v>
      </c>
      <c r="I86">
        <v>5</v>
      </c>
      <c r="K86" t="s">
        <v>807</v>
      </c>
      <c r="L86">
        <v>1</v>
      </c>
      <c r="M86" t="s">
        <v>808</v>
      </c>
      <c r="N86" t="s">
        <v>809</v>
      </c>
      <c r="O86" t="s">
        <v>810</v>
      </c>
      <c r="P86" t="s">
        <v>811</v>
      </c>
      <c r="Q86" t="s">
        <v>812</v>
      </c>
      <c r="R86" t="s">
        <v>813</v>
      </c>
      <c r="S86">
        <v>2023</v>
      </c>
      <c r="T86" s="2">
        <v>44985</v>
      </c>
      <c r="U86" t="s">
        <v>814</v>
      </c>
      <c r="W86" t="s">
        <v>815</v>
      </c>
      <c r="Y86">
        <f t="shared" si="3"/>
        <v>18</v>
      </c>
      <c r="Z86">
        <f t="shared" si="4"/>
        <v>0</v>
      </c>
      <c r="AA86">
        <f t="shared" si="5"/>
        <v>0</v>
      </c>
    </row>
    <row r="87" spans="1:27" x14ac:dyDescent="0.3">
      <c r="A87" t="s">
        <v>1350</v>
      </c>
      <c r="B87" t="s">
        <v>1351</v>
      </c>
      <c r="C87" s="4">
        <v>36699667</v>
      </c>
      <c r="D87" s="4" t="s">
        <v>816</v>
      </c>
      <c r="E87" s="5">
        <v>0</v>
      </c>
      <c r="F87" s="4" t="s">
        <v>82</v>
      </c>
      <c r="G87" s="4">
        <v>929</v>
      </c>
      <c r="H87" s="4">
        <v>92</v>
      </c>
      <c r="I87" s="4" t="s">
        <v>817</v>
      </c>
      <c r="J87" s="4">
        <v>15</v>
      </c>
      <c r="K87" s="4" t="s">
        <v>818</v>
      </c>
      <c r="L87" s="4">
        <v>1</v>
      </c>
      <c r="M87" s="4" t="s">
        <v>751</v>
      </c>
      <c r="N87" s="4" t="s">
        <v>819</v>
      </c>
      <c r="O87" s="4" t="s">
        <v>820</v>
      </c>
      <c r="P87" s="4" t="s">
        <v>821</v>
      </c>
      <c r="Q87" s="4" t="s">
        <v>66</v>
      </c>
      <c r="R87" s="4" t="s">
        <v>822</v>
      </c>
      <c r="S87" s="4">
        <v>2022</v>
      </c>
      <c r="T87" s="6">
        <v>44952</v>
      </c>
      <c r="U87" s="4" t="s">
        <v>823</v>
      </c>
      <c r="V87" s="4"/>
      <c r="W87" s="4" t="s">
        <v>824</v>
      </c>
      <c r="Y87">
        <f t="shared" si="3"/>
        <v>929</v>
      </c>
      <c r="Z87">
        <f t="shared" si="4"/>
        <v>9</v>
      </c>
      <c r="AA87">
        <f t="shared" si="5"/>
        <v>1</v>
      </c>
    </row>
    <row r="88" spans="1:27" x14ac:dyDescent="0.3">
      <c r="A88" t="s">
        <v>1350</v>
      </c>
      <c r="B88" t="s">
        <v>1351</v>
      </c>
      <c r="C88">
        <v>36622372</v>
      </c>
      <c r="D88" t="s">
        <v>825</v>
      </c>
      <c r="E88" s="1">
        <v>0</v>
      </c>
      <c r="F88" t="s">
        <v>23</v>
      </c>
      <c r="G88">
        <v>87</v>
      </c>
      <c r="I88">
        <v>16</v>
      </c>
      <c r="K88" t="s">
        <v>826</v>
      </c>
      <c r="L88">
        <v>2</v>
      </c>
      <c r="M88" t="s">
        <v>827</v>
      </c>
      <c r="N88" t="s">
        <v>828</v>
      </c>
      <c r="O88" t="s">
        <v>829</v>
      </c>
      <c r="P88" t="s">
        <v>830</v>
      </c>
      <c r="Q88" t="s">
        <v>831</v>
      </c>
      <c r="R88" t="s">
        <v>832</v>
      </c>
      <c r="S88">
        <v>2023</v>
      </c>
      <c r="T88" s="2">
        <v>44935</v>
      </c>
      <c r="W88" t="s">
        <v>833</v>
      </c>
      <c r="Y88">
        <f t="shared" si="3"/>
        <v>174</v>
      </c>
      <c r="Z88">
        <f t="shared" si="4"/>
        <v>1</v>
      </c>
      <c r="AA88">
        <f t="shared" si="5"/>
        <v>1</v>
      </c>
    </row>
    <row r="89" spans="1:27" x14ac:dyDescent="0.3">
      <c r="A89" t="s">
        <v>1350</v>
      </c>
      <c r="B89" t="s">
        <v>1351</v>
      </c>
      <c r="C89">
        <v>36472640</v>
      </c>
      <c r="D89" t="s">
        <v>834</v>
      </c>
      <c r="E89" s="1">
        <v>0</v>
      </c>
      <c r="F89" t="s">
        <v>143</v>
      </c>
      <c r="G89">
        <v>423</v>
      </c>
      <c r="H89">
        <v>1</v>
      </c>
      <c r="J89">
        <v>1</v>
      </c>
      <c r="K89" t="s">
        <v>835</v>
      </c>
      <c r="L89">
        <v>1</v>
      </c>
      <c r="M89" t="s">
        <v>836</v>
      </c>
      <c r="N89" t="s">
        <v>837</v>
      </c>
      <c r="O89" t="s">
        <v>838</v>
      </c>
      <c r="P89" t="s">
        <v>839</v>
      </c>
      <c r="Q89" t="s">
        <v>840</v>
      </c>
      <c r="R89" t="s">
        <v>841</v>
      </c>
      <c r="S89">
        <v>2023</v>
      </c>
      <c r="T89" s="2">
        <v>44901</v>
      </c>
      <c r="U89" t="s">
        <v>842</v>
      </c>
      <c r="W89" t="s">
        <v>843</v>
      </c>
      <c r="Y89">
        <f t="shared" si="3"/>
        <v>423</v>
      </c>
      <c r="Z89">
        <f t="shared" si="4"/>
        <v>4</v>
      </c>
      <c r="AA89">
        <f t="shared" si="5"/>
        <v>0</v>
      </c>
    </row>
    <row r="90" spans="1:27" x14ac:dyDescent="0.3">
      <c r="A90" t="s">
        <v>1350</v>
      </c>
      <c r="B90" t="s">
        <v>1351</v>
      </c>
      <c r="C90">
        <v>36704472</v>
      </c>
      <c r="D90" t="s">
        <v>844</v>
      </c>
      <c r="E90" s="1">
        <v>0</v>
      </c>
      <c r="F90" t="s">
        <v>23</v>
      </c>
      <c r="G90">
        <v>80</v>
      </c>
      <c r="H90">
        <v>181</v>
      </c>
      <c r="I90" t="s">
        <v>845</v>
      </c>
      <c r="K90" t="s">
        <v>846</v>
      </c>
      <c r="L90">
        <v>2</v>
      </c>
      <c r="M90" t="s">
        <v>847</v>
      </c>
      <c r="N90" t="s">
        <v>848</v>
      </c>
      <c r="O90" t="s">
        <v>849</v>
      </c>
      <c r="P90" t="s">
        <v>850</v>
      </c>
      <c r="Q90" t="s">
        <v>851</v>
      </c>
      <c r="R90" t="s">
        <v>272</v>
      </c>
      <c r="S90">
        <v>2023</v>
      </c>
      <c r="T90" s="2">
        <v>44953</v>
      </c>
      <c r="U90" t="s">
        <v>852</v>
      </c>
      <c r="W90" t="s">
        <v>853</v>
      </c>
      <c r="Y90">
        <f t="shared" si="3"/>
        <v>160</v>
      </c>
      <c r="Z90">
        <f t="shared" si="4"/>
        <v>1</v>
      </c>
      <c r="AA90">
        <f t="shared" si="5"/>
        <v>1</v>
      </c>
    </row>
    <row r="91" spans="1:27" x14ac:dyDescent="0.3">
      <c r="A91" t="s">
        <v>1350</v>
      </c>
      <c r="B91" t="s">
        <v>1351</v>
      </c>
      <c r="C91">
        <v>36050429</v>
      </c>
      <c r="D91" t="s">
        <v>854</v>
      </c>
      <c r="E91" s="1">
        <v>0</v>
      </c>
      <c r="F91" t="s">
        <v>855</v>
      </c>
      <c r="G91">
        <v>15</v>
      </c>
      <c r="H91">
        <v>276</v>
      </c>
      <c r="I91">
        <v>7</v>
      </c>
      <c r="K91" t="s">
        <v>856</v>
      </c>
      <c r="L91">
        <v>3</v>
      </c>
      <c r="M91" t="s">
        <v>857</v>
      </c>
      <c r="N91" t="s">
        <v>858</v>
      </c>
      <c r="O91" t="s">
        <v>859</v>
      </c>
      <c r="P91" t="s">
        <v>860</v>
      </c>
      <c r="Q91" t="s">
        <v>861</v>
      </c>
      <c r="R91" t="s">
        <v>862</v>
      </c>
      <c r="S91">
        <v>2023</v>
      </c>
      <c r="T91" s="2">
        <v>44805</v>
      </c>
      <c r="U91" t="s">
        <v>863</v>
      </c>
      <c r="W91" t="s">
        <v>864</v>
      </c>
      <c r="Y91">
        <f t="shared" si="3"/>
        <v>45</v>
      </c>
      <c r="Z91">
        <f t="shared" si="4"/>
        <v>0</v>
      </c>
      <c r="AA91">
        <f t="shared" si="5"/>
        <v>0</v>
      </c>
    </row>
    <row r="92" spans="1:27" x14ac:dyDescent="0.3">
      <c r="A92" t="s">
        <v>1350</v>
      </c>
      <c r="B92" t="s">
        <v>1351</v>
      </c>
      <c r="C92">
        <v>36120372</v>
      </c>
      <c r="D92" t="s">
        <v>865</v>
      </c>
      <c r="E92" s="1">
        <v>0</v>
      </c>
      <c r="F92" t="s">
        <v>866</v>
      </c>
      <c r="G92">
        <v>267</v>
      </c>
      <c r="H92">
        <v>92</v>
      </c>
      <c r="J92">
        <v>1</v>
      </c>
      <c r="K92" t="s">
        <v>867</v>
      </c>
      <c r="L92">
        <v>1</v>
      </c>
      <c r="M92" t="s">
        <v>94</v>
      </c>
      <c r="N92" t="s">
        <v>868</v>
      </c>
      <c r="O92" t="s">
        <v>869</v>
      </c>
      <c r="P92" t="s">
        <v>870</v>
      </c>
      <c r="Q92" t="s">
        <v>871</v>
      </c>
      <c r="R92" t="s">
        <v>872</v>
      </c>
      <c r="S92">
        <v>2022</v>
      </c>
      <c r="T92" s="2">
        <v>44823</v>
      </c>
      <c r="U92" t="s">
        <v>873</v>
      </c>
      <c r="W92" t="s">
        <v>874</v>
      </c>
      <c r="Y92">
        <f t="shared" si="3"/>
        <v>267</v>
      </c>
      <c r="Z92">
        <f t="shared" si="4"/>
        <v>2</v>
      </c>
      <c r="AA92">
        <f t="shared" si="5"/>
        <v>1</v>
      </c>
    </row>
    <row r="93" spans="1:27" x14ac:dyDescent="0.3">
      <c r="A93" t="s">
        <v>1350</v>
      </c>
      <c r="B93" t="s">
        <v>1351</v>
      </c>
      <c r="C93">
        <v>36797809</v>
      </c>
      <c r="D93" t="s">
        <v>875</v>
      </c>
      <c r="E93" s="1">
        <v>0</v>
      </c>
      <c r="F93" t="s">
        <v>82</v>
      </c>
      <c r="H93">
        <v>92</v>
      </c>
      <c r="I93">
        <v>4</v>
      </c>
      <c r="L93">
        <v>1</v>
      </c>
      <c r="M93" t="s">
        <v>94</v>
      </c>
      <c r="N93" t="s">
        <v>876</v>
      </c>
      <c r="O93" t="s">
        <v>877</v>
      </c>
      <c r="P93" t="s">
        <v>878</v>
      </c>
      <c r="Q93" t="s">
        <v>879</v>
      </c>
      <c r="R93" t="s">
        <v>880</v>
      </c>
      <c r="S93">
        <v>2023</v>
      </c>
      <c r="T93" s="2">
        <v>44974</v>
      </c>
      <c r="W93" t="s">
        <v>881</v>
      </c>
      <c r="Y93">
        <f t="shared" si="3"/>
        <v>0</v>
      </c>
      <c r="Z93">
        <f t="shared" si="4"/>
        <v>0</v>
      </c>
      <c r="AA93">
        <f t="shared" si="5"/>
        <v>0</v>
      </c>
    </row>
    <row r="94" spans="1:27" x14ac:dyDescent="0.3">
      <c r="A94" t="s">
        <v>1350</v>
      </c>
      <c r="B94" t="s">
        <v>1351</v>
      </c>
      <c r="C94">
        <v>36996622</v>
      </c>
      <c r="D94" t="s">
        <v>882</v>
      </c>
      <c r="E94" s="1">
        <v>0</v>
      </c>
      <c r="F94" t="s">
        <v>581</v>
      </c>
      <c r="G94">
        <v>87</v>
      </c>
      <c r="H94">
        <v>184</v>
      </c>
      <c r="K94" t="s">
        <v>883</v>
      </c>
      <c r="L94">
        <v>2</v>
      </c>
      <c r="M94" t="s">
        <v>884</v>
      </c>
      <c r="N94" t="s">
        <v>885</v>
      </c>
      <c r="O94" t="s">
        <v>886</v>
      </c>
      <c r="P94" t="s">
        <v>887</v>
      </c>
      <c r="Q94" t="s">
        <v>888</v>
      </c>
      <c r="R94" t="s">
        <v>889</v>
      </c>
      <c r="S94">
        <v>2023</v>
      </c>
      <c r="T94" s="2">
        <v>45015</v>
      </c>
      <c r="W94" t="s">
        <v>890</v>
      </c>
      <c r="Y94">
        <f t="shared" si="3"/>
        <v>174</v>
      </c>
      <c r="Z94">
        <f t="shared" si="4"/>
        <v>1</v>
      </c>
      <c r="AA94">
        <f t="shared" si="5"/>
        <v>1</v>
      </c>
    </row>
    <row r="95" spans="1:27" x14ac:dyDescent="0.3">
      <c r="A95" t="s">
        <v>1350</v>
      </c>
      <c r="B95" t="s">
        <v>1351</v>
      </c>
      <c r="C95">
        <v>36721240</v>
      </c>
      <c r="D95" t="s">
        <v>891</v>
      </c>
      <c r="E95" s="1">
        <v>0</v>
      </c>
      <c r="F95" t="s">
        <v>866</v>
      </c>
      <c r="G95">
        <v>267</v>
      </c>
      <c r="H95">
        <v>92</v>
      </c>
      <c r="J95">
        <v>0</v>
      </c>
      <c r="K95" t="s">
        <v>867</v>
      </c>
      <c r="L95">
        <v>1</v>
      </c>
      <c r="M95" t="s">
        <v>94</v>
      </c>
      <c r="N95" t="s">
        <v>892</v>
      </c>
      <c r="O95" t="s">
        <v>893</v>
      </c>
      <c r="P95" t="s">
        <v>894</v>
      </c>
      <c r="Q95" t="s">
        <v>895</v>
      </c>
      <c r="R95" t="s">
        <v>896</v>
      </c>
      <c r="S95">
        <v>2023</v>
      </c>
      <c r="T95" s="2">
        <v>44958</v>
      </c>
      <c r="U95" t="s">
        <v>897</v>
      </c>
      <c r="W95" t="s">
        <v>898</v>
      </c>
      <c r="Y95">
        <f t="shared" si="3"/>
        <v>267</v>
      </c>
      <c r="Z95">
        <f t="shared" si="4"/>
        <v>2</v>
      </c>
      <c r="AA95">
        <f t="shared" si="5"/>
        <v>1</v>
      </c>
    </row>
    <row r="96" spans="1:27" x14ac:dyDescent="0.3">
      <c r="A96" t="s">
        <v>1350</v>
      </c>
      <c r="B96" t="s">
        <v>1351</v>
      </c>
      <c r="C96">
        <v>36963245</v>
      </c>
      <c r="D96" t="s">
        <v>899</v>
      </c>
      <c r="E96" s="1">
        <v>0</v>
      </c>
      <c r="F96" t="s">
        <v>153</v>
      </c>
      <c r="G96">
        <v>7</v>
      </c>
      <c r="H96">
        <v>92</v>
      </c>
      <c r="K96" t="s">
        <v>900</v>
      </c>
      <c r="L96">
        <v>1</v>
      </c>
      <c r="M96" t="s">
        <v>94</v>
      </c>
      <c r="N96" t="s">
        <v>901</v>
      </c>
      <c r="O96" t="s">
        <v>902</v>
      </c>
      <c r="P96" t="s">
        <v>903</v>
      </c>
      <c r="Q96" t="s">
        <v>904</v>
      </c>
      <c r="R96" t="s">
        <v>905</v>
      </c>
      <c r="S96">
        <v>2023</v>
      </c>
      <c r="T96" s="2">
        <v>45009</v>
      </c>
      <c r="W96" t="s">
        <v>906</v>
      </c>
      <c r="Y96">
        <f t="shared" si="3"/>
        <v>7</v>
      </c>
      <c r="Z96">
        <f t="shared" si="4"/>
        <v>0</v>
      </c>
      <c r="AA96">
        <f t="shared" si="5"/>
        <v>0</v>
      </c>
    </row>
    <row r="97" spans="1:27" x14ac:dyDescent="0.3">
      <c r="A97" t="s">
        <v>1350</v>
      </c>
      <c r="B97" t="s">
        <v>1351</v>
      </c>
      <c r="C97">
        <v>36533851</v>
      </c>
      <c r="D97" t="s">
        <v>907</v>
      </c>
      <c r="E97" s="1">
        <v>0</v>
      </c>
      <c r="F97" t="s">
        <v>153</v>
      </c>
      <c r="G97">
        <v>229</v>
      </c>
      <c r="H97">
        <v>92</v>
      </c>
      <c r="I97">
        <v>20</v>
      </c>
      <c r="J97" t="s">
        <v>908</v>
      </c>
      <c r="K97" t="s">
        <v>909</v>
      </c>
      <c r="L97">
        <v>1</v>
      </c>
      <c r="M97" t="s">
        <v>94</v>
      </c>
      <c r="N97" t="s">
        <v>910</v>
      </c>
      <c r="O97" t="s">
        <v>911</v>
      </c>
      <c r="P97" t="s">
        <v>912</v>
      </c>
      <c r="Q97" t="s">
        <v>913</v>
      </c>
      <c r="R97" t="s">
        <v>914</v>
      </c>
      <c r="S97">
        <v>2022</v>
      </c>
      <c r="T97" s="2">
        <v>44914</v>
      </c>
      <c r="W97" t="s">
        <v>915</v>
      </c>
      <c r="Y97">
        <f t="shared" si="3"/>
        <v>229</v>
      </c>
      <c r="Z97">
        <f t="shared" si="4"/>
        <v>2</v>
      </c>
      <c r="AA97">
        <f t="shared" si="5"/>
        <v>0</v>
      </c>
    </row>
    <row r="98" spans="1:27" x14ac:dyDescent="0.3">
      <c r="A98" t="s">
        <v>1350</v>
      </c>
      <c r="B98" t="s">
        <v>1351</v>
      </c>
      <c r="C98">
        <v>36756308</v>
      </c>
      <c r="D98" t="s">
        <v>916</v>
      </c>
      <c r="E98" s="1">
        <v>0</v>
      </c>
      <c r="F98" t="s">
        <v>392</v>
      </c>
      <c r="G98">
        <v>211</v>
      </c>
      <c r="H98">
        <v>92</v>
      </c>
      <c r="I98">
        <v>16</v>
      </c>
      <c r="J98">
        <v>4</v>
      </c>
      <c r="K98" t="s">
        <v>917</v>
      </c>
      <c r="L98">
        <v>1</v>
      </c>
      <c r="M98" t="s">
        <v>94</v>
      </c>
      <c r="N98" t="s">
        <v>918</v>
      </c>
      <c r="O98" t="s">
        <v>919</v>
      </c>
      <c r="P98" t="s">
        <v>920</v>
      </c>
      <c r="Q98" t="s">
        <v>921</v>
      </c>
      <c r="R98" t="s">
        <v>922</v>
      </c>
      <c r="S98">
        <v>2023</v>
      </c>
      <c r="T98" s="2">
        <v>44966</v>
      </c>
      <c r="U98" t="s">
        <v>923</v>
      </c>
      <c r="W98" t="s">
        <v>924</v>
      </c>
      <c r="Y98">
        <f t="shared" si="3"/>
        <v>211</v>
      </c>
      <c r="Z98">
        <f t="shared" si="4"/>
        <v>2</v>
      </c>
      <c r="AA98">
        <f t="shared" si="5"/>
        <v>0</v>
      </c>
    </row>
    <row r="99" spans="1:27" x14ac:dyDescent="0.3">
      <c r="A99" t="s">
        <v>1350</v>
      </c>
      <c r="B99" t="s">
        <v>1351</v>
      </c>
      <c r="C99">
        <v>36085081</v>
      </c>
      <c r="D99" t="s">
        <v>925</v>
      </c>
      <c r="E99" s="1">
        <v>0</v>
      </c>
      <c r="F99" t="s">
        <v>926</v>
      </c>
      <c r="G99">
        <v>1782</v>
      </c>
      <c r="H99">
        <v>92</v>
      </c>
      <c r="I99" t="s">
        <v>927</v>
      </c>
      <c r="J99">
        <v>4</v>
      </c>
      <c r="K99" t="s">
        <v>928</v>
      </c>
      <c r="L99">
        <v>1</v>
      </c>
      <c r="M99" t="s">
        <v>94</v>
      </c>
      <c r="N99" t="s">
        <v>929</v>
      </c>
      <c r="O99" t="s">
        <v>930</v>
      </c>
      <c r="P99" t="s">
        <v>931</v>
      </c>
      <c r="Q99" t="s">
        <v>932</v>
      </c>
      <c r="R99" t="s">
        <v>454</v>
      </c>
      <c r="S99">
        <v>2022</v>
      </c>
      <c r="T99" s="2">
        <v>44813</v>
      </c>
      <c r="U99" t="s">
        <v>933</v>
      </c>
      <c r="W99" t="s">
        <v>934</v>
      </c>
      <c r="Y99">
        <f t="shared" si="3"/>
        <v>1782</v>
      </c>
      <c r="Z99">
        <f t="shared" si="4"/>
        <v>18</v>
      </c>
      <c r="AA99">
        <f t="shared" si="5"/>
        <v>1</v>
      </c>
    </row>
    <row r="100" spans="1:27" x14ac:dyDescent="0.3">
      <c r="A100" t="s">
        <v>1350</v>
      </c>
      <c r="B100" t="s">
        <v>1351</v>
      </c>
      <c r="C100">
        <v>36780659</v>
      </c>
      <c r="D100" t="s">
        <v>935</v>
      </c>
      <c r="E100" s="1">
        <v>0</v>
      </c>
      <c r="F100" t="s">
        <v>936</v>
      </c>
      <c r="G100">
        <v>46</v>
      </c>
      <c r="H100">
        <v>92</v>
      </c>
      <c r="L100">
        <v>1</v>
      </c>
      <c r="M100" t="s">
        <v>94</v>
      </c>
      <c r="N100" t="s">
        <v>937</v>
      </c>
      <c r="O100" t="s">
        <v>938</v>
      </c>
      <c r="P100" t="s">
        <v>939</v>
      </c>
      <c r="Q100" t="s">
        <v>940</v>
      </c>
      <c r="R100" t="s">
        <v>941</v>
      </c>
      <c r="S100">
        <v>2023</v>
      </c>
      <c r="T100" s="2">
        <v>44970</v>
      </c>
      <c r="W100" t="s">
        <v>942</v>
      </c>
      <c r="Y100">
        <f t="shared" si="3"/>
        <v>46</v>
      </c>
      <c r="Z100">
        <f t="shared" si="4"/>
        <v>0</v>
      </c>
      <c r="AA100">
        <f t="shared" si="5"/>
        <v>0</v>
      </c>
    </row>
    <row r="101" spans="1:27" x14ac:dyDescent="0.3">
      <c r="A101" t="s">
        <v>1350</v>
      </c>
      <c r="B101" t="s">
        <v>1351</v>
      </c>
      <c r="C101">
        <v>36285617</v>
      </c>
      <c r="D101" t="s">
        <v>943</v>
      </c>
      <c r="E101" s="1">
        <v>0</v>
      </c>
      <c r="F101" t="s">
        <v>532</v>
      </c>
      <c r="G101">
        <v>22</v>
      </c>
      <c r="H101">
        <v>92</v>
      </c>
      <c r="I101">
        <v>5</v>
      </c>
      <c r="K101" t="s">
        <v>944</v>
      </c>
      <c r="L101">
        <v>1</v>
      </c>
      <c r="M101" t="s">
        <v>94</v>
      </c>
      <c r="N101" t="s">
        <v>945</v>
      </c>
      <c r="O101" t="s">
        <v>946</v>
      </c>
      <c r="P101" t="s">
        <v>947</v>
      </c>
      <c r="Q101" t="s">
        <v>948</v>
      </c>
      <c r="R101" t="s">
        <v>949</v>
      </c>
      <c r="S101">
        <v>2023</v>
      </c>
      <c r="T101" s="2">
        <v>44860</v>
      </c>
      <c r="U101" t="s">
        <v>950</v>
      </c>
      <c r="W101" t="s">
        <v>951</v>
      </c>
      <c r="Y101">
        <f t="shared" si="3"/>
        <v>22</v>
      </c>
      <c r="Z101">
        <f t="shared" si="4"/>
        <v>0</v>
      </c>
      <c r="AA101">
        <f t="shared" si="5"/>
        <v>0</v>
      </c>
    </row>
    <row r="102" spans="1:27" x14ac:dyDescent="0.3">
      <c r="A102" t="s">
        <v>1350</v>
      </c>
      <c r="B102" t="s">
        <v>1351</v>
      </c>
      <c r="C102">
        <v>36476672</v>
      </c>
      <c r="D102" t="s">
        <v>952</v>
      </c>
      <c r="E102" s="1">
        <v>0</v>
      </c>
      <c r="F102" t="s">
        <v>250</v>
      </c>
      <c r="G102">
        <v>1370</v>
      </c>
      <c r="I102">
        <v>7</v>
      </c>
      <c r="J102">
        <v>3</v>
      </c>
      <c r="K102" t="s">
        <v>953</v>
      </c>
      <c r="L102">
        <v>1</v>
      </c>
      <c r="N102" t="s">
        <v>954</v>
      </c>
      <c r="O102" t="s">
        <v>955</v>
      </c>
      <c r="P102" t="s">
        <v>956</v>
      </c>
      <c r="Q102" t="s">
        <v>957</v>
      </c>
      <c r="R102" t="s">
        <v>318</v>
      </c>
      <c r="S102">
        <v>2023</v>
      </c>
      <c r="T102" s="2">
        <v>44903</v>
      </c>
      <c r="W102" t="s">
        <v>958</v>
      </c>
      <c r="Y102">
        <f t="shared" si="3"/>
        <v>1370</v>
      </c>
      <c r="Z102">
        <f t="shared" si="4"/>
        <v>14</v>
      </c>
      <c r="AA102">
        <f t="shared" si="5"/>
        <v>0</v>
      </c>
    </row>
    <row r="103" spans="1:27" x14ac:dyDescent="0.3">
      <c r="A103" t="s">
        <v>1350</v>
      </c>
      <c r="B103" t="s">
        <v>1351</v>
      </c>
      <c r="C103">
        <v>36652748</v>
      </c>
      <c r="D103" t="s">
        <v>959</v>
      </c>
      <c r="E103" s="1">
        <v>0</v>
      </c>
      <c r="F103" t="s">
        <v>23</v>
      </c>
      <c r="G103">
        <v>5312</v>
      </c>
      <c r="H103">
        <v>2</v>
      </c>
      <c r="J103">
        <v>1</v>
      </c>
      <c r="K103" t="s">
        <v>960</v>
      </c>
      <c r="L103">
        <v>1</v>
      </c>
      <c r="M103" t="s">
        <v>961</v>
      </c>
      <c r="N103" t="s">
        <v>962</v>
      </c>
      <c r="O103" t="s">
        <v>963</v>
      </c>
      <c r="P103" t="s">
        <v>964</v>
      </c>
      <c r="Q103" t="s">
        <v>965</v>
      </c>
      <c r="R103" t="s">
        <v>889</v>
      </c>
      <c r="S103">
        <v>2023</v>
      </c>
      <c r="T103" s="2">
        <v>44944</v>
      </c>
      <c r="W103" t="s">
        <v>966</v>
      </c>
      <c r="Y103">
        <f t="shared" si="3"/>
        <v>5312</v>
      </c>
      <c r="Z103">
        <f t="shared" si="4"/>
        <v>55</v>
      </c>
      <c r="AA103">
        <f t="shared" si="5"/>
        <v>0</v>
      </c>
    </row>
    <row r="104" spans="1:27" x14ac:dyDescent="0.3">
      <c r="A104" t="s">
        <v>1350</v>
      </c>
      <c r="B104" t="s">
        <v>1351</v>
      </c>
      <c r="C104">
        <v>36572780</v>
      </c>
      <c r="D104" t="s">
        <v>967</v>
      </c>
      <c r="E104" s="1">
        <v>0</v>
      </c>
      <c r="F104" t="s">
        <v>82</v>
      </c>
      <c r="G104">
        <v>8</v>
      </c>
      <c r="H104">
        <v>92</v>
      </c>
      <c r="I104">
        <v>3</v>
      </c>
      <c r="K104" t="s">
        <v>968</v>
      </c>
      <c r="L104">
        <v>1</v>
      </c>
      <c r="M104" t="s">
        <v>553</v>
      </c>
      <c r="N104" t="s">
        <v>969</v>
      </c>
      <c r="O104" t="s">
        <v>970</v>
      </c>
      <c r="P104" t="s">
        <v>971</v>
      </c>
      <c r="Q104" t="s">
        <v>717</v>
      </c>
      <c r="R104" t="s">
        <v>246</v>
      </c>
      <c r="S104">
        <v>2022</v>
      </c>
      <c r="T104" s="2">
        <v>44921</v>
      </c>
      <c r="U104" t="s">
        <v>972</v>
      </c>
      <c r="W104" t="s">
        <v>973</v>
      </c>
      <c r="Y104">
        <f t="shared" si="3"/>
        <v>8</v>
      </c>
      <c r="Z104">
        <f t="shared" si="4"/>
        <v>0</v>
      </c>
      <c r="AA104">
        <f t="shared" si="5"/>
        <v>0</v>
      </c>
    </row>
    <row r="105" spans="1:27" x14ac:dyDescent="0.3">
      <c r="A105" t="s">
        <v>1350</v>
      </c>
      <c r="B105" t="s">
        <v>1351</v>
      </c>
      <c r="C105">
        <v>36857966</v>
      </c>
      <c r="D105" t="s">
        <v>974</v>
      </c>
      <c r="E105" s="1">
        <v>0</v>
      </c>
      <c r="F105" t="s">
        <v>34</v>
      </c>
      <c r="G105">
        <v>496</v>
      </c>
      <c r="H105">
        <v>92</v>
      </c>
      <c r="I105">
        <v>17</v>
      </c>
      <c r="J105">
        <v>3</v>
      </c>
      <c r="K105" t="s">
        <v>975</v>
      </c>
      <c r="L105">
        <v>1</v>
      </c>
      <c r="M105" t="s">
        <v>199</v>
      </c>
      <c r="N105" t="s">
        <v>976</v>
      </c>
      <c r="O105" t="s">
        <v>977</v>
      </c>
      <c r="P105" t="s">
        <v>978</v>
      </c>
      <c r="Q105" t="s">
        <v>979</v>
      </c>
      <c r="R105" t="s">
        <v>782</v>
      </c>
      <c r="S105">
        <v>2023</v>
      </c>
      <c r="T105" s="2">
        <v>44986</v>
      </c>
      <c r="U105" t="s">
        <v>980</v>
      </c>
      <c r="W105" t="s">
        <v>981</v>
      </c>
      <c r="Y105">
        <f t="shared" si="3"/>
        <v>496</v>
      </c>
      <c r="Z105">
        <f t="shared" si="4"/>
        <v>5</v>
      </c>
      <c r="AA105">
        <f t="shared" si="5"/>
        <v>0</v>
      </c>
    </row>
    <row r="106" spans="1:27" x14ac:dyDescent="0.3">
      <c r="A106" t="s">
        <v>1350</v>
      </c>
      <c r="B106" t="s">
        <v>1351</v>
      </c>
      <c r="C106">
        <v>36964401</v>
      </c>
      <c r="D106" t="s">
        <v>982</v>
      </c>
      <c r="E106" s="1">
        <v>0</v>
      </c>
      <c r="F106" t="s">
        <v>983</v>
      </c>
      <c r="G106">
        <v>129</v>
      </c>
      <c r="H106">
        <v>92</v>
      </c>
      <c r="J106" t="s">
        <v>984</v>
      </c>
      <c r="K106" t="s">
        <v>985</v>
      </c>
      <c r="L106">
        <v>1</v>
      </c>
      <c r="M106" t="s">
        <v>304</v>
      </c>
      <c r="N106" t="s">
        <v>986</v>
      </c>
      <c r="O106" t="s">
        <v>987</v>
      </c>
      <c r="P106" t="s">
        <v>988</v>
      </c>
      <c r="Q106" t="s">
        <v>989</v>
      </c>
      <c r="R106" t="s">
        <v>990</v>
      </c>
      <c r="S106">
        <v>2023</v>
      </c>
      <c r="T106" s="2">
        <v>45010</v>
      </c>
      <c r="W106" t="s">
        <v>991</v>
      </c>
      <c r="Y106">
        <f t="shared" si="3"/>
        <v>129</v>
      </c>
      <c r="Z106">
        <f t="shared" si="4"/>
        <v>1</v>
      </c>
      <c r="AA106">
        <f t="shared" si="5"/>
        <v>0</v>
      </c>
    </row>
    <row r="107" spans="1:27" x14ac:dyDescent="0.3">
      <c r="A107" t="s">
        <v>1350</v>
      </c>
      <c r="B107" t="s">
        <v>1351</v>
      </c>
      <c r="C107">
        <v>37008733</v>
      </c>
      <c r="D107" t="s">
        <v>992</v>
      </c>
      <c r="E107" s="1">
        <v>0</v>
      </c>
      <c r="F107" t="s">
        <v>217</v>
      </c>
      <c r="G107">
        <v>15</v>
      </c>
      <c r="H107">
        <v>1</v>
      </c>
      <c r="I107">
        <v>1</v>
      </c>
      <c r="J107">
        <v>1</v>
      </c>
      <c r="K107" t="s">
        <v>993</v>
      </c>
      <c r="L107">
        <v>1</v>
      </c>
      <c r="M107" t="s">
        <v>199</v>
      </c>
      <c r="N107" t="s">
        <v>994</v>
      </c>
      <c r="O107" t="s">
        <v>995</v>
      </c>
      <c r="P107" t="s">
        <v>996</v>
      </c>
      <c r="Q107" t="s">
        <v>997</v>
      </c>
      <c r="R107" t="s">
        <v>998</v>
      </c>
      <c r="S107">
        <v>2023</v>
      </c>
      <c r="T107" s="2">
        <v>45019</v>
      </c>
      <c r="U107" t="s">
        <v>999</v>
      </c>
      <c r="W107" t="s">
        <v>1000</v>
      </c>
      <c r="Y107">
        <f t="shared" si="3"/>
        <v>15</v>
      </c>
      <c r="Z107">
        <f t="shared" si="4"/>
        <v>0</v>
      </c>
      <c r="AA107">
        <f t="shared" si="5"/>
        <v>0</v>
      </c>
    </row>
    <row r="108" spans="1:27" x14ac:dyDescent="0.3">
      <c r="A108" t="s">
        <v>1350</v>
      </c>
      <c r="B108" t="s">
        <v>1351</v>
      </c>
      <c r="C108">
        <v>36929645</v>
      </c>
      <c r="D108" t="s">
        <v>1001</v>
      </c>
      <c r="E108" s="1">
        <v>0</v>
      </c>
      <c r="F108" t="s">
        <v>1002</v>
      </c>
      <c r="G108">
        <v>10</v>
      </c>
      <c r="H108">
        <v>368</v>
      </c>
      <c r="I108" t="s">
        <v>1003</v>
      </c>
      <c r="J108">
        <v>2</v>
      </c>
      <c r="K108" t="s">
        <v>1004</v>
      </c>
      <c r="L108">
        <v>2</v>
      </c>
      <c r="M108" t="s">
        <v>1005</v>
      </c>
      <c r="N108" t="s">
        <v>1006</v>
      </c>
      <c r="O108" t="s">
        <v>1007</v>
      </c>
      <c r="P108" t="s">
        <v>1008</v>
      </c>
      <c r="Q108" t="s">
        <v>1009</v>
      </c>
      <c r="R108" t="s">
        <v>1010</v>
      </c>
      <c r="S108">
        <v>2023</v>
      </c>
      <c r="T108" s="2">
        <v>45002</v>
      </c>
      <c r="U108" t="s">
        <v>1011</v>
      </c>
      <c r="W108" t="s">
        <v>1012</v>
      </c>
      <c r="Y108">
        <f t="shared" si="3"/>
        <v>20</v>
      </c>
      <c r="Z108">
        <f t="shared" si="4"/>
        <v>0</v>
      </c>
      <c r="AA108">
        <f t="shared" si="5"/>
        <v>0</v>
      </c>
    </row>
    <row r="109" spans="1:27" x14ac:dyDescent="0.3">
      <c r="A109" t="s">
        <v>1350</v>
      </c>
      <c r="B109" t="s">
        <v>1351</v>
      </c>
      <c r="C109">
        <v>36409488</v>
      </c>
      <c r="D109" t="s">
        <v>1013</v>
      </c>
      <c r="E109" s="1">
        <v>0</v>
      </c>
      <c r="F109" t="s">
        <v>23</v>
      </c>
      <c r="G109">
        <v>130</v>
      </c>
      <c r="H109">
        <v>11</v>
      </c>
      <c r="K109" t="s">
        <v>1014</v>
      </c>
      <c r="L109">
        <v>1</v>
      </c>
      <c r="M109" t="s">
        <v>1015</v>
      </c>
      <c r="N109" t="s">
        <v>1016</v>
      </c>
      <c r="O109" t="s">
        <v>1017</v>
      </c>
      <c r="P109" t="s">
        <v>1018</v>
      </c>
      <c r="Q109" t="s">
        <v>1019</v>
      </c>
      <c r="R109" t="s">
        <v>1020</v>
      </c>
      <c r="S109">
        <v>2023</v>
      </c>
      <c r="T109" s="2">
        <v>44886</v>
      </c>
      <c r="W109" t="s">
        <v>1021</v>
      </c>
      <c r="Y109">
        <f t="shared" si="3"/>
        <v>130</v>
      </c>
      <c r="Z109">
        <f t="shared" si="4"/>
        <v>1</v>
      </c>
      <c r="AA109">
        <f t="shared" si="5"/>
        <v>0</v>
      </c>
    </row>
    <row r="110" spans="1:27" x14ac:dyDescent="0.3">
      <c r="A110" t="s">
        <v>1350</v>
      </c>
      <c r="B110" t="s">
        <v>1351</v>
      </c>
      <c r="C110">
        <v>36788507</v>
      </c>
      <c r="D110" t="s">
        <v>1022</v>
      </c>
      <c r="E110" s="1">
        <v>0</v>
      </c>
      <c r="F110" t="s">
        <v>655</v>
      </c>
      <c r="G110">
        <v>88</v>
      </c>
      <c r="H110">
        <v>92</v>
      </c>
      <c r="J110">
        <v>4</v>
      </c>
      <c r="K110" t="s">
        <v>1023</v>
      </c>
      <c r="L110">
        <v>1</v>
      </c>
      <c r="M110" t="s">
        <v>1024</v>
      </c>
      <c r="N110" t="s">
        <v>1025</v>
      </c>
      <c r="O110" t="s">
        <v>1026</v>
      </c>
      <c r="P110" t="s">
        <v>1027</v>
      </c>
      <c r="Q110" t="s">
        <v>1028</v>
      </c>
      <c r="R110" t="s">
        <v>1029</v>
      </c>
      <c r="S110">
        <v>2023</v>
      </c>
      <c r="T110" s="2">
        <v>44972</v>
      </c>
      <c r="U110" t="s">
        <v>1030</v>
      </c>
      <c r="W110" t="s">
        <v>1031</v>
      </c>
      <c r="Y110">
        <f t="shared" si="3"/>
        <v>88</v>
      </c>
      <c r="Z110">
        <f t="shared" si="4"/>
        <v>0</v>
      </c>
      <c r="AA110">
        <f t="shared" si="5"/>
        <v>1</v>
      </c>
    </row>
    <row r="111" spans="1:27" x14ac:dyDescent="0.3">
      <c r="A111" t="s">
        <v>1350</v>
      </c>
      <c r="B111" t="s">
        <v>1351</v>
      </c>
      <c r="C111">
        <v>36334095</v>
      </c>
      <c r="D111" t="s">
        <v>1032</v>
      </c>
      <c r="E111" s="1">
        <v>0</v>
      </c>
      <c r="F111" t="s">
        <v>532</v>
      </c>
      <c r="G111">
        <v>490</v>
      </c>
      <c r="H111">
        <v>74</v>
      </c>
      <c r="I111" t="s">
        <v>1033</v>
      </c>
      <c r="L111">
        <v>1</v>
      </c>
      <c r="M111" t="s">
        <v>94</v>
      </c>
      <c r="N111" t="s">
        <v>1034</v>
      </c>
      <c r="O111" t="s">
        <v>1035</v>
      </c>
      <c r="P111" t="s">
        <v>1036</v>
      </c>
      <c r="Q111" t="s">
        <v>1037</v>
      </c>
      <c r="R111" t="s">
        <v>1038</v>
      </c>
      <c r="S111">
        <v>2023</v>
      </c>
      <c r="T111" s="2">
        <v>44870</v>
      </c>
      <c r="U111" t="s">
        <v>1039</v>
      </c>
      <c r="V111" t="s">
        <v>1040</v>
      </c>
      <c r="W111" t="s">
        <v>1041</v>
      </c>
      <c r="Y111">
        <f t="shared" si="3"/>
        <v>490</v>
      </c>
      <c r="Z111">
        <f t="shared" si="4"/>
        <v>5</v>
      </c>
      <c r="AA111">
        <f t="shared" si="5"/>
        <v>0</v>
      </c>
    </row>
    <row r="112" spans="1:27" x14ac:dyDescent="0.3">
      <c r="A112" t="s">
        <v>1350</v>
      </c>
      <c r="B112" t="s">
        <v>1351</v>
      </c>
      <c r="C112">
        <v>35924962</v>
      </c>
      <c r="D112" t="s">
        <v>1042</v>
      </c>
      <c r="E112" s="1">
        <v>0</v>
      </c>
      <c r="F112" t="s">
        <v>92</v>
      </c>
      <c r="G112">
        <v>3517</v>
      </c>
      <c r="H112">
        <v>184</v>
      </c>
      <c r="I112">
        <v>18</v>
      </c>
      <c r="J112">
        <v>5</v>
      </c>
      <c r="K112" t="s">
        <v>1043</v>
      </c>
      <c r="L112">
        <v>2</v>
      </c>
      <c r="M112" t="s">
        <v>1044</v>
      </c>
      <c r="N112" t="s">
        <v>1045</v>
      </c>
      <c r="O112" t="s">
        <v>1046</v>
      </c>
      <c r="P112" t="s">
        <v>1047</v>
      </c>
      <c r="Q112" t="s">
        <v>1048</v>
      </c>
      <c r="R112" t="s">
        <v>418</v>
      </c>
      <c r="S112">
        <v>2023</v>
      </c>
      <c r="T112" s="2">
        <v>44777</v>
      </c>
      <c r="U112" t="s">
        <v>1049</v>
      </c>
      <c r="W112" t="s">
        <v>1050</v>
      </c>
      <c r="Y112">
        <f t="shared" si="3"/>
        <v>7034</v>
      </c>
      <c r="Z112">
        <f t="shared" si="4"/>
        <v>73</v>
      </c>
      <c r="AA112">
        <f t="shared" si="5"/>
        <v>0</v>
      </c>
    </row>
    <row r="113" spans="1:27" x14ac:dyDescent="0.3">
      <c r="A113" t="s">
        <v>1350</v>
      </c>
      <c r="B113" t="s">
        <v>1351</v>
      </c>
      <c r="C113">
        <v>36189218</v>
      </c>
      <c r="D113" t="s">
        <v>1051</v>
      </c>
      <c r="E113" s="1">
        <v>0</v>
      </c>
      <c r="F113" t="s">
        <v>23</v>
      </c>
      <c r="G113">
        <v>108</v>
      </c>
      <c r="H113">
        <v>92</v>
      </c>
      <c r="I113">
        <v>4</v>
      </c>
      <c r="K113" t="s">
        <v>1052</v>
      </c>
      <c r="L113">
        <v>1</v>
      </c>
      <c r="M113" t="s">
        <v>798</v>
      </c>
      <c r="N113" t="s">
        <v>1053</v>
      </c>
      <c r="O113" t="s">
        <v>1054</v>
      </c>
      <c r="P113" t="s">
        <v>1055</v>
      </c>
      <c r="Q113" t="s">
        <v>1056</v>
      </c>
      <c r="R113" t="s">
        <v>99</v>
      </c>
      <c r="S113">
        <v>2022</v>
      </c>
      <c r="T113" s="2">
        <v>44837</v>
      </c>
      <c r="U113" t="s">
        <v>1057</v>
      </c>
      <c r="W113" t="s">
        <v>1058</v>
      </c>
      <c r="Y113">
        <f t="shared" si="3"/>
        <v>108</v>
      </c>
      <c r="Z113">
        <f t="shared" si="4"/>
        <v>1</v>
      </c>
      <c r="AA113">
        <f t="shared" si="5"/>
        <v>0</v>
      </c>
    </row>
    <row r="114" spans="1:27" x14ac:dyDescent="0.3">
      <c r="A114" t="s">
        <v>1350</v>
      </c>
      <c r="B114" t="s">
        <v>1351</v>
      </c>
      <c r="C114">
        <v>35727504</v>
      </c>
      <c r="D114" t="s">
        <v>1059</v>
      </c>
      <c r="E114" s="1">
        <v>0</v>
      </c>
      <c r="F114" t="s">
        <v>23</v>
      </c>
      <c r="G114">
        <v>420</v>
      </c>
      <c r="H114">
        <v>92</v>
      </c>
      <c r="I114">
        <v>6</v>
      </c>
      <c r="K114" t="s">
        <v>1060</v>
      </c>
      <c r="L114">
        <v>1</v>
      </c>
      <c r="M114" t="s">
        <v>199</v>
      </c>
      <c r="N114" t="s">
        <v>1061</v>
      </c>
      <c r="O114" t="s">
        <v>1062</v>
      </c>
      <c r="P114" t="s">
        <v>1063</v>
      </c>
      <c r="Q114" t="s">
        <v>1064</v>
      </c>
      <c r="R114" t="s">
        <v>1065</v>
      </c>
      <c r="S114">
        <v>2023</v>
      </c>
      <c r="T114" s="2">
        <v>44733</v>
      </c>
      <c r="U114" t="s">
        <v>1066</v>
      </c>
      <c r="W114" t="s">
        <v>1067</v>
      </c>
      <c r="Y114">
        <f t="shared" si="3"/>
        <v>420</v>
      </c>
      <c r="Z114">
        <f t="shared" si="4"/>
        <v>4</v>
      </c>
      <c r="AA114">
        <f t="shared" si="5"/>
        <v>0</v>
      </c>
    </row>
    <row r="115" spans="1:27" x14ac:dyDescent="0.3">
      <c r="A115" t="s">
        <v>1350</v>
      </c>
      <c r="B115" t="s">
        <v>1351</v>
      </c>
      <c r="C115">
        <v>36806964</v>
      </c>
      <c r="D115" t="s">
        <v>1068</v>
      </c>
      <c r="E115" s="1">
        <v>0</v>
      </c>
      <c r="F115" t="s">
        <v>153</v>
      </c>
      <c r="G115">
        <v>88</v>
      </c>
      <c r="H115">
        <v>92</v>
      </c>
      <c r="J115">
        <v>11</v>
      </c>
      <c r="K115" t="s">
        <v>1069</v>
      </c>
      <c r="L115">
        <v>1</v>
      </c>
      <c r="M115" t="s">
        <v>732</v>
      </c>
      <c r="N115" t="s">
        <v>1070</v>
      </c>
      <c r="O115" t="s">
        <v>1071</v>
      </c>
      <c r="P115" t="s">
        <v>1072</v>
      </c>
      <c r="Q115" t="s">
        <v>1073</v>
      </c>
      <c r="R115" t="s">
        <v>1074</v>
      </c>
      <c r="S115">
        <v>2023</v>
      </c>
      <c r="T115" s="2">
        <v>44979</v>
      </c>
      <c r="W115" t="s">
        <v>1075</v>
      </c>
      <c r="Y115">
        <f t="shared" si="3"/>
        <v>88</v>
      </c>
      <c r="Z115">
        <f t="shared" si="4"/>
        <v>0</v>
      </c>
      <c r="AA115">
        <f t="shared" si="5"/>
        <v>1</v>
      </c>
    </row>
    <row r="116" spans="1:27" x14ac:dyDescent="0.3">
      <c r="A116" t="s">
        <v>1350</v>
      </c>
      <c r="B116" t="s">
        <v>1351</v>
      </c>
      <c r="C116">
        <v>36190914</v>
      </c>
      <c r="D116" t="s">
        <v>1076</v>
      </c>
      <c r="E116" s="1">
        <v>0</v>
      </c>
      <c r="F116" t="s">
        <v>217</v>
      </c>
      <c r="G116">
        <v>9420</v>
      </c>
      <c r="K116" t="s">
        <v>1077</v>
      </c>
      <c r="L116">
        <v>1</v>
      </c>
      <c r="N116" t="s">
        <v>1078</v>
      </c>
      <c r="O116" t="s">
        <v>1079</v>
      </c>
      <c r="P116" t="s">
        <v>1080</v>
      </c>
      <c r="Q116" t="s">
        <v>1081</v>
      </c>
      <c r="R116" t="s">
        <v>1082</v>
      </c>
      <c r="S116">
        <v>2023</v>
      </c>
      <c r="T116" s="2">
        <v>44837</v>
      </c>
      <c r="U116" t="s">
        <v>1083</v>
      </c>
      <c r="W116" t="s">
        <v>1084</v>
      </c>
      <c r="Y116">
        <f t="shared" si="3"/>
        <v>9420</v>
      </c>
      <c r="Z116">
        <f t="shared" si="4"/>
        <v>98</v>
      </c>
      <c r="AA116">
        <f t="shared" si="5"/>
        <v>0</v>
      </c>
    </row>
    <row r="117" spans="1:27" x14ac:dyDescent="0.3">
      <c r="A117" t="s">
        <v>1350</v>
      </c>
      <c r="B117" t="s">
        <v>1351</v>
      </c>
      <c r="C117">
        <v>36631443</v>
      </c>
      <c r="D117" t="s">
        <v>1085</v>
      </c>
      <c r="E117" s="1">
        <v>0</v>
      </c>
      <c r="F117" t="s">
        <v>143</v>
      </c>
      <c r="G117">
        <v>936</v>
      </c>
      <c r="H117">
        <v>92</v>
      </c>
      <c r="I117">
        <v>38</v>
      </c>
      <c r="J117">
        <v>9</v>
      </c>
      <c r="K117" t="s">
        <v>1086</v>
      </c>
      <c r="L117">
        <v>1</v>
      </c>
      <c r="M117" t="s">
        <v>304</v>
      </c>
      <c r="N117" t="s">
        <v>1087</v>
      </c>
      <c r="O117" t="s">
        <v>1088</v>
      </c>
      <c r="P117" t="s">
        <v>1089</v>
      </c>
      <c r="Q117" t="s">
        <v>1090</v>
      </c>
      <c r="R117" t="s">
        <v>1091</v>
      </c>
      <c r="S117">
        <v>2023</v>
      </c>
      <c r="T117" s="2">
        <v>44937</v>
      </c>
      <c r="U117" t="s">
        <v>1092</v>
      </c>
      <c r="W117" t="s">
        <v>1093</v>
      </c>
      <c r="Y117">
        <f t="shared" si="3"/>
        <v>936</v>
      </c>
      <c r="Z117">
        <f t="shared" si="4"/>
        <v>9</v>
      </c>
      <c r="AA117">
        <f t="shared" si="5"/>
        <v>1</v>
      </c>
    </row>
    <row r="118" spans="1:27" x14ac:dyDescent="0.3">
      <c r="A118" t="s">
        <v>1350</v>
      </c>
      <c r="B118" t="s">
        <v>1351</v>
      </c>
      <c r="C118">
        <v>36702559</v>
      </c>
      <c r="D118" t="s">
        <v>1094</v>
      </c>
      <c r="E118" s="1">
        <v>0</v>
      </c>
      <c r="F118" t="s">
        <v>23</v>
      </c>
      <c r="G118">
        <v>755</v>
      </c>
      <c r="H118">
        <v>92</v>
      </c>
      <c r="I118">
        <v>15</v>
      </c>
      <c r="J118" t="s">
        <v>908</v>
      </c>
      <c r="K118" t="s">
        <v>1095</v>
      </c>
      <c r="L118">
        <v>1</v>
      </c>
      <c r="M118" t="s">
        <v>94</v>
      </c>
      <c r="N118" t="s">
        <v>1096</v>
      </c>
      <c r="O118" t="s">
        <v>1097</v>
      </c>
      <c r="P118" t="s">
        <v>1098</v>
      </c>
      <c r="Q118" t="s">
        <v>1099</v>
      </c>
      <c r="R118" t="s">
        <v>1100</v>
      </c>
      <c r="S118">
        <v>2023</v>
      </c>
      <c r="T118" s="2">
        <v>44952</v>
      </c>
      <c r="W118" t="s">
        <v>1101</v>
      </c>
      <c r="Y118">
        <f t="shared" si="3"/>
        <v>755</v>
      </c>
      <c r="Z118">
        <f t="shared" si="4"/>
        <v>7</v>
      </c>
      <c r="AA118">
        <f t="shared" si="5"/>
        <v>1</v>
      </c>
    </row>
    <row r="119" spans="1:27" x14ac:dyDescent="0.3">
      <c r="A119" t="s">
        <v>1350</v>
      </c>
      <c r="B119" t="s">
        <v>1351</v>
      </c>
      <c r="C119">
        <v>36979692</v>
      </c>
      <c r="D119" t="s">
        <v>1102</v>
      </c>
      <c r="E119" s="1">
        <v>0</v>
      </c>
      <c r="F119" t="s">
        <v>1103</v>
      </c>
      <c r="G119">
        <v>81</v>
      </c>
      <c r="H119">
        <v>77</v>
      </c>
      <c r="J119">
        <v>10</v>
      </c>
      <c r="K119" t="s">
        <v>1104</v>
      </c>
      <c r="L119">
        <v>1</v>
      </c>
      <c r="M119" t="s">
        <v>1105</v>
      </c>
      <c r="N119" t="s">
        <v>1106</v>
      </c>
      <c r="O119" t="s">
        <v>1107</v>
      </c>
      <c r="P119" t="s">
        <v>1108</v>
      </c>
      <c r="Q119" t="s">
        <v>1109</v>
      </c>
      <c r="R119" t="s">
        <v>178</v>
      </c>
      <c r="S119">
        <v>2023</v>
      </c>
      <c r="T119" s="2">
        <v>45014</v>
      </c>
      <c r="U119" t="s">
        <v>1110</v>
      </c>
      <c r="W119" t="s">
        <v>1111</v>
      </c>
      <c r="Y119">
        <f t="shared" si="3"/>
        <v>81</v>
      </c>
      <c r="Z119">
        <f t="shared" si="4"/>
        <v>0</v>
      </c>
      <c r="AA119">
        <f t="shared" si="5"/>
        <v>1</v>
      </c>
    </row>
    <row r="120" spans="1:27" x14ac:dyDescent="0.3">
      <c r="A120" t="s">
        <v>1350</v>
      </c>
      <c r="B120" t="s">
        <v>1351</v>
      </c>
      <c r="C120">
        <v>36788617</v>
      </c>
      <c r="D120" t="s">
        <v>1112</v>
      </c>
      <c r="E120" s="1">
        <v>0</v>
      </c>
      <c r="F120" t="s">
        <v>143</v>
      </c>
      <c r="G120">
        <v>80</v>
      </c>
      <c r="H120">
        <v>184</v>
      </c>
      <c r="L120">
        <v>2</v>
      </c>
      <c r="M120" t="s">
        <v>1113</v>
      </c>
      <c r="N120" t="s">
        <v>1114</v>
      </c>
      <c r="O120" t="s">
        <v>1115</v>
      </c>
      <c r="P120" t="s">
        <v>1116</v>
      </c>
      <c r="Q120" t="s">
        <v>1117</v>
      </c>
      <c r="R120" t="s">
        <v>1118</v>
      </c>
      <c r="S120">
        <v>2023</v>
      </c>
      <c r="T120" s="2">
        <v>44972</v>
      </c>
      <c r="U120" t="s">
        <v>1119</v>
      </c>
      <c r="W120" t="s">
        <v>1120</v>
      </c>
      <c r="Y120">
        <f t="shared" si="3"/>
        <v>160</v>
      </c>
      <c r="Z120">
        <f t="shared" si="4"/>
        <v>1</v>
      </c>
      <c r="AA120">
        <f t="shared" si="5"/>
        <v>1</v>
      </c>
    </row>
    <row r="121" spans="1:27" x14ac:dyDescent="0.3">
      <c r="A121" t="s">
        <v>1350</v>
      </c>
      <c r="B121" t="s">
        <v>1351</v>
      </c>
      <c r="C121">
        <v>36179420</v>
      </c>
      <c r="D121" t="s">
        <v>1121</v>
      </c>
      <c r="E121" s="1">
        <v>0</v>
      </c>
      <c r="F121" t="s">
        <v>153</v>
      </c>
      <c r="G121">
        <v>11</v>
      </c>
      <c r="H121">
        <v>48</v>
      </c>
      <c r="I121">
        <v>11</v>
      </c>
      <c r="K121" t="s">
        <v>1122</v>
      </c>
      <c r="L121">
        <v>1</v>
      </c>
      <c r="M121" t="s">
        <v>1123</v>
      </c>
      <c r="N121" t="s">
        <v>1124</v>
      </c>
      <c r="O121" t="s">
        <v>1125</v>
      </c>
      <c r="P121" t="s">
        <v>1126</v>
      </c>
      <c r="Q121" t="s">
        <v>1127</v>
      </c>
      <c r="R121" t="s">
        <v>1128</v>
      </c>
      <c r="S121">
        <v>2022</v>
      </c>
      <c r="T121" s="2">
        <v>44834</v>
      </c>
      <c r="W121" t="s">
        <v>1129</v>
      </c>
      <c r="Y121">
        <f t="shared" si="3"/>
        <v>11</v>
      </c>
      <c r="Z121">
        <f t="shared" si="4"/>
        <v>0</v>
      </c>
      <c r="AA121">
        <f t="shared" si="5"/>
        <v>0</v>
      </c>
    </row>
    <row r="122" spans="1:27" x14ac:dyDescent="0.3">
      <c r="A122" t="s">
        <v>1350</v>
      </c>
      <c r="B122" t="s">
        <v>1351</v>
      </c>
      <c r="C122">
        <v>36762069</v>
      </c>
      <c r="D122" t="s">
        <v>1130</v>
      </c>
      <c r="E122" s="1">
        <v>0</v>
      </c>
      <c r="F122" t="s">
        <v>82</v>
      </c>
      <c r="G122">
        <v>54</v>
      </c>
      <c r="H122">
        <v>92</v>
      </c>
      <c r="J122">
        <v>7</v>
      </c>
      <c r="K122" t="s">
        <v>1131</v>
      </c>
      <c r="L122">
        <v>1</v>
      </c>
      <c r="M122" t="s">
        <v>1132</v>
      </c>
      <c r="N122" t="s">
        <v>1133</v>
      </c>
      <c r="O122" t="s">
        <v>1134</v>
      </c>
      <c r="P122" t="s">
        <v>1135</v>
      </c>
      <c r="Q122" t="s">
        <v>1136</v>
      </c>
      <c r="R122" t="s">
        <v>1137</v>
      </c>
      <c r="S122">
        <v>2023</v>
      </c>
      <c r="T122" s="2">
        <v>44967</v>
      </c>
      <c r="U122" t="s">
        <v>1138</v>
      </c>
      <c r="W122" t="s">
        <v>1139</v>
      </c>
      <c r="Y122">
        <f t="shared" si="3"/>
        <v>54</v>
      </c>
      <c r="Z122">
        <f t="shared" si="4"/>
        <v>0</v>
      </c>
      <c r="AA122">
        <f t="shared" si="5"/>
        <v>1</v>
      </c>
    </row>
    <row r="123" spans="1:27" x14ac:dyDescent="0.3">
      <c r="A123" t="s">
        <v>1350</v>
      </c>
      <c r="B123" t="s">
        <v>1351</v>
      </c>
      <c r="C123">
        <v>36840380</v>
      </c>
      <c r="D123" t="s">
        <v>1140</v>
      </c>
      <c r="E123" s="1">
        <v>0</v>
      </c>
      <c r="F123" t="s">
        <v>82</v>
      </c>
      <c r="G123">
        <v>16</v>
      </c>
      <c r="H123">
        <v>151</v>
      </c>
      <c r="J123">
        <v>12</v>
      </c>
      <c r="K123" t="s">
        <v>1141</v>
      </c>
      <c r="L123">
        <v>2</v>
      </c>
      <c r="M123" t="s">
        <v>1142</v>
      </c>
      <c r="N123" t="s">
        <v>1143</v>
      </c>
      <c r="O123" t="s">
        <v>1144</v>
      </c>
      <c r="P123" t="s">
        <v>1145</v>
      </c>
      <c r="Q123" t="s">
        <v>1146</v>
      </c>
      <c r="R123" t="s">
        <v>1147</v>
      </c>
      <c r="S123">
        <v>2023</v>
      </c>
      <c r="T123" s="2">
        <v>44982</v>
      </c>
      <c r="W123" t="s">
        <v>1148</v>
      </c>
      <c r="Y123">
        <f t="shared" si="3"/>
        <v>32</v>
      </c>
      <c r="Z123">
        <f t="shared" si="4"/>
        <v>0</v>
      </c>
      <c r="AA123">
        <f t="shared" si="5"/>
        <v>0</v>
      </c>
    </row>
    <row r="124" spans="1:27" x14ac:dyDescent="0.3">
      <c r="A124" t="s">
        <v>1350</v>
      </c>
      <c r="B124" t="s">
        <v>1351</v>
      </c>
      <c r="C124">
        <v>37064098</v>
      </c>
      <c r="D124" t="s">
        <v>1149</v>
      </c>
      <c r="E124" s="1">
        <v>0</v>
      </c>
      <c r="F124" t="s">
        <v>82</v>
      </c>
      <c r="G124">
        <v>73</v>
      </c>
      <c r="H124">
        <v>92</v>
      </c>
      <c r="I124" t="s">
        <v>1150</v>
      </c>
      <c r="K124" t="s">
        <v>1151</v>
      </c>
      <c r="L124">
        <v>1</v>
      </c>
      <c r="M124" t="s">
        <v>1024</v>
      </c>
      <c r="N124" t="s">
        <v>1152</v>
      </c>
      <c r="O124" t="s">
        <v>1153</v>
      </c>
      <c r="P124" t="s">
        <v>1154</v>
      </c>
      <c r="Q124" t="s">
        <v>1155</v>
      </c>
      <c r="R124" t="s">
        <v>1156</v>
      </c>
      <c r="S124">
        <v>2023</v>
      </c>
      <c r="T124" s="2">
        <v>45033</v>
      </c>
      <c r="U124" t="s">
        <v>1157</v>
      </c>
      <c r="W124" t="s">
        <v>1158</v>
      </c>
      <c r="Y124">
        <f t="shared" si="3"/>
        <v>73</v>
      </c>
      <c r="Z124">
        <f t="shared" si="4"/>
        <v>0</v>
      </c>
      <c r="AA124">
        <f t="shared" si="5"/>
        <v>1</v>
      </c>
    </row>
    <row r="125" spans="1:27" x14ac:dyDescent="0.3">
      <c r="A125" t="s">
        <v>1350</v>
      </c>
      <c r="B125" t="s">
        <v>1351</v>
      </c>
      <c r="C125">
        <v>36779490</v>
      </c>
      <c r="D125" t="s">
        <v>1159</v>
      </c>
      <c r="E125" s="1">
        <v>0</v>
      </c>
      <c r="F125" t="s">
        <v>112</v>
      </c>
      <c r="G125">
        <v>147</v>
      </c>
      <c r="H125">
        <v>92</v>
      </c>
      <c r="I125">
        <v>2</v>
      </c>
      <c r="K125" t="s">
        <v>1160</v>
      </c>
      <c r="L125">
        <v>1</v>
      </c>
      <c r="M125" t="s">
        <v>94</v>
      </c>
      <c r="N125" t="s">
        <v>1161</v>
      </c>
      <c r="O125" t="s">
        <v>1162</v>
      </c>
      <c r="P125" t="s">
        <v>1163</v>
      </c>
      <c r="Q125" t="s">
        <v>1164</v>
      </c>
      <c r="R125" t="s">
        <v>1165</v>
      </c>
      <c r="S125">
        <v>2023</v>
      </c>
      <c r="T125" s="2">
        <v>44970</v>
      </c>
      <c r="W125" t="s">
        <v>1166</v>
      </c>
      <c r="Y125">
        <f t="shared" si="3"/>
        <v>147</v>
      </c>
      <c r="Z125">
        <f t="shared" si="4"/>
        <v>1</v>
      </c>
      <c r="AA125">
        <f t="shared" si="5"/>
        <v>1</v>
      </c>
    </row>
    <row r="126" spans="1:27" x14ac:dyDescent="0.3">
      <c r="A126" t="s">
        <v>1350</v>
      </c>
      <c r="B126" t="s">
        <v>1351</v>
      </c>
      <c r="C126">
        <v>36161658</v>
      </c>
      <c r="D126" t="s">
        <v>1167</v>
      </c>
      <c r="E126" s="1">
        <v>0</v>
      </c>
      <c r="F126" t="s">
        <v>112</v>
      </c>
      <c r="G126">
        <v>60</v>
      </c>
      <c r="L126">
        <v>1</v>
      </c>
      <c r="O126" t="s">
        <v>1168</v>
      </c>
      <c r="P126" t="s">
        <v>1169</v>
      </c>
      <c r="Q126" t="s">
        <v>1170</v>
      </c>
      <c r="R126" t="s">
        <v>389</v>
      </c>
      <c r="S126">
        <v>2023</v>
      </c>
      <c r="T126" s="2">
        <v>44830</v>
      </c>
      <c r="W126" t="s">
        <v>1171</v>
      </c>
      <c r="Y126">
        <f t="shared" si="3"/>
        <v>60</v>
      </c>
      <c r="Z126">
        <f t="shared" si="4"/>
        <v>0</v>
      </c>
      <c r="AA126">
        <f t="shared" si="5"/>
        <v>1</v>
      </c>
    </row>
    <row r="127" spans="1:27" x14ac:dyDescent="0.3">
      <c r="A127" t="s">
        <v>1350</v>
      </c>
      <c r="B127" t="s">
        <v>1351</v>
      </c>
      <c r="C127">
        <v>36765354</v>
      </c>
      <c r="D127" t="s">
        <v>1172</v>
      </c>
      <c r="E127" s="1">
        <v>0</v>
      </c>
      <c r="F127" t="s">
        <v>532</v>
      </c>
      <c r="G127">
        <v>100</v>
      </c>
      <c r="H127">
        <v>92</v>
      </c>
      <c r="J127">
        <v>9</v>
      </c>
      <c r="K127" t="s">
        <v>1173</v>
      </c>
      <c r="L127">
        <v>1</v>
      </c>
      <c r="M127" t="s">
        <v>199</v>
      </c>
      <c r="N127" t="s">
        <v>1174</v>
      </c>
      <c r="O127" t="s">
        <v>1175</v>
      </c>
      <c r="P127" t="s">
        <v>1176</v>
      </c>
      <c r="Q127" t="s">
        <v>1177</v>
      </c>
      <c r="R127" t="s">
        <v>204</v>
      </c>
      <c r="S127">
        <v>2023</v>
      </c>
      <c r="T127" s="2">
        <v>44968</v>
      </c>
      <c r="U127" t="s">
        <v>1178</v>
      </c>
      <c r="W127" t="s">
        <v>1179</v>
      </c>
      <c r="Y127">
        <f t="shared" si="3"/>
        <v>100</v>
      </c>
      <c r="Z127">
        <f t="shared" si="4"/>
        <v>1</v>
      </c>
      <c r="AA127">
        <f t="shared" si="5"/>
        <v>0</v>
      </c>
    </row>
    <row r="128" spans="1:27" x14ac:dyDescent="0.3">
      <c r="A128" t="s">
        <v>1350</v>
      </c>
      <c r="B128" t="s">
        <v>1351</v>
      </c>
      <c r="C128">
        <v>36008101</v>
      </c>
      <c r="D128" t="s">
        <v>1180</v>
      </c>
      <c r="E128" s="1">
        <v>0</v>
      </c>
      <c r="F128" t="s">
        <v>153</v>
      </c>
      <c r="G128">
        <v>102</v>
      </c>
      <c r="H128">
        <v>92</v>
      </c>
      <c r="I128">
        <v>15</v>
      </c>
      <c r="K128" t="s">
        <v>1181</v>
      </c>
      <c r="L128">
        <v>1</v>
      </c>
      <c r="M128" t="s">
        <v>94</v>
      </c>
      <c r="N128" t="s">
        <v>1182</v>
      </c>
      <c r="O128" t="s">
        <v>1183</v>
      </c>
      <c r="P128" t="s">
        <v>1184</v>
      </c>
      <c r="Q128" t="s">
        <v>1185</v>
      </c>
      <c r="R128" t="s">
        <v>671</v>
      </c>
      <c r="S128">
        <v>2023</v>
      </c>
      <c r="T128" s="2">
        <v>44798</v>
      </c>
      <c r="W128" t="s">
        <v>1186</v>
      </c>
      <c r="Y128">
        <f t="shared" si="3"/>
        <v>102</v>
      </c>
      <c r="Z128">
        <f t="shared" si="4"/>
        <v>1</v>
      </c>
      <c r="AA128">
        <f t="shared" si="5"/>
        <v>0</v>
      </c>
    </row>
    <row r="129" spans="1:27" x14ac:dyDescent="0.3">
      <c r="A129" t="s">
        <v>1350</v>
      </c>
      <c r="B129" t="s">
        <v>1351</v>
      </c>
      <c r="C129">
        <v>36873953</v>
      </c>
      <c r="D129" t="s">
        <v>1187</v>
      </c>
      <c r="E129" s="1">
        <v>0</v>
      </c>
      <c r="F129" t="s">
        <v>1188</v>
      </c>
      <c r="H129">
        <v>90</v>
      </c>
      <c r="I129">
        <v>3</v>
      </c>
      <c r="K129" t="s">
        <v>1189</v>
      </c>
      <c r="M129" t="s">
        <v>1190</v>
      </c>
      <c r="N129" t="s">
        <v>1191</v>
      </c>
      <c r="O129" t="s">
        <v>1192</v>
      </c>
      <c r="P129" t="s">
        <v>1193</v>
      </c>
      <c r="Q129" t="s">
        <v>1194</v>
      </c>
      <c r="R129" t="s">
        <v>1195</v>
      </c>
      <c r="S129">
        <v>2023</v>
      </c>
      <c r="T129" s="2">
        <v>44991</v>
      </c>
      <c r="U129" t="s">
        <v>1196</v>
      </c>
      <c r="W129" t="s">
        <v>1197</v>
      </c>
      <c r="Y129">
        <f>IFERROR(L129*G129,"N/A")</f>
        <v>0</v>
      </c>
      <c r="Z129">
        <f t="shared" si="4"/>
        <v>0</v>
      </c>
      <c r="AA129">
        <f t="shared" si="5"/>
        <v>0</v>
      </c>
    </row>
    <row r="130" spans="1:27" x14ac:dyDescent="0.3">
      <c r="A130" t="s">
        <v>1350</v>
      </c>
      <c r="B130" t="s">
        <v>1351</v>
      </c>
      <c r="C130">
        <v>36945037</v>
      </c>
      <c r="D130" t="s">
        <v>1198</v>
      </c>
      <c r="E130" s="1">
        <v>0</v>
      </c>
      <c r="F130" t="s">
        <v>82</v>
      </c>
      <c r="G130">
        <v>136</v>
      </c>
      <c r="H130">
        <v>92</v>
      </c>
      <c r="I130">
        <v>11</v>
      </c>
      <c r="J130">
        <v>1</v>
      </c>
      <c r="K130" t="s">
        <v>1199</v>
      </c>
      <c r="L130">
        <v>1</v>
      </c>
      <c r="M130" t="s">
        <v>777</v>
      </c>
      <c r="N130" t="s">
        <v>1200</v>
      </c>
      <c r="O130" t="s">
        <v>1201</v>
      </c>
      <c r="P130" t="s">
        <v>1202</v>
      </c>
      <c r="Q130" t="s">
        <v>1203</v>
      </c>
      <c r="R130" t="s">
        <v>1204</v>
      </c>
      <c r="S130">
        <v>2023</v>
      </c>
      <c r="T130" s="2">
        <v>45007</v>
      </c>
      <c r="U130" t="s">
        <v>1205</v>
      </c>
      <c r="W130" t="s">
        <v>1206</v>
      </c>
      <c r="Y130">
        <f t="shared" si="3"/>
        <v>136</v>
      </c>
      <c r="Z130">
        <f t="shared" si="4"/>
        <v>1</v>
      </c>
      <c r="AA130">
        <f t="shared" si="5"/>
        <v>0</v>
      </c>
    </row>
    <row r="131" spans="1:27" x14ac:dyDescent="0.3">
      <c r="A131" t="s">
        <v>1350</v>
      </c>
      <c r="B131" t="s">
        <v>1351</v>
      </c>
      <c r="C131">
        <v>36935449</v>
      </c>
      <c r="D131" t="s">
        <v>1207</v>
      </c>
      <c r="E131" s="1">
        <v>0</v>
      </c>
      <c r="F131" t="s">
        <v>1208</v>
      </c>
      <c r="G131">
        <v>66</v>
      </c>
      <c r="H131">
        <v>92</v>
      </c>
      <c r="I131">
        <v>15</v>
      </c>
      <c r="J131">
        <v>5</v>
      </c>
      <c r="K131" t="s">
        <v>1209</v>
      </c>
      <c r="L131">
        <v>1</v>
      </c>
      <c r="M131" t="s">
        <v>94</v>
      </c>
      <c r="N131" t="s">
        <v>1210</v>
      </c>
      <c r="O131" t="s">
        <v>1211</v>
      </c>
      <c r="P131" t="s">
        <v>1212</v>
      </c>
      <c r="Q131" t="s">
        <v>1213</v>
      </c>
      <c r="R131" t="s">
        <v>459</v>
      </c>
      <c r="S131">
        <v>2023</v>
      </c>
      <c r="T131" s="2">
        <v>45005</v>
      </c>
      <c r="U131" t="s">
        <v>1214</v>
      </c>
      <c r="W131" t="s">
        <v>1215</v>
      </c>
      <c r="Y131">
        <f t="shared" ref="Y131:Y194" si="6">IFERROR(L131*G131,"N/A")</f>
        <v>66</v>
      </c>
      <c r="Z131">
        <f t="shared" ref="Z131:Z194" si="7">IFERROR(ROUNDDOWN(Y131/96,0),"")</f>
        <v>0</v>
      </c>
      <c r="AA131">
        <f t="shared" ref="AA131:AA194" si="8">IFERROR(ROUNDDOWN((MOD(Y131,96)/48),0),"")</f>
        <v>1</v>
      </c>
    </row>
    <row r="132" spans="1:27" x14ac:dyDescent="0.3">
      <c r="A132" t="s">
        <v>1350</v>
      </c>
      <c r="B132" t="s">
        <v>1351</v>
      </c>
      <c r="C132">
        <v>36549084</v>
      </c>
      <c r="D132" t="s">
        <v>1216</v>
      </c>
      <c r="E132" s="1">
        <v>0</v>
      </c>
      <c r="F132" t="s">
        <v>23</v>
      </c>
      <c r="G132">
        <v>176</v>
      </c>
      <c r="H132">
        <v>276</v>
      </c>
      <c r="I132">
        <v>38</v>
      </c>
      <c r="J132">
        <v>12</v>
      </c>
      <c r="K132" t="s">
        <v>1217</v>
      </c>
      <c r="L132">
        <v>3</v>
      </c>
      <c r="M132" t="s">
        <v>1218</v>
      </c>
      <c r="N132" t="s">
        <v>1219</v>
      </c>
      <c r="O132" t="s">
        <v>1220</v>
      </c>
      <c r="P132" t="s">
        <v>1221</v>
      </c>
      <c r="Q132" t="s">
        <v>1222</v>
      </c>
      <c r="R132" t="s">
        <v>1223</v>
      </c>
      <c r="S132">
        <v>2023</v>
      </c>
      <c r="T132" s="2">
        <v>44917</v>
      </c>
      <c r="W132" t="s">
        <v>1224</v>
      </c>
      <c r="Y132">
        <f t="shared" si="6"/>
        <v>528</v>
      </c>
      <c r="Z132">
        <f t="shared" si="7"/>
        <v>5</v>
      </c>
      <c r="AA132">
        <f t="shared" si="8"/>
        <v>1</v>
      </c>
    </row>
    <row r="133" spans="1:27" x14ac:dyDescent="0.3">
      <c r="A133" t="s">
        <v>1350</v>
      </c>
      <c r="B133" t="s">
        <v>1351</v>
      </c>
      <c r="C133">
        <v>36831406</v>
      </c>
      <c r="D133" t="s">
        <v>1225</v>
      </c>
      <c r="E133" s="1">
        <v>0</v>
      </c>
      <c r="F133" t="s">
        <v>82</v>
      </c>
      <c r="G133">
        <v>394</v>
      </c>
      <c r="H133">
        <v>92</v>
      </c>
      <c r="I133">
        <v>27</v>
      </c>
      <c r="J133">
        <v>2</v>
      </c>
      <c r="K133" t="s">
        <v>1226</v>
      </c>
      <c r="L133">
        <v>1</v>
      </c>
      <c r="M133" t="s">
        <v>553</v>
      </c>
      <c r="N133" t="s">
        <v>1227</v>
      </c>
      <c r="O133" t="s">
        <v>1228</v>
      </c>
      <c r="P133" t="s">
        <v>1229</v>
      </c>
      <c r="Q133" t="s">
        <v>66</v>
      </c>
      <c r="R133" t="s">
        <v>444</v>
      </c>
      <c r="S133">
        <v>2023</v>
      </c>
      <c r="T133" s="2">
        <v>44982</v>
      </c>
      <c r="U133" t="s">
        <v>1230</v>
      </c>
      <c r="W133" t="s">
        <v>1231</v>
      </c>
      <c r="Y133">
        <f t="shared" si="6"/>
        <v>394</v>
      </c>
      <c r="Z133">
        <f t="shared" si="7"/>
        <v>4</v>
      </c>
      <c r="AA133">
        <f t="shared" si="8"/>
        <v>0</v>
      </c>
    </row>
    <row r="134" spans="1:27" x14ac:dyDescent="0.3">
      <c r="A134" t="s">
        <v>1350</v>
      </c>
      <c r="B134" t="s">
        <v>1351</v>
      </c>
      <c r="C134">
        <v>36720581</v>
      </c>
      <c r="D134" t="s">
        <v>1232</v>
      </c>
      <c r="E134" s="1">
        <v>0</v>
      </c>
      <c r="F134" t="s">
        <v>153</v>
      </c>
      <c r="G134">
        <v>24</v>
      </c>
      <c r="L134">
        <v>1</v>
      </c>
      <c r="N134" t="s">
        <v>1233</v>
      </c>
      <c r="O134" t="s">
        <v>1234</v>
      </c>
      <c r="P134" t="s">
        <v>1235</v>
      </c>
      <c r="Q134" t="s">
        <v>1236</v>
      </c>
      <c r="R134" t="s">
        <v>1237</v>
      </c>
      <c r="S134">
        <v>2023</v>
      </c>
      <c r="T134" s="2">
        <v>44957</v>
      </c>
      <c r="W134" t="s">
        <v>1238</v>
      </c>
      <c r="Y134">
        <f t="shared" si="6"/>
        <v>24</v>
      </c>
      <c r="Z134">
        <f t="shared" si="7"/>
        <v>0</v>
      </c>
      <c r="AA134">
        <f t="shared" si="8"/>
        <v>0</v>
      </c>
    </row>
    <row r="135" spans="1:27" x14ac:dyDescent="0.3">
      <c r="A135" t="s">
        <v>1350</v>
      </c>
      <c r="B135" t="s">
        <v>1351</v>
      </c>
      <c r="C135">
        <v>36969250</v>
      </c>
      <c r="D135" t="s">
        <v>1239</v>
      </c>
      <c r="E135" s="1">
        <v>0</v>
      </c>
      <c r="F135" t="s">
        <v>655</v>
      </c>
      <c r="G135">
        <v>29</v>
      </c>
      <c r="H135">
        <v>184</v>
      </c>
      <c r="I135">
        <v>9</v>
      </c>
      <c r="K135" t="s">
        <v>1240</v>
      </c>
      <c r="L135">
        <v>2</v>
      </c>
      <c r="M135" t="s">
        <v>1241</v>
      </c>
      <c r="N135" t="s">
        <v>1242</v>
      </c>
      <c r="O135" t="s">
        <v>1243</v>
      </c>
      <c r="P135" t="s">
        <v>1244</v>
      </c>
      <c r="Q135" t="s">
        <v>1245</v>
      </c>
      <c r="R135" t="s">
        <v>99</v>
      </c>
      <c r="S135">
        <v>2023</v>
      </c>
      <c r="T135" s="2">
        <v>45012</v>
      </c>
      <c r="U135" t="s">
        <v>1246</v>
      </c>
      <c r="W135" t="s">
        <v>1247</v>
      </c>
      <c r="Y135">
        <f t="shared" si="6"/>
        <v>58</v>
      </c>
      <c r="Z135">
        <f t="shared" si="7"/>
        <v>0</v>
      </c>
      <c r="AA135">
        <f t="shared" si="8"/>
        <v>1</v>
      </c>
    </row>
    <row r="136" spans="1:27" x14ac:dyDescent="0.3">
      <c r="A136" t="s">
        <v>1350</v>
      </c>
      <c r="B136" t="s">
        <v>1351</v>
      </c>
      <c r="C136">
        <v>36982312</v>
      </c>
      <c r="D136" t="s">
        <v>1248</v>
      </c>
      <c r="E136" s="1">
        <v>0</v>
      </c>
      <c r="F136" t="s">
        <v>1249</v>
      </c>
      <c r="G136">
        <v>3</v>
      </c>
      <c r="H136">
        <v>92</v>
      </c>
      <c r="J136">
        <v>0</v>
      </c>
      <c r="L136">
        <v>1</v>
      </c>
      <c r="M136" t="s">
        <v>199</v>
      </c>
      <c r="N136" t="s">
        <v>1250</v>
      </c>
      <c r="O136" t="s">
        <v>1251</v>
      </c>
      <c r="P136" t="s">
        <v>1252</v>
      </c>
      <c r="Q136" t="s">
        <v>1253</v>
      </c>
      <c r="R136" t="s">
        <v>168</v>
      </c>
      <c r="S136">
        <v>2023</v>
      </c>
      <c r="T136" s="2">
        <v>45014</v>
      </c>
      <c r="U136" t="s">
        <v>1254</v>
      </c>
      <c r="W136" t="s">
        <v>1255</v>
      </c>
      <c r="Y136">
        <f t="shared" si="6"/>
        <v>3</v>
      </c>
      <c r="Z136">
        <f t="shared" si="7"/>
        <v>0</v>
      </c>
      <c r="AA136">
        <f t="shared" si="8"/>
        <v>0</v>
      </c>
    </row>
    <row r="137" spans="1:27" x14ac:dyDescent="0.3">
      <c r="A137" t="s">
        <v>1350</v>
      </c>
      <c r="B137" t="s">
        <v>1351</v>
      </c>
      <c r="C137">
        <v>36798286</v>
      </c>
      <c r="D137" t="s">
        <v>1256</v>
      </c>
      <c r="E137" s="1">
        <v>0</v>
      </c>
      <c r="F137" t="s">
        <v>112</v>
      </c>
      <c r="G137">
        <v>40</v>
      </c>
      <c r="H137">
        <v>384</v>
      </c>
      <c r="I137">
        <v>10</v>
      </c>
      <c r="K137" t="s">
        <v>1257</v>
      </c>
      <c r="L137">
        <v>1</v>
      </c>
      <c r="M137" t="s">
        <v>1258</v>
      </c>
      <c r="N137" t="s">
        <v>1259</v>
      </c>
      <c r="O137" t="s">
        <v>1260</v>
      </c>
      <c r="P137" t="s">
        <v>1261</v>
      </c>
      <c r="Q137" t="s">
        <v>1262</v>
      </c>
      <c r="R137" t="s">
        <v>1263</v>
      </c>
      <c r="S137">
        <v>2023</v>
      </c>
      <c r="T137" s="2">
        <v>44974</v>
      </c>
      <c r="U137" t="s">
        <v>1264</v>
      </c>
      <c r="W137" t="s">
        <v>1265</v>
      </c>
      <c r="Y137">
        <f t="shared" si="6"/>
        <v>40</v>
      </c>
      <c r="Z137">
        <f t="shared" si="7"/>
        <v>0</v>
      </c>
      <c r="AA137">
        <f t="shared" si="8"/>
        <v>0</v>
      </c>
    </row>
    <row r="138" spans="1:27" x14ac:dyDescent="0.3">
      <c r="A138" t="s">
        <v>1350</v>
      </c>
      <c r="B138" t="s">
        <v>1351</v>
      </c>
      <c r="C138">
        <v>36315061</v>
      </c>
      <c r="D138" t="s">
        <v>1266</v>
      </c>
      <c r="E138" s="1">
        <v>0</v>
      </c>
      <c r="F138" t="s">
        <v>153</v>
      </c>
      <c r="G138">
        <v>916</v>
      </c>
      <c r="H138">
        <v>92</v>
      </c>
      <c r="J138">
        <v>5</v>
      </c>
      <c r="K138" t="s">
        <v>1267</v>
      </c>
      <c r="L138">
        <v>1</v>
      </c>
      <c r="M138" t="s">
        <v>808</v>
      </c>
      <c r="N138" t="s">
        <v>1268</v>
      </c>
      <c r="O138" t="s">
        <v>1269</v>
      </c>
      <c r="P138" t="s">
        <v>1270</v>
      </c>
      <c r="Q138" t="s">
        <v>1271</v>
      </c>
      <c r="R138" t="s">
        <v>389</v>
      </c>
      <c r="S138">
        <v>2023</v>
      </c>
      <c r="T138" s="2">
        <v>44865</v>
      </c>
      <c r="U138" t="s">
        <v>1272</v>
      </c>
      <c r="W138" t="s">
        <v>1273</v>
      </c>
      <c r="Y138">
        <f t="shared" si="6"/>
        <v>916</v>
      </c>
      <c r="Z138">
        <f t="shared" si="7"/>
        <v>9</v>
      </c>
      <c r="AA138">
        <f t="shared" si="8"/>
        <v>1</v>
      </c>
    </row>
    <row r="139" spans="1:27" x14ac:dyDescent="0.3">
      <c r="A139" t="s">
        <v>1350</v>
      </c>
      <c r="B139" t="s">
        <v>1351</v>
      </c>
      <c r="C139">
        <v>36708756</v>
      </c>
      <c r="D139" t="s">
        <v>1274</v>
      </c>
      <c r="E139" s="1">
        <v>0</v>
      </c>
      <c r="F139" t="s">
        <v>23</v>
      </c>
      <c r="G139">
        <v>688</v>
      </c>
      <c r="H139">
        <v>276</v>
      </c>
      <c r="I139">
        <v>6</v>
      </c>
      <c r="J139">
        <v>1</v>
      </c>
      <c r="K139" t="s">
        <v>1275</v>
      </c>
      <c r="L139">
        <v>3</v>
      </c>
      <c r="M139" t="s">
        <v>1276</v>
      </c>
      <c r="N139" t="s">
        <v>1277</v>
      </c>
      <c r="O139" t="s">
        <v>1278</v>
      </c>
      <c r="P139" t="s">
        <v>1279</v>
      </c>
      <c r="Q139" t="s">
        <v>1280</v>
      </c>
      <c r="R139" t="s">
        <v>1281</v>
      </c>
      <c r="S139">
        <v>2023</v>
      </c>
      <c r="T139" s="2">
        <v>44954</v>
      </c>
      <c r="W139" t="s">
        <v>1282</v>
      </c>
      <c r="Y139">
        <f t="shared" si="6"/>
        <v>2064</v>
      </c>
      <c r="Z139">
        <f t="shared" si="7"/>
        <v>21</v>
      </c>
      <c r="AA139">
        <f t="shared" si="8"/>
        <v>1</v>
      </c>
    </row>
    <row r="140" spans="1:27" x14ac:dyDescent="0.3">
      <c r="A140" t="s">
        <v>1350</v>
      </c>
      <c r="B140" t="s">
        <v>1351</v>
      </c>
      <c r="C140">
        <v>36934327</v>
      </c>
      <c r="D140" t="s">
        <v>1283</v>
      </c>
      <c r="E140" s="1">
        <v>0</v>
      </c>
      <c r="F140" t="s">
        <v>153</v>
      </c>
      <c r="G140">
        <v>33</v>
      </c>
      <c r="H140">
        <v>92</v>
      </c>
      <c r="I140">
        <v>30</v>
      </c>
      <c r="K140" t="s">
        <v>1284</v>
      </c>
      <c r="L140">
        <v>1</v>
      </c>
      <c r="M140" t="s">
        <v>94</v>
      </c>
      <c r="N140" t="s">
        <v>1285</v>
      </c>
      <c r="O140" t="s">
        <v>1286</v>
      </c>
      <c r="P140" t="s">
        <v>1287</v>
      </c>
      <c r="Q140" t="s">
        <v>1288</v>
      </c>
      <c r="R140" t="s">
        <v>1289</v>
      </c>
      <c r="S140">
        <v>2023</v>
      </c>
      <c r="T140" s="2">
        <v>45004</v>
      </c>
      <c r="W140" t="s">
        <v>1290</v>
      </c>
      <c r="Y140">
        <f t="shared" si="6"/>
        <v>33</v>
      </c>
      <c r="Z140">
        <f t="shared" si="7"/>
        <v>0</v>
      </c>
      <c r="AA140">
        <f t="shared" si="8"/>
        <v>0</v>
      </c>
    </row>
    <row r="141" spans="1:27" x14ac:dyDescent="0.3">
      <c r="A141" t="s">
        <v>1350</v>
      </c>
      <c r="B141" t="s">
        <v>1351</v>
      </c>
      <c r="C141">
        <v>36653383</v>
      </c>
      <c r="D141" t="s">
        <v>1291</v>
      </c>
      <c r="E141" s="1">
        <v>0</v>
      </c>
      <c r="F141" t="s">
        <v>23</v>
      </c>
      <c r="G141">
        <v>88</v>
      </c>
      <c r="H141">
        <v>92</v>
      </c>
      <c r="L141">
        <v>1</v>
      </c>
      <c r="M141" t="s">
        <v>199</v>
      </c>
      <c r="N141" t="s">
        <v>1292</v>
      </c>
      <c r="O141" t="s">
        <v>1293</v>
      </c>
      <c r="P141" t="s">
        <v>1294</v>
      </c>
      <c r="Q141" t="s">
        <v>1295</v>
      </c>
      <c r="R141" t="s">
        <v>246</v>
      </c>
      <c r="S141">
        <v>2023</v>
      </c>
      <c r="T141" s="2">
        <v>44944</v>
      </c>
      <c r="U141" t="s">
        <v>1296</v>
      </c>
      <c r="W141" t="s">
        <v>1297</v>
      </c>
      <c r="Y141">
        <f t="shared" si="6"/>
        <v>88</v>
      </c>
      <c r="Z141">
        <f t="shared" si="7"/>
        <v>0</v>
      </c>
      <c r="AA141">
        <f t="shared" si="8"/>
        <v>1</v>
      </c>
    </row>
    <row r="142" spans="1:27" x14ac:dyDescent="0.3">
      <c r="A142" t="s">
        <v>1350</v>
      </c>
      <c r="B142" t="s">
        <v>1351</v>
      </c>
      <c r="C142">
        <v>35934055</v>
      </c>
      <c r="D142" t="s">
        <v>1298</v>
      </c>
      <c r="E142" s="1">
        <v>0</v>
      </c>
      <c r="F142" t="s">
        <v>153</v>
      </c>
      <c r="G142">
        <v>40</v>
      </c>
      <c r="H142">
        <v>276</v>
      </c>
      <c r="L142">
        <v>3</v>
      </c>
      <c r="M142" t="s">
        <v>1299</v>
      </c>
      <c r="N142" t="s">
        <v>1300</v>
      </c>
      <c r="O142" t="s">
        <v>1301</v>
      </c>
      <c r="P142" t="s">
        <v>1302</v>
      </c>
      <c r="Q142" t="s">
        <v>1303</v>
      </c>
      <c r="R142" t="s">
        <v>1304</v>
      </c>
      <c r="S142">
        <v>2023</v>
      </c>
      <c r="T142" s="2">
        <v>44780</v>
      </c>
      <c r="W142" t="s">
        <v>1305</v>
      </c>
      <c r="Y142">
        <f t="shared" si="6"/>
        <v>120</v>
      </c>
      <c r="Z142">
        <f t="shared" si="7"/>
        <v>1</v>
      </c>
      <c r="AA142">
        <f t="shared" si="8"/>
        <v>0</v>
      </c>
    </row>
    <row r="143" spans="1:27" x14ac:dyDescent="0.3">
      <c r="A143" t="s">
        <v>1350</v>
      </c>
      <c r="B143" t="s">
        <v>1351</v>
      </c>
      <c r="C143">
        <v>36461941</v>
      </c>
      <c r="D143" t="s">
        <v>1306</v>
      </c>
      <c r="E143" s="1">
        <v>0</v>
      </c>
      <c r="F143" t="s">
        <v>1307</v>
      </c>
      <c r="G143">
        <v>116</v>
      </c>
      <c r="H143">
        <v>183</v>
      </c>
      <c r="I143">
        <v>12</v>
      </c>
      <c r="J143">
        <v>11</v>
      </c>
      <c r="K143" t="s">
        <v>1308</v>
      </c>
      <c r="L143">
        <v>2</v>
      </c>
      <c r="M143" t="s">
        <v>1309</v>
      </c>
      <c r="N143" t="s">
        <v>1310</v>
      </c>
      <c r="O143" t="s">
        <v>1311</v>
      </c>
      <c r="P143" t="s">
        <v>1312</v>
      </c>
      <c r="Q143" t="s">
        <v>1313</v>
      </c>
      <c r="R143" t="s">
        <v>213</v>
      </c>
      <c r="S143">
        <v>2023</v>
      </c>
      <c r="T143" s="2">
        <v>44898</v>
      </c>
      <c r="W143" t="s">
        <v>1314</v>
      </c>
      <c r="Y143">
        <f t="shared" si="6"/>
        <v>232</v>
      </c>
      <c r="Z143">
        <f t="shared" si="7"/>
        <v>2</v>
      </c>
      <c r="AA143">
        <f t="shared" si="8"/>
        <v>0</v>
      </c>
    </row>
    <row r="144" spans="1:27" x14ac:dyDescent="0.3">
      <c r="A144" t="s">
        <v>1350</v>
      </c>
      <c r="B144" t="s">
        <v>1351</v>
      </c>
      <c r="C144">
        <v>36995323</v>
      </c>
      <c r="D144" t="s">
        <v>1315</v>
      </c>
      <c r="E144" s="1">
        <v>0</v>
      </c>
      <c r="F144" t="s">
        <v>153</v>
      </c>
      <c r="G144">
        <v>180</v>
      </c>
      <c r="H144">
        <v>92</v>
      </c>
      <c r="I144">
        <v>6</v>
      </c>
      <c r="K144" t="s">
        <v>1316</v>
      </c>
      <c r="L144">
        <v>1</v>
      </c>
      <c r="M144" t="s">
        <v>199</v>
      </c>
      <c r="N144" t="s">
        <v>1317</v>
      </c>
      <c r="O144" t="s">
        <v>1318</v>
      </c>
      <c r="P144" t="s">
        <v>1319</v>
      </c>
      <c r="Q144" t="s">
        <v>1320</v>
      </c>
      <c r="R144" t="s">
        <v>1321</v>
      </c>
      <c r="S144">
        <v>2023</v>
      </c>
      <c r="T144" s="2">
        <v>45015</v>
      </c>
      <c r="W144" t="s">
        <v>1322</v>
      </c>
      <c r="Y144">
        <f t="shared" si="6"/>
        <v>180</v>
      </c>
      <c r="Z144">
        <f t="shared" si="7"/>
        <v>1</v>
      </c>
      <c r="AA144">
        <f t="shared" si="8"/>
        <v>1</v>
      </c>
    </row>
    <row r="145" spans="1:27" x14ac:dyDescent="0.3">
      <c r="A145" t="s">
        <v>1350</v>
      </c>
      <c r="B145" t="s">
        <v>1351</v>
      </c>
      <c r="C145">
        <v>36239377</v>
      </c>
      <c r="D145" t="s">
        <v>1323</v>
      </c>
      <c r="E145" s="1">
        <v>0</v>
      </c>
      <c r="F145" t="s">
        <v>153</v>
      </c>
      <c r="H145">
        <v>1462</v>
      </c>
      <c r="I145">
        <v>7</v>
      </c>
      <c r="J145">
        <v>1</v>
      </c>
      <c r="K145" t="s">
        <v>1324</v>
      </c>
      <c r="L145">
        <v>4</v>
      </c>
      <c r="M145" t="s">
        <v>1325</v>
      </c>
      <c r="N145" t="s">
        <v>1326</v>
      </c>
      <c r="O145" t="s">
        <v>1327</v>
      </c>
      <c r="P145" t="s">
        <v>1328</v>
      </c>
      <c r="Q145" t="s">
        <v>1329</v>
      </c>
      <c r="R145" t="s">
        <v>914</v>
      </c>
      <c r="S145">
        <v>2023</v>
      </c>
      <c r="T145" s="2">
        <v>44848</v>
      </c>
      <c r="W145" t="s">
        <v>1330</v>
      </c>
      <c r="Y145">
        <f t="shared" si="6"/>
        <v>0</v>
      </c>
      <c r="Z145">
        <f t="shared" si="7"/>
        <v>0</v>
      </c>
      <c r="AA145">
        <f t="shared" si="8"/>
        <v>0</v>
      </c>
    </row>
    <row r="146" spans="1:27" x14ac:dyDescent="0.3">
      <c r="A146" t="s">
        <v>1350</v>
      </c>
      <c r="B146" t="s">
        <v>1351</v>
      </c>
      <c r="C146">
        <v>37049538</v>
      </c>
      <c r="D146" t="s">
        <v>1331</v>
      </c>
      <c r="E146" s="1">
        <v>0</v>
      </c>
      <c r="F146" t="s">
        <v>153</v>
      </c>
      <c r="G146">
        <v>132</v>
      </c>
      <c r="H146">
        <v>92</v>
      </c>
      <c r="I146" t="s">
        <v>1332</v>
      </c>
      <c r="K146" t="s">
        <v>1333</v>
      </c>
      <c r="L146">
        <v>1</v>
      </c>
      <c r="M146" t="s">
        <v>808</v>
      </c>
      <c r="O146" t="s">
        <v>1334</v>
      </c>
      <c r="P146" t="s">
        <v>1335</v>
      </c>
      <c r="Q146" t="s">
        <v>1336</v>
      </c>
      <c r="R146" t="s">
        <v>1337</v>
      </c>
      <c r="S146">
        <v>2023</v>
      </c>
      <c r="T146" s="2">
        <v>45029</v>
      </c>
      <c r="U146" t="s">
        <v>1338</v>
      </c>
      <c r="W146" t="s">
        <v>1339</v>
      </c>
      <c r="Y146">
        <f t="shared" si="6"/>
        <v>132</v>
      </c>
      <c r="Z146">
        <f t="shared" si="7"/>
        <v>1</v>
      </c>
      <c r="AA146">
        <f t="shared" si="8"/>
        <v>0</v>
      </c>
    </row>
    <row r="147" spans="1:27" x14ac:dyDescent="0.3">
      <c r="A147" t="s">
        <v>1350</v>
      </c>
      <c r="B147" t="s">
        <v>1351</v>
      </c>
      <c r="C147">
        <v>36835246</v>
      </c>
      <c r="D147" t="s">
        <v>1340</v>
      </c>
      <c r="E147" s="1">
        <v>0</v>
      </c>
      <c r="F147" t="s">
        <v>82</v>
      </c>
      <c r="G147">
        <v>264</v>
      </c>
      <c r="H147">
        <v>92</v>
      </c>
      <c r="I147">
        <v>4</v>
      </c>
      <c r="K147" t="s">
        <v>1341</v>
      </c>
      <c r="L147">
        <v>1</v>
      </c>
      <c r="M147" t="s">
        <v>553</v>
      </c>
      <c r="N147" t="s">
        <v>1342</v>
      </c>
      <c r="O147" t="s">
        <v>1343</v>
      </c>
      <c r="P147" t="s">
        <v>1344</v>
      </c>
      <c r="Q147" t="s">
        <v>1345</v>
      </c>
      <c r="R147" t="s">
        <v>168</v>
      </c>
      <c r="S147">
        <v>2023</v>
      </c>
      <c r="T147" s="2">
        <v>44982</v>
      </c>
      <c r="U147" t="s">
        <v>1346</v>
      </c>
      <c r="W147" t="s">
        <v>1347</v>
      </c>
      <c r="Y147">
        <f t="shared" si="6"/>
        <v>264</v>
      </c>
      <c r="Z147">
        <f t="shared" si="7"/>
        <v>2</v>
      </c>
      <c r="AA147">
        <f t="shared" si="8"/>
        <v>1</v>
      </c>
    </row>
    <row r="148" spans="1:27" x14ac:dyDescent="0.3">
      <c r="A148" t="s">
        <v>2654</v>
      </c>
      <c r="B148" t="s">
        <v>1351</v>
      </c>
      <c r="C148">
        <v>36087307</v>
      </c>
      <c r="D148" t="s">
        <v>1352</v>
      </c>
      <c r="E148">
        <v>0</v>
      </c>
      <c r="F148" t="s">
        <v>143</v>
      </c>
      <c r="G148">
        <v>135</v>
      </c>
      <c r="H148">
        <v>1</v>
      </c>
      <c r="J148">
        <v>1</v>
      </c>
      <c r="K148" t="s">
        <v>1521</v>
      </c>
      <c r="L148">
        <v>3</v>
      </c>
      <c r="M148" t="s">
        <v>1521</v>
      </c>
      <c r="N148" t="s">
        <v>1522</v>
      </c>
      <c r="O148" s="12" t="s">
        <v>1523</v>
      </c>
      <c r="P148" s="12" t="s">
        <v>1524</v>
      </c>
      <c r="Q148" s="12" t="s">
        <v>1525</v>
      </c>
      <c r="R148" s="12" t="s">
        <v>1526</v>
      </c>
      <c r="S148" s="12">
        <v>2022</v>
      </c>
      <c r="T148" s="13">
        <v>44814</v>
      </c>
      <c r="U148" s="12"/>
      <c r="V148" s="12"/>
      <c r="W148" s="12" t="s">
        <v>1527</v>
      </c>
      <c r="X148" t="e">
        <f>COUNTIF(#REF!,W148)</f>
        <v>#REF!</v>
      </c>
      <c r="Y148">
        <f t="shared" si="6"/>
        <v>405</v>
      </c>
      <c r="Z148">
        <f t="shared" si="7"/>
        <v>4</v>
      </c>
      <c r="AA148">
        <f t="shared" si="8"/>
        <v>0</v>
      </c>
    </row>
    <row r="149" spans="1:27" x14ac:dyDescent="0.3">
      <c r="A149" t="s">
        <v>2654</v>
      </c>
      <c r="B149" t="s">
        <v>1351</v>
      </c>
      <c r="C149" s="4">
        <v>34845818</v>
      </c>
      <c r="D149" s="4" t="s">
        <v>1353</v>
      </c>
      <c r="E149" s="4">
        <v>1</v>
      </c>
      <c r="F149" s="4" t="s">
        <v>1354</v>
      </c>
      <c r="G149" s="4">
        <v>80</v>
      </c>
      <c r="H149" s="4">
        <v>7</v>
      </c>
      <c r="J149" s="4"/>
      <c r="K149" s="4" t="s">
        <v>1529</v>
      </c>
      <c r="L149" s="4">
        <v>2</v>
      </c>
      <c r="M149" s="4" t="s">
        <v>1530</v>
      </c>
      <c r="N149" s="4" t="s">
        <v>1531</v>
      </c>
      <c r="O149" s="14" t="s">
        <v>1532</v>
      </c>
      <c r="P149" s="14" t="s">
        <v>1533</v>
      </c>
      <c r="Q149" s="14" t="s">
        <v>1534</v>
      </c>
      <c r="R149" s="14" t="s">
        <v>1535</v>
      </c>
      <c r="S149" s="14">
        <v>2022</v>
      </c>
      <c r="T149" s="15">
        <v>44530</v>
      </c>
      <c r="U149" s="14" t="s">
        <v>1536</v>
      </c>
      <c r="V149" s="14" t="s">
        <v>1537</v>
      </c>
      <c r="W149" s="14" t="s">
        <v>1538</v>
      </c>
      <c r="X149" s="4" t="e">
        <f>COUNTIF(#REF!,W149)</f>
        <v>#REF!</v>
      </c>
      <c r="Y149">
        <f t="shared" si="6"/>
        <v>160</v>
      </c>
      <c r="Z149">
        <f t="shared" si="7"/>
        <v>1</v>
      </c>
      <c r="AA149">
        <f t="shared" si="8"/>
        <v>1</v>
      </c>
    </row>
    <row r="150" spans="1:27" x14ac:dyDescent="0.3">
      <c r="A150" t="s">
        <v>2654</v>
      </c>
      <c r="B150" t="s">
        <v>1351</v>
      </c>
      <c r="C150" s="4">
        <v>35383826</v>
      </c>
      <c r="D150" s="4" t="s">
        <v>1355</v>
      </c>
      <c r="E150" s="4">
        <v>0</v>
      </c>
      <c r="F150" s="4" t="s">
        <v>143</v>
      </c>
      <c r="G150" s="4">
        <v>1986</v>
      </c>
      <c r="H150" s="4">
        <v>5</v>
      </c>
      <c r="J150" s="4">
        <v>5</v>
      </c>
      <c r="K150" s="4" t="s">
        <v>1540</v>
      </c>
      <c r="L150" s="4">
        <v>2</v>
      </c>
      <c r="M150" s="4" t="s">
        <v>1541</v>
      </c>
      <c r="N150" s="4" t="s">
        <v>1542</v>
      </c>
      <c r="O150" s="14" t="s">
        <v>1543</v>
      </c>
      <c r="P150" s="14" t="s">
        <v>1544</v>
      </c>
      <c r="Q150" s="14" t="s">
        <v>1545</v>
      </c>
      <c r="R150" s="14" t="s">
        <v>1526</v>
      </c>
      <c r="S150" s="14">
        <v>2023</v>
      </c>
      <c r="T150" s="15">
        <v>44657</v>
      </c>
      <c r="U150" s="14" t="s">
        <v>1546</v>
      </c>
      <c r="V150" s="14"/>
      <c r="W150" s="14" t="s">
        <v>1547</v>
      </c>
      <c r="X150" s="4" t="e">
        <f>COUNTIF(#REF!,W150)</f>
        <v>#REF!</v>
      </c>
      <c r="Y150">
        <f t="shared" si="6"/>
        <v>3972</v>
      </c>
      <c r="Z150">
        <f t="shared" si="7"/>
        <v>41</v>
      </c>
      <c r="AA150">
        <f t="shared" si="8"/>
        <v>0</v>
      </c>
    </row>
    <row r="151" spans="1:27" x14ac:dyDescent="0.3">
      <c r="A151" t="s">
        <v>2654</v>
      </c>
      <c r="B151" t="s">
        <v>1351</v>
      </c>
      <c r="C151">
        <v>36052466</v>
      </c>
      <c r="D151" t="s">
        <v>1356</v>
      </c>
      <c r="E151">
        <v>0</v>
      </c>
      <c r="F151" t="s">
        <v>112</v>
      </c>
      <c r="G151">
        <f>63*3</f>
        <v>189</v>
      </c>
      <c r="H151">
        <v>13</v>
      </c>
      <c r="J151">
        <v>1</v>
      </c>
      <c r="K151" t="s">
        <v>1549</v>
      </c>
      <c r="L151">
        <v>1</v>
      </c>
      <c r="M151" t="s">
        <v>1550</v>
      </c>
      <c r="O151" s="12" t="s">
        <v>1551</v>
      </c>
      <c r="P151" s="12" t="s">
        <v>1552</v>
      </c>
      <c r="Q151" s="12" t="s">
        <v>1553</v>
      </c>
      <c r="R151" s="12" t="s">
        <v>1554</v>
      </c>
      <c r="S151" s="12">
        <v>2023</v>
      </c>
      <c r="T151" s="13">
        <v>44806</v>
      </c>
      <c r="U151" s="12"/>
      <c r="V151" s="12"/>
      <c r="W151" s="12" t="s">
        <v>1555</v>
      </c>
      <c r="X151" t="e">
        <f>COUNTIF(#REF!,W151)</f>
        <v>#REF!</v>
      </c>
      <c r="Y151">
        <f t="shared" si="6"/>
        <v>189</v>
      </c>
      <c r="Z151">
        <f t="shared" si="7"/>
        <v>1</v>
      </c>
      <c r="AA151">
        <f t="shared" si="8"/>
        <v>1</v>
      </c>
    </row>
    <row r="152" spans="1:27" x14ac:dyDescent="0.3">
      <c r="A152" t="s">
        <v>2654</v>
      </c>
      <c r="B152" t="s">
        <v>1351</v>
      </c>
      <c r="C152">
        <v>36261295</v>
      </c>
      <c r="D152" t="s">
        <v>1357</v>
      </c>
      <c r="E152">
        <v>0</v>
      </c>
      <c r="F152" t="s">
        <v>143</v>
      </c>
      <c r="G152">
        <f>349+257</f>
        <v>606</v>
      </c>
      <c r="H152">
        <v>5</v>
      </c>
      <c r="J152">
        <v>1</v>
      </c>
      <c r="K152" t="s">
        <v>1557</v>
      </c>
      <c r="L152">
        <v>3</v>
      </c>
      <c r="M152" t="s">
        <v>1558</v>
      </c>
      <c r="N152" t="s">
        <v>1559</v>
      </c>
      <c r="O152" s="12" t="s">
        <v>1560</v>
      </c>
      <c r="P152" s="12" t="s">
        <v>1561</v>
      </c>
      <c r="Q152" s="12" t="s">
        <v>1562</v>
      </c>
      <c r="R152" s="12" t="s">
        <v>143</v>
      </c>
      <c r="S152" s="12">
        <v>2023</v>
      </c>
      <c r="T152" s="13">
        <v>44853</v>
      </c>
      <c r="U152" s="12" t="s">
        <v>1563</v>
      </c>
      <c r="V152" s="12"/>
      <c r="W152" s="12" t="s">
        <v>1564</v>
      </c>
      <c r="X152" t="e">
        <f>COUNTIF(#REF!,W152)</f>
        <v>#REF!</v>
      </c>
      <c r="Y152">
        <f t="shared" si="6"/>
        <v>1818</v>
      </c>
      <c r="Z152">
        <f t="shared" si="7"/>
        <v>18</v>
      </c>
      <c r="AA152">
        <f t="shared" si="8"/>
        <v>1</v>
      </c>
    </row>
    <row r="153" spans="1:27" x14ac:dyDescent="0.3">
      <c r="A153" t="s">
        <v>2654</v>
      </c>
      <c r="B153" t="s">
        <v>1351</v>
      </c>
      <c r="C153">
        <v>35478426</v>
      </c>
      <c r="D153" t="s">
        <v>1358</v>
      </c>
      <c r="E153">
        <v>0</v>
      </c>
      <c r="F153" t="s">
        <v>143</v>
      </c>
      <c r="G153">
        <f>143+172</f>
        <v>315</v>
      </c>
      <c r="H153">
        <v>4</v>
      </c>
      <c r="J153">
        <v>3</v>
      </c>
      <c r="K153" t="s">
        <v>1566</v>
      </c>
      <c r="L153">
        <v>1</v>
      </c>
      <c r="M153" t="s">
        <v>1530</v>
      </c>
      <c r="N153" t="s">
        <v>1567</v>
      </c>
      <c r="O153" s="12" t="s">
        <v>1568</v>
      </c>
      <c r="P153" s="12" t="s">
        <v>1569</v>
      </c>
      <c r="Q153" s="12" t="s">
        <v>1570</v>
      </c>
      <c r="R153" s="12" t="s">
        <v>1571</v>
      </c>
      <c r="S153" s="12">
        <v>2022</v>
      </c>
      <c r="T153" s="13">
        <v>44679</v>
      </c>
      <c r="U153" s="12" t="s">
        <v>1572</v>
      </c>
      <c r="V153" s="12" t="s">
        <v>1573</v>
      </c>
      <c r="W153" s="12" t="s">
        <v>1574</v>
      </c>
      <c r="X153" t="e">
        <f>COUNTIF(#REF!,W153)</f>
        <v>#REF!</v>
      </c>
      <c r="Y153">
        <f t="shared" si="6"/>
        <v>315</v>
      </c>
      <c r="Z153">
        <f t="shared" si="7"/>
        <v>3</v>
      </c>
      <c r="AA153">
        <f t="shared" si="8"/>
        <v>0</v>
      </c>
    </row>
    <row r="154" spans="1:27" x14ac:dyDescent="0.3">
      <c r="A154" t="s">
        <v>2654</v>
      </c>
      <c r="B154" t="s">
        <v>1351</v>
      </c>
      <c r="C154">
        <v>36325900</v>
      </c>
      <c r="D154" t="s">
        <v>1359</v>
      </c>
      <c r="E154">
        <v>0</v>
      </c>
      <c r="F154" t="s">
        <v>1360</v>
      </c>
      <c r="G154">
        <v>9503</v>
      </c>
      <c r="H154">
        <v>1</v>
      </c>
      <c r="J154">
        <v>1</v>
      </c>
      <c r="K154" t="s">
        <v>1576</v>
      </c>
      <c r="L154">
        <v>1</v>
      </c>
      <c r="M154" t="s">
        <v>1577</v>
      </c>
      <c r="O154" s="12" t="s">
        <v>1578</v>
      </c>
      <c r="P154" s="12" t="s">
        <v>1579</v>
      </c>
      <c r="Q154" s="12" t="s">
        <v>1580</v>
      </c>
      <c r="R154" s="12" t="s">
        <v>1581</v>
      </c>
      <c r="S154" s="12">
        <v>2022</v>
      </c>
      <c r="T154" s="13">
        <v>44868</v>
      </c>
      <c r="U154" s="12"/>
      <c r="V154" s="12"/>
      <c r="W154" s="12" t="s">
        <v>1582</v>
      </c>
      <c r="X154" t="e">
        <f>COUNTIF(#REF!,W154)</f>
        <v>#REF!</v>
      </c>
      <c r="Y154">
        <f t="shared" si="6"/>
        <v>9503</v>
      </c>
      <c r="Z154">
        <f t="shared" si="7"/>
        <v>98</v>
      </c>
      <c r="AA154">
        <f t="shared" si="8"/>
        <v>1</v>
      </c>
    </row>
    <row r="155" spans="1:27" x14ac:dyDescent="0.3">
      <c r="A155" t="s">
        <v>2654</v>
      </c>
      <c r="B155" t="s">
        <v>1351</v>
      </c>
      <c r="C155" s="4">
        <v>36789483</v>
      </c>
      <c r="D155" s="4" t="s">
        <v>1361</v>
      </c>
      <c r="E155" s="4">
        <v>0</v>
      </c>
      <c r="F155" s="4" t="s">
        <v>143</v>
      </c>
      <c r="G155" s="4">
        <v>1136</v>
      </c>
      <c r="H155" s="4">
        <v>5</v>
      </c>
      <c r="J155" s="4">
        <v>5</v>
      </c>
      <c r="K155" s="4" t="s">
        <v>1584</v>
      </c>
      <c r="L155" s="4">
        <v>2</v>
      </c>
      <c r="M155" s="4" t="s">
        <v>1585</v>
      </c>
      <c r="N155" s="4" t="s">
        <v>1586</v>
      </c>
      <c r="O155" s="14" t="s">
        <v>1587</v>
      </c>
      <c r="P155" s="14" t="s">
        <v>1588</v>
      </c>
      <c r="Q155" s="14" t="s">
        <v>1589</v>
      </c>
      <c r="R155" s="14" t="s">
        <v>1526</v>
      </c>
      <c r="S155" s="14">
        <v>2023</v>
      </c>
      <c r="T155" s="15">
        <v>44972</v>
      </c>
      <c r="U155" s="14"/>
      <c r="V155" s="14"/>
      <c r="W155" s="14" t="s">
        <v>1590</v>
      </c>
      <c r="X155" s="4" t="e">
        <f>COUNTIF(#REF!,W155)</f>
        <v>#REF!</v>
      </c>
      <c r="Y155">
        <f t="shared" si="6"/>
        <v>2272</v>
      </c>
      <c r="Z155">
        <f t="shared" si="7"/>
        <v>23</v>
      </c>
      <c r="AA155">
        <f t="shared" si="8"/>
        <v>1</v>
      </c>
    </row>
    <row r="156" spans="1:27" x14ac:dyDescent="0.3">
      <c r="A156" t="s">
        <v>2654</v>
      </c>
      <c r="B156" t="s">
        <v>1351</v>
      </c>
      <c r="C156">
        <v>36508198</v>
      </c>
      <c r="D156" t="s">
        <v>1362</v>
      </c>
      <c r="E156">
        <v>0</v>
      </c>
      <c r="F156" t="s">
        <v>143</v>
      </c>
      <c r="G156">
        <f>171+181</f>
        <v>352</v>
      </c>
      <c r="H156">
        <v>4</v>
      </c>
      <c r="K156" t="s">
        <v>1592</v>
      </c>
      <c r="L156">
        <v>1</v>
      </c>
      <c r="M156" t="s">
        <v>1593</v>
      </c>
      <c r="O156" s="12" t="s">
        <v>1594</v>
      </c>
      <c r="P156" s="12" t="s">
        <v>1595</v>
      </c>
      <c r="Q156" s="12" t="s">
        <v>1596</v>
      </c>
      <c r="R156" s="12" t="s">
        <v>1597</v>
      </c>
      <c r="S156" s="12">
        <v>2023</v>
      </c>
      <c r="T156" s="13">
        <v>44907</v>
      </c>
      <c r="U156" s="12" t="s">
        <v>1598</v>
      </c>
      <c r="V156" s="12"/>
      <c r="W156" s="12" t="s">
        <v>1599</v>
      </c>
      <c r="X156" t="e">
        <f>COUNTIF(#REF!,W156)</f>
        <v>#REF!</v>
      </c>
      <c r="Y156">
        <f t="shared" si="6"/>
        <v>352</v>
      </c>
      <c r="Z156">
        <f t="shared" si="7"/>
        <v>3</v>
      </c>
      <c r="AA156">
        <f t="shared" si="8"/>
        <v>1</v>
      </c>
    </row>
    <row r="157" spans="1:27" x14ac:dyDescent="0.3">
      <c r="A157" t="s">
        <v>2654</v>
      </c>
      <c r="B157" t="s">
        <v>1351</v>
      </c>
      <c r="C157">
        <v>36221099</v>
      </c>
      <c r="D157" t="s">
        <v>1363</v>
      </c>
      <c r="E157">
        <v>0</v>
      </c>
      <c r="F157" t="s">
        <v>143</v>
      </c>
      <c r="G157">
        <f>59+31+29+49+97+51+60</f>
        <v>376</v>
      </c>
      <c r="H157">
        <v>3</v>
      </c>
      <c r="K157" t="s">
        <v>1601</v>
      </c>
      <c r="L157">
        <v>3</v>
      </c>
      <c r="M157" t="s">
        <v>1602</v>
      </c>
      <c r="N157" t="s">
        <v>1603</v>
      </c>
      <c r="O157" s="12" t="s">
        <v>1604</v>
      </c>
      <c r="P157" s="12" t="s">
        <v>1605</v>
      </c>
      <c r="Q157" s="12" t="s">
        <v>1606</v>
      </c>
      <c r="R157" s="12" t="s">
        <v>454</v>
      </c>
      <c r="S157" s="12">
        <v>2022</v>
      </c>
      <c r="T157" s="13">
        <v>44845</v>
      </c>
      <c r="U157" s="12" t="s">
        <v>1607</v>
      </c>
      <c r="V157" s="12"/>
      <c r="W157" s="12" t="s">
        <v>1608</v>
      </c>
      <c r="X157" t="e">
        <f>COUNTIF(#REF!,W157)</f>
        <v>#REF!</v>
      </c>
      <c r="Y157">
        <f t="shared" si="6"/>
        <v>1128</v>
      </c>
      <c r="Z157">
        <f t="shared" si="7"/>
        <v>11</v>
      </c>
      <c r="AA157">
        <f t="shared" si="8"/>
        <v>1</v>
      </c>
    </row>
    <row r="158" spans="1:27" x14ac:dyDescent="0.3">
      <c r="A158" t="s">
        <v>2654</v>
      </c>
      <c r="B158" t="s">
        <v>1351</v>
      </c>
      <c r="C158">
        <v>35726083</v>
      </c>
      <c r="D158" t="s">
        <v>1364</v>
      </c>
      <c r="E158">
        <v>0</v>
      </c>
      <c r="F158" t="s">
        <v>153</v>
      </c>
      <c r="G158">
        <v>462</v>
      </c>
      <c r="H158">
        <v>2</v>
      </c>
      <c r="K158" t="s">
        <v>1610</v>
      </c>
      <c r="L158">
        <v>2</v>
      </c>
      <c r="M158" t="s">
        <v>1611</v>
      </c>
      <c r="N158" t="s">
        <v>1612</v>
      </c>
      <c r="O158" s="12" t="s">
        <v>1613</v>
      </c>
      <c r="P158" s="12" t="s">
        <v>1614</v>
      </c>
      <c r="Q158" s="12" t="s">
        <v>1615</v>
      </c>
      <c r="R158" s="12" t="s">
        <v>914</v>
      </c>
      <c r="S158" s="12">
        <v>2022</v>
      </c>
      <c r="T158" s="13">
        <v>44733</v>
      </c>
      <c r="U158" s="12" t="s">
        <v>1616</v>
      </c>
      <c r="V158" s="12"/>
      <c r="W158" s="12" t="s">
        <v>1617</v>
      </c>
      <c r="X158" t="e">
        <f>COUNTIF(#REF!,W158)</f>
        <v>#REF!</v>
      </c>
      <c r="Y158">
        <f t="shared" si="6"/>
        <v>924</v>
      </c>
      <c r="Z158">
        <f t="shared" si="7"/>
        <v>9</v>
      </c>
      <c r="AA158">
        <f t="shared" si="8"/>
        <v>1</v>
      </c>
    </row>
    <row r="159" spans="1:27" x14ac:dyDescent="0.3">
      <c r="A159" t="s">
        <v>2654</v>
      </c>
      <c r="B159" t="s">
        <v>1351</v>
      </c>
      <c r="C159">
        <v>35379698</v>
      </c>
      <c r="D159" t="s">
        <v>1365</v>
      </c>
      <c r="E159">
        <v>0</v>
      </c>
      <c r="F159" t="s">
        <v>143</v>
      </c>
      <c r="G159">
        <v>24</v>
      </c>
      <c r="H159">
        <v>5</v>
      </c>
      <c r="J159">
        <v>1</v>
      </c>
      <c r="K159" t="s">
        <v>1619</v>
      </c>
      <c r="L159">
        <v>5</v>
      </c>
      <c r="M159" t="s">
        <v>1620</v>
      </c>
      <c r="N159" t="s">
        <v>1621</v>
      </c>
      <c r="O159" s="12" t="s">
        <v>1622</v>
      </c>
      <c r="P159" s="12" t="s">
        <v>1623</v>
      </c>
      <c r="Q159" s="12" t="s">
        <v>1624</v>
      </c>
      <c r="R159" s="12" t="s">
        <v>1625</v>
      </c>
      <c r="S159" s="12">
        <v>2022</v>
      </c>
      <c r="T159" s="13">
        <v>44656</v>
      </c>
      <c r="U159" s="12" t="s">
        <v>1626</v>
      </c>
      <c r="V159" s="12"/>
      <c r="W159" s="12" t="s">
        <v>1627</v>
      </c>
      <c r="X159" t="e">
        <f>COUNTIF(#REF!,W159)</f>
        <v>#REF!</v>
      </c>
      <c r="Y159">
        <f t="shared" si="6"/>
        <v>120</v>
      </c>
      <c r="Z159">
        <f t="shared" si="7"/>
        <v>1</v>
      </c>
      <c r="AA159">
        <f t="shared" si="8"/>
        <v>0</v>
      </c>
    </row>
    <row r="160" spans="1:27" x14ac:dyDescent="0.3">
      <c r="A160" t="s">
        <v>2654</v>
      </c>
      <c r="B160" t="s">
        <v>1351</v>
      </c>
      <c r="C160" s="4">
        <v>36806155</v>
      </c>
      <c r="D160" s="4" t="s">
        <v>1366</v>
      </c>
      <c r="E160" s="4" t="s">
        <v>1367</v>
      </c>
      <c r="F160" s="4" t="s">
        <v>1368</v>
      </c>
      <c r="G160" s="4">
        <f>129+36+107+111+36+125</f>
        <v>544</v>
      </c>
      <c r="H160" s="4">
        <v>1</v>
      </c>
      <c r="J160" s="4"/>
      <c r="K160" s="4" t="s">
        <v>1629</v>
      </c>
      <c r="L160" s="4">
        <v>1</v>
      </c>
      <c r="M160" s="4" t="s">
        <v>1630</v>
      </c>
      <c r="N160" s="4" t="s">
        <v>1631</v>
      </c>
      <c r="O160" s="14" t="s">
        <v>1632</v>
      </c>
      <c r="P160" s="14" t="s">
        <v>1633</v>
      </c>
      <c r="Q160" s="14" t="s">
        <v>1634</v>
      </c>
      <c r="R160" s="14" t="s">
        <v>246</v>
      </c>
      <c r="S160" s="14">
        <v>2023</v>
      </c>
      <c r="T160" s="15">
        <v>44979</v>
      </c>
      <c r="U160" s="14" t="s">
        <v>1635</v>
      </c>
      <c r="V160" s="14"/>
      <c r="W160" s="14" t="s">
        <v>1636</v>
      </c>
      <c r="X160" s="4" t="e">
        <f>COUNTIF(#REF!,W160)</f>
        <v>#REF!</v>
      </c>
      <c r="Y160">
        <f t="shared" si="6"/>
        <v>544</v>
      </c>
      <c r="Z160">
        <f t="shared" si="7"/>
        <v>5</v>
      </c>
      <c r="AA160">
        <f t="shared" si="8"/>
        <v>1</v>
      </c>
    </row>
    <row r="161" spans="1:27" x14ac:dyDescent="0.3">
      <c r="A161" t="s">
        <v>2654</v>
      </c>
      <c r="B161" t="s">
        <v>1351</v>
      </c>
      <c r="C161">
        <v>36293227</v>
      </c>
      <c r="D161" t="s">
        <v>1369</v>
      </c>
      <c r="E161">
        <v>0</v>
      </c>
      <c r="F161" t="s">
        <v>44</v>
      </c>
      <c r="G161">
        <v>42</v>
      </c>
      <c r="H161">
        <v>1</v>
      </c>
      <c r="K161" t="s">
        <v>835</v>
      </c>
      <c r="L161">
        <v>1</v>
      </c>
      <c r="M161" t="s">
        <v>1638</v>
      </c>
      <c r="N161" t="s">
        <v>1639</v>
      </c>
      <c r="O161" s="12" t="s">
        <v>1640</v>
      </c>
      <c r="P161" s="12" t="s">
        <v>1641</v>
      </c>
      <c r="Q161" s="12" t="s">
        <v>1642</v>
      </c>
      <c r="R161" s="12" t="s">
        <v>168</v>
      </c>
      <c r="S161" s="12">
        <v>2022</v>
      </c>
      <c r="T161" s="13">
        <v>44861</v>
      </c>
      <c r="U161" s="12" t="s">
        <v>1643</v>
      </c>
      <c r="V161" s="12"/>
      <c r="W161" s="12" t="s">
        <v>1644</v>
      </c>
      <c r="X161" t="e">
        <f>COUNTIF(#REF!,W161)</f>
        <v>#REF!</v>
      </c>
      <c r="Y161">
        <f t="shared" si="6"/>
        <v>42</v>
      </c>
      <c r="Z161">
        <f t="shared" si="7"/>
        <v>0</v>
      </c>
      <c r="AA161">
        <f t="shared" si="8"/>
        <v>0</v>
      </c>
    </row>
    <row r="162" spans="1:27" x14ac:dyDescent="0.3">
      <c r="A162" t="s">
        <v>2654</v>
      </c>
      <c r="B162" t="s">
        <v>1351</v>
      </c>
      <c r="C162">
        <v>36899015</v>
      </c>
      <c r="D162" t="s">
        <v>1370</v>
      </c>
      <c r="E162">
        <v>0</v>
      </c>
      <c r="F162" t="s">
        <v>1371</v>
      </c>
      <c r="G162">
        <v>40</v>
      </c>
      <c r="H162">
        <v>1</v>
      </c>
      <c r="K162" t="s">
        <v>835</v>
      </c>
      <c r="L162">
        <v>1</v>
      </c>
      <c r="M162" t="s">
        <v>1646</v>
      </c>
      <c r="N162" t="s">
        <v>1647</v>
      </c>
      <c r="O162" s="12" t="s">
        <v>1648</v>
      </c>
      <c r="P162" s="12" t="s">
        <v>1649</v>
      </c>
      <c r="Q162" s="12" t="s">
        <v>1650</v>
      </c>
      <c r="R162" s="12" t="s">
        <v>246</v>
      </c>
      <c r="S162" s="12">
        <v>2023</v>
      </c>
      <c r="T162" s="13">
        <v>44995</v>
      </c>
      <c r="U162" s="12" t="s">
        <v>1651</v>
      </c>
      <c r="V162" s="12"/>
      <c r="W162" s="12" t="s">
        <v>1652</v>
      </c>
      <c r="X162" t="e">
        <f>COUNTIF(#REF!,W162)</f>
        <v>#REF!</v>
      </c>
      <c r="Y162">
        <f t="shared" si="6"/>
        <v>40</v>
      </c>
      <c r="Z162">
        <f t="shared" si="7"/>
        <v>0</v>
      </c>
      <c r="AA162">
        <f t="shared" si="8"/>
        <v>0</v>
      </c>
    </row>
    <row r="163" spans="1:27" x14ac:dyDescent="0.3">
      <c r="A163" t="s">
        <v>2654</v>
      </c>
      <c r="B163" t="s">
        <v>1351</v>
      </c>
      <c r="C163">
        <v>36130459</v>
      </c>
      <c r="D163" t="s">
        <v>1372</v>
      </c>
      <c r="E163">
        <v>0</v>
      </c>
      <c r="F163" t="s">
        <v>44</v>
      </c>
      <c r="G163">
        <v>32</v>
      </c>
      <c r="H163">
        <v>2</v>
      </c>
      <c r="K163" t="s">
        <v>1654</v>
      </c>
      <c r="L163">
        <v>2</v>
      </c>
      <c r="M163" t="s">
        <v>1655</v>
      </c>
      <c r="N163" t="s">
        <v>1656</v>
      </c>
      <c r="O163" s="12" t="s">
        <v>1657</v>
      </c>
      <c r="P163" s="12" t="s">
        <v>1658</v>
      </c>
      <c r="Q163" s="12" t="s">
        <v>1659</v>
      </c>
      <c r="R163" s="12" t="s">
        <v>1660</v>
      </c>
      <c r="S163" s="12">
        <v>2022</v>
      </c>
      <c r="T163" s="13">
        <v>44825</v>
      </c>
      <c r="U163" s="12"/>
      <c r="V163" s="12"/>
      <c r="W163" s="12" t="s">
        <v>1661</v>
      </c>
      <c r="X163" t="e">
        <f>COUNTIF(#REF!,W163)</f>
        <v>#REF!</v>
      </c>
      <c r="Y163">
        <f t="shared" si="6"/>
        <v>64</v>
      </c>
      <c r="Z163">
        <f t="shared" si="7"/>
        <v>0</v>
      </c>
      <c r="AA163">
        <f t="shared" si="8"/>
        <v>1</v>
      </c>
    </row>
    <row r="164" spans="1:27" x14ac:dyDescent="0.3">
      <c r="A164" t="s">
        <v>2654</v>
      </c>
      <c r="B164" t="s">
        <v>1351</v>
      </c>
      <c r="C164" s="4">
        <v>36129098</v>
      </c>
      <c r="D164" s="4" t="s">
        <v>1373</v>
      </c>
      <c r="E164" s="4">
        <v>0</v>
      </c>
      <c r="F164" s="4" t="s">
        <v>143</v>
      </c>
      <c r="G164" s="4">
        <v>374</v>
      </c>
      <c r="H164" s="4">
        <v>1</v>
      </c>
      <c r="J164" s="4"/>
      <c r="K164" s="4" t="s">
        <v>1521</v>
      </c>
      <c r="L164" s="4">
        <v>1</v>
      </c>
      <c r="M164" s="4" t="s">
        <v>1663</v>
      </c>
      <c r="N164" s="4" t="s">
        <v>1664</v>
      </c>
      <c r="O164" s="14" t="s">
        <v>1665</v>
      </c>
      <c r="P164" s="14" t="s">
        <v>1666</v>
      </c>
      <c r="Q164" s="14" t="s">
        <v>1667</v>
      </c>
      <c r="R164" s="14" t="s">
        <v>1535</v>
      </c>
      <c r="S164" s="14">
        <v>2023</v>
      </c>
      <c r="T164" s="15">
        <v>44825</v>
      </c>
      <c r="U164" s="14"/>
      <c r="V164" s="14"/>
      <c r="W164" s="14" t="s">
        <v>1668</v>
      </c>
      <c r="X164" s="4" t="e">
        <f>COUNTIF(#REF!,W164)</f>
        <v>#REF!</v>
      </c>
      <c r="Y164">
        <f t="shared" si="6"/>
        <v>374</v>
      </c>
      <c r="Z164">
        <f t="shared" si="7"/>
        <v>3</v>
      </c>
      <c r="AA164">
        <f t="shared" si="8"/>
        <v>1</v>
      </c>
    </row>
    <row r="165" spans="1:27" x14ac:dyDescent="0.3">
      <c r="A165" t="s">
        <v>2654</v>
      </c>
      <c r="B165" t="s">
        <v>1351</v>
      </c>
      <c r="C165">
        <v>34726754</v>
      </c>
      <c r="D165" t="s">
        <v>1374</v>
      </c>
      <c r="E165">
        <v>0</v>
      </c>
      <c r="F165" t="s">
        <v>112</v>
      </c>
      <c r="G165">
        <f>44*3</f>
        <v>132</v>
      </c>
      <c r="H165">
        <v>4</v>
      </c>
      <c r="K165" t="s">
        <v>1670</v>
      </c>
      <c r="L165">
        <v>1</v>
      </c>
      <c r="N165" t="s">
        <v>1671</v>
      </c>
      <c r="O165" s="12" t="s">
        <v>1672</v>
      </c>
      <c r="P165" s="12" t="s">
        <v>1673</v>
      </c>
      <c r="Q165" s="12" t="s">
        <v>1674</v>
      </c>
      <c r="R165" s="12" t="s">
        <v>1554</v>
      </c>
      <c r="S165" s="12">
        <v>2022</v>
      </c>
      <c r="T165" s="13">
        <v>44502</v>
      </c>
      <c r="U165" s="12" t="s">
        <v>1675</v>
      </c>
      <c r="V165" s="12"/>
      <c r="W165" s="12" t="s">
        <v>1676</v>
      </c>
      <c r="X165" t="e">
        <f>COUNTIF(#REF!,W165)</f>
        <v>#REF!</v>
      </c>
      <c r="Y165">
        <f t="shared" si="6"/>
        <v>132</v>
      </c>
      <c r="Z165">
        <f t="shared" si="7"/>
        <v>1</v>
      </c>
      <c r="AA165">
        <f t="shared" si="8"/>
        <v>0</v>
      </c>
    </row>
    <row r="166" spans="1:27" x14ac:dyDescent="0.3">
      <c r="A166" t="s">
        <v>2654</v>
      </c>
      <c r="B166" t="s">
        <v>1351</v>
      </c>
      <c r="C166">
        <v>35858611</v>
      </c>
      <c r="D166" t="s">
        <v>1375</v>
      </c>
      <c r="E166">
        <v>0</v>
      </c>
      <c r="F166" t="s">
        <v>143</v>
      </c>
      <c r="H166">
        <v>6</v>
      </c>
      <c r="K166" t="s">
        <v>1678</v>
      </c>
      <c r="L166" t="s">
        <v>1679</v>
      </c>
      <c r="O166" s="12" t="s">
        <v>1680</v>
      </c>
      <c r="P166" s="12" t="s">
        <v>1681</v>
      </c>
      <c r="Q166" s="12" t="s">
        <v>1682</v>
      </c>
      <c r="R166" s="12" t="s">
        <v>1683</v>
      </c>
      <c r="S166" s="12">
        <v>2022</v>
      </c>
      <c r="T166" s="13">
        <v>44762</v>
      </c>
      <c r="U166" s="12"/>
      <c r="V166" s="12"/>
      <c r="W166" s="12" t="s">
        <v>1684</v>
      </c>
      <c r="X166" t="e">
        <f>COUNTIF(#REF!,W166)</f>
        <v>#REF!</v>
      </c>
      <c r="Y166" t="str">
        <f t="shared" si="6"/>
        <v>N/A</v>
      </c>
      <c r="Z166" t="str">
        <f t="shared" si="7"/>
        <v/>
      </c>
      <c r="AA166" t="str">
        <f t="shared" si="8"/>
        <v/>
      </c>
    </row>
    <row r="167" spans="1:27" x14ac:dyDescent="0.3">
      <c r="A167" t="s">
        <v>2654</v>
      </c>
      <c r="B167" t="s">
        <v>1351</v>
      </c>
      <c r="C167">
        <v>35841015</v>
      </c>
      <c r="D167" t="s">
        <v>1376</v>
      </c>
      <c r="E167">
        <v>0</v>
      </c>
      <c r="F167" t="s">
        <v>143</v>
      </c>
      <c r="G167">
        <v>460</v>
      </c>
      <c r="H167">
        <v>1</v>
      </c>
      <c r="J167">
        <v>1</v>
      </c>
      <c r="K167" t="s">
        <v>1686</v>
      </c>
      <c r="L167">
        <v>1</v>
      </c>
      <c r="M167" t="s">
        <v>1687</v>
      </c>
      <c r="N167" t="s">
        <v>1688</v>
      </c>
      <c r="O167" s="12" t="s">
        <v>1689</v>
      </c>
      <c r="P167" s="12" t="s">
        <v>1690</v>
      </c>
      <c r="Q167" s="12" t="s">
        <v>1691</v>
      </c>
      <c r="R167" s="12" t="s">
        <v>454</v>
      </c>
      <c r="S167" s="12">
        <v>2022</v>
      </c>
      <c r="T167" s="13">
        <v>44757</v>
      </c>
      <c r="U167" s="12" t="s">
        <v>1692</v>
      </c>
      <c r="V167" s="12"/>
      <c r="W167" s="12" t="s">
        <v>1693</v>
      </c>
      <c r="X167" t="e">
        <f>COUNTIF(#REF!,W167)</f>
        <v>#REF!</v>
      </c>
      <c r="Y167">
        <f t="shared" si="6"/>
        <v>460</v>
      </c>
      <c r="Z167">
        <f t="shared" si="7"/>
        <v>4</v>
      </c>
      <c r="AA167">
        <f t="shared" si="8"/>
        <v>1</v>
      </c>
    </row>
    <row r="168" spans="1:27" x14ac:dyDescent="0.3">
      <c r="A168" t="s">
        <v>2654</v>
      </c>
      <c r="B168" t="s">
        <v>1351</v>
      </c>
      <c r="C168">
        <v>36754139</v>
      </c>
      <c r="D168" t="s">
        <v>1377</v>
      </c>
      <c r="E168">
        <v>0</v>
      </c>
      <c r="F168" t="s">
        <v>143</v>
      </c>
      <c r="G168">
        <v>140</v>
      </c>
      <c r="H168">
        <v>2</v>
      </c>
      <c r="J168">
        <v>2</v>
      </c>
      <c r="K168" t="s">
        <v>1695</v>
      </c>
      <c r="L168">
        <v>1</v>
      </c>
      <c r="M168" t="s">
        <v>1696</v>
      </c>
      <c r="O168" s="12" t="s">
        <v>1697</v>
      </c>
      <c r="P168" s="12" t="s">
        <v>1698</v>
      </c>
      <c r="Q168" s="12" t="s">
        <v>1699</v>
      </c>
      <c r="R168" s="12" t="s">
        <v>1700</v>
      </c>
      <c r="S168" s="12">
        <v>2023</v>
      </c>
      <c r="T168" s="13">
        <v>44965</v>
      </c>
      <c r="U168" s="12"/>
      <c r="V168" s="12"/>
      <c r="W168" s="12" t="s">
        <v>1701</v>
      </c>
      <c r="X168" t="e">
        <f>COUNTIF(#REF!,W168)</f>
        <v>#REF!</v>
      </c>
      <c r="Y168">
        <f t="shared" si="6"/>
        <v>140</v>
      </c>
      <c r="Z168">
        <f t="shared" si="7"/>
        <v>1</v>
      </c>
      <c r="AA168">
        <f t="shared" si="8"/>
        <v>0</v>
      </c>
    </row>
    <row r="169" spans="1:27" x14ac:dyDescent="0.3">
      <c r="A169" t="s">
        <v>2654</v>
      </c>
      <c r="B169" t="s">
        <v>1351</v>
      </c>
      <c r="C169" s="4">
        <v>36183195</v>
      </c>
      <c r="D169" s="4" t="s">
        <v>1378</v>
      </c>
      <c r="E169" s="4">
        <v>0</v>
      </c>
      <c r="F169" s="4" t="s">
        <v>143</v>
      </c>
      <c r="G169" s="4">
        <v>371</v>
      </c>
      <c r="H169" s="4">
        <v>1</v>
      </c>
      <c r="J169" s="4"/>
      <c r="K169" s="4" t="s">
        <v>835</v>
      </c>
      <c r="L169" s="4">
        <v>1</v>
      </c>
      <c r="M169" s="4" t="s">
        <v>1638</v>
      </c>
      <c r="N169" s="4" t="s">
        <v>1703</v>
      </c>
      <c r="O169" s="14" t="s">
        <v>1704</v>
      </c>
      <c r="P169" s="14" t="s">
        <v>1705</v>
      </c>
      <c r="Q169" s="14" t="s">
        <v>1706</v>
      </c>
      <c r="R169" s="14" t="s">
        <v>1707</v>
      </c>
      <c r="S169" s="14">
        <v>2022</v>
      </c>
      <c r="T169" s="15">
        <v>44836</v>
      </c>
      <c r="U169" s="14" t="s">
        <v>1708</v>
      </c>
      <c r="V169" s="14"/>
      <c r="W169" s="14" t="s">
        <v>1709</v>
      </c>
      <c r="X169" s="4" t="e">
        <f>COUNTIF(#REF!,W169)</f>
        <v>#REF!</v>
      </c>
      <c r="Y169">
        <f t="shared" si="6"/>
        <v>371</v>
      </c>
      <c r="Z169">
        <f t="shared" si="7"/>
        <v>3</v>
      </c>
      <c r="AA169">
        <f t="shared" si="8"/>
        <v>1</v>
      </c>
    </row>
    <row r="170" spans="1:27" x14ac:dyDescent="0.3">
      <c r="A170" t="s">
        <v>2654</v>
      </c>
      <c r="B170" t="s">
        <v>1351</v>
      </c>
      <c r="C170">
        <v>35311972</v>
      </c>
      <c r="D170" t="s">
        <v>1379</v>
      </c>
      <c r="E170">
        <v>0</v>
      </c>
      <c r="F170" t="s">
        <v>143</v>
      </c>
      <c r="H170">
        <v>6</v>
      </c>
      <c r="K170" t="s">
        <v>1711</v>
      </c>
      <c r="L170">
        <v>4</v>
      </c>
      <c r="M170" t="s">
        <v>1712</v>
      </c>
      <c r="N170" t="s">
        <v>1713</v>
      </c>
      <c r="O170" s="12" t="s">
        <v>1714</v>
      </c>
      <c r="P170" s="12" t="s">
        <v>1715</v>
      </c>
      <c r="Q170" s="12" t="s">
        <v>1716</v>
      </c>
      <c r="R170" s="12" t="s">
        <v>1526</v>
      </c>
      <c r="S170" s="12">
        <v>2022</v>
      </c>
      <c r="T170" s="13">
        <v>44641</v>
      </c>
      <c r="U170" s="12" t="s">
        <v>1717</v>
      </c>
      <c r="V170" s="12"/>
      <c r="W170" s="12" t="s">
        <v>1718</v>
      </c>
      <c r="X170" t="e">
        <f>COUNTIF(#REF!,W170)</f>
        <v>#REF!</v>
      </c>
      <c r="Y170">
        <f t="shared" si="6"/>
        <v>0</v>
      </c>
      <c r="Z170">
        <f t="shared" si="7"/>
        <v>0</v>
      </c>
      <c r="AA170">
        <f t="shared" si="8"/>
        <v>0</v>
      </c>
    </row>
    <row r="171" spans="1:27" x14ac:dyDescent="0.3">
      <c r="A171" t="s">
        <v>2654</v>
      </c>
      <c r="B171" t="s">
        <v>1351</v>
      </c>
      <c r="C171">
        <v>36788117</v>
      </c>
      <c r="D171" t="s">
        <v>1380</v>
      </c>
      <c r="E171">
        <v>0</v>
      </c>
      <c r="F171" t="s">
        <v>1381</v>
      </c>
      <c r="G171">
        <v>32</v>
      </c>
      <c r="H171">
        <v>1</v>
      </c>
      <c r="K171" t="s">
        <v>835</v>
      </c>
      <c r="L171">
        <v>1</v>
      </c>
      <c r="M171" t="s">
        <v>835</v>
      </c>
      <c r="N171" t="s">
        <v>1720</v>
      </c>
      <c r="O171" s="12" t="s">
        <v>1721</v>
      </c>
      <c r="P171" s="12" t="s">
        <v>1722</v>
      </c>
      <c r="Q171" s="12" t="s">
        <v>1723</v>
      </c>
      <c r="R171" s="12" t="s">
        <v>1724</v>
      </c>
      <c r="S171" s="12">
        <v>2023</v>
      </c>
      <c r="T171" s="13">
        <v>44971</v>
      </c>
      <c r="U171" s="12"/>
      <c r="V171" s="12"/>
      <c r="W171" s="12" t="s">
        <v>1725</v>
      </c>
      <c r="X171" t="e">
        <f>COUNTIF(#REF!,W171)</f>
        <v>#REF!</v>
      </c>
      <c r="Y171">
        <f t="shared" si="6"/>
        <v>32</v>
      </c>
      <c r="Z171">
        <f t="shared" si="7"/>
        <v>0</v>
      </c>
      <c r="AA171">
        <f t="shared" si="8"/>
        <v>0</v>
      </c>
    </row>
    <row r="172" spans="1:27" x14ac:dyDescent="0.3">
      <c r="A172" t="s">
        <v>2654</v>
      </c>
      <c r="B172" t="s">
        <v>1351</v>
      </c>
      <c r="C172">
        <v>36709595</v>
      </c>
      <c r="D172" t="s">
        <v>1382</v>
      </c>
      <c r="E172">
        <v>0</v>
      </c>
      <c r="F172" t="s">
        <v>153</v>
      </c>
      <c r="H172">
        <v>4</v>
      </c>
      <c r="J172">
        <v>3</v>
      </c>
      <c r="K172" t="s">
        <v>1566</v>
      </c>
      <c r="L172">
        <v>1</v>
      </c>
      <c r="M172" t="s">
        <v>1727</v>
      </c>
      <c r="N172" t="s">
        <v>1728</v>
      </c>
      <c r="O172" s="12" t="s">
        <v>1729</v>
      </c>
      <c r="P172" s="12" t="s">
        <v>1730</v>
      </c>
      <c r="Q172" s="12" t="s">
        <v>1731</v>
      </c>
      <c r="R172" s="12" t="s">
        <v>1128</v>
      </c>
      <c r="S172" s="12">
        <v>2023</v>
      </c>
      <c r="T172" s="13">
        <v>44955</v>
      </c>
      <c r="U172" s="12"/>
      <c r="V172" s="12"/>
      <c r="W172" s="12" t="s">
        <v>1732</v>
      </c>
      <c r="X172" t="e">
        <f>COUNTIF(#REF!,W172)</f>
        <v>#REF!</v>
      </c>
      <c r="Y172">
        <f t="shared" si="6"/>
        <v>0</v>
      </c>
      <c r="Z172">
        <f t="shared" si="7"/>
        <v>0</v>
      </c>
      <c r="AA172">
        <f t="shared" si="8"/>
        <v>0</v>
      </c>
    </row>
    <row r="173" spans="1:27" x14ac:dyDescent="0.3">
      <c r="A173" t="s">
        <v>2654</v>
      </c>
      <c r="B173" t="s">
        <v>1351</v>
      </c>
      <c r="C173">
        <v>36457825</v>
      </c>
      <c r="D173" t="s">
        <v>1383</v>
      </c>
      <c r="E173">
        <v>0</v>
      </c>
      <c r="F173" t="s">
        <v>143</v>
      </c>
      <c r="G173">
        <v>20</v>
      </c>
      <c r="H173">
        <v>1</v>
      </c>
      <c r="K173" t="s">
        <v>835</v>
      </c>
      <c r="L173">
        <v>1</v>
      </c>
      <c r="M173" t="s">
        <v>1734</v>
      </c>
      <c r="N173" t="s">
        <v>1735</v>
      </c>
      <c r="O173" s="12" t="s">
        <v>1736</v>
      </c>
      <c r="P173" s="12" t="s">
        <v>1737</v>
      </c>
      <c r="Q173" s="12" t="s">
        <v>1738</v>
      </c>
      <c r="R173" s="12" t="s">
        <v>1739</v>
      </c>
      <c r="S173" s="12">
        <v>2022</v>
      </c>
      <c r="T173" s="13">
        <v>44897</v>
      </c>
      <c r="U173" s="12" t="s">
        <v>1740</v>
      </c>
      <c r="V173" s="12"/>
      <c r="W173" s="12" t="s">
        <v>1741</v>
      </c>
      <c r="X173" t="e">
        <f>COUNTIF(#REF!,W173)</f>
        <v>#REF!</v>
      </c>
      <c r="Y173">
        <f t="shared" si="6"/>
        <v>20</v>
      </c>
      <c r="Z173">
        <f t="shared" si="7"/>
        <v>0</v>
      </c>
      <c r="AA173">
        <f t="shared" si="8"/>
        <v>0</v>
      </c>
    </row>
    <row r="174" spans="1:27" x14ac:dyDescent="0.3">
      <c r="A174" t="s">
        <v>2654</v>
      </c>
      <c r="B174" t="s">
        <v>1351</v>
      </c>
      <c r="C174">
        <v>36518085</v>
      </c>
      <c r="D174" t="s">
        <v>1384</v>
      </c>
      <c r="E174">
        <v>0</v>
      </c>
      <c r="F174" t="s">
        <v>143</v>
      </c>
      <c r="G174">
        <f>31+241+91+64+28+22+11+45+23</f>
        <v>556</v>
      </c>
      <c r="H174">
        <v>1</v>
      </c>
      <c r="J174">
        <v>1</v>
      </c>
      <c r="K174" t="s">
        <v>1521</v>
      </c>
      <c r="L174">
        <v>1</v>
      </c>
      <c r="M174" t="s">
        <v>1743</v>
      </c>
      <c r="N174" t="s">
        <v>1744</v>
      </c>
      <c r="O174" s="12" t="s">
        <v>1745</v>
      </c>
      <c r="P174" s="12" t="s">
        <v>1746</v>
      </c>
      <c r="Q174" s="12" t="s">
        <v>1747</v>
      </c>
      <c r="R174" s="12" t="s">
        <v>1707</v>
      </c>
      <c r="S174" s="12">
        <v>2023</v>
      </c>
      <c r="T174" s="13">
        <v>44910</v>
      </c>
      <c r="U174" s="12" t="s">
        <v>1748</v>
      </c>
      <c r="V174" s="12"/>
      <c r="W174" s="12" t="s">
        <v>1749</v>
      </c>
      <c r="X174" t="e">
        <f>COUNTIF(#REF!,W174)</f>
        <v>#REF!</v>
      </c>
      <c r="Y174">
        <f t="shared" si="6"/>
        <v>556</v>
      </c>
      <c r="Z174">
        <f t="shared" si="7"/>
        <v>5</v>
      </c>
      <c r="AA174">
        <f t="shared" si="8"/>
        <v>1</v>
      </c>
    </row>
    <row r="175" spans="1:27" x14ac:dyDescent="0.3">
      <c r="A175" t="s">
        <v>2654</v>
      </c>
      <c r="B175" t="s">
        <v>1351</v>
      </c>
      <c r="C175">
        <v>35916053</v>
      </c>
      <c r="D175" t="s">
        <v>1385</v>
      </c>
      <c r="E175">
        <v>0</v>
      </c>
      <c r="F175" t="s">
        <v>1386</v>
      </c>
      <c r="G175">
        <f>37*2</f>
        <v>74</v>
      </c>
      <c r="H175">
        <v>1</v>
      </c>
      <c r="K175" t="s">
        <v>835</v>
      </c>
      <c r="L175">
        <v>1</v>
      </c>
      <c r="M175" t="s">
        <v>835</v>
      </c>
      <c r="N175" t="s">
        <v>1751</v>
      </c>
      <c r="O175" s="12" t="s">
        <v>1752</v>
      </c>
      <c r="P175" s="12" t="s">
        <v>1753</v>
      </c>
      <c r="Q175" s="12" t="s">
        <v>1754</v>
      </c>
      <c r="R175" s="12" t="s">
        <v>1755</v>
      </c>
      <c r="S175" s="12">
        <v>2022</v>
      </c>
      <c r="T175" s="13">
        <v>44775</v>
      </c>
      <c r="U175" s="12"/>
      <c r="V175" s="12"/>
      <c r="W175" s="12" t="s">
        <v>1756</v>
      </c>
      <c r="X175" t="e">
        <f>COUNTIF(#REF!,W175)</f>
        <v>#REF!</v>
      </c>
      <c r="Y175">
        <f t="shared" si="6"/>
        <v>74</v>
      </c>
      <c r="Z175">
        <f t="shared" si="7"/>
        <v>0</v>
      </c>
      <c r="AA175">
        <f t="shared" si="8"/>
        <v>1</v>
      </c>
    </row>
    <row r="176" spans="1:27" x14ac:dyDescent="0.3">
      <c r="A176" t="s">
        <v>2654</v>
      </c>
      <c r="B176" t="s">
        <v>1351</v>
      </c>
      <c r="C176">
        <v>36057174</v>
      </c>
      <c r="D176" t="s">
        <v>1387</v>
      </c>
      <c r="E176">
        <v>0</v>
      </c>
      <c r="F176" t="s">
        <v>1381</v>
      </c>
      <c r="G176">
        <v>254</v>
      </c>
      <c r="H176">
        <v>1</v>
      </c>
      <c r="J176">
        <v>1</v>
      </c>
      <c r="K176" t="s">
        <v>835</v>
      </c>
      <c r="L176">
        <v>1</v>
      </c>
      <c r="M176" t="s">
        <v>835</v>
      </c>
      <c r="N176" t="s">
        <v>1758</v>
      </c>
      <c r="O176" s="12" t="s">
        <v>1759</v>
      </c>
      <c r="P176" s="12" t="s">
        <v>1760</v>
      </c>
      <c r="Q176" s="12" t="s">
        <v>1761</v>
      </c>
      <c r="R176" s="12" t="s">
        <v>1660</v>
      </c>
      <c r="S176" s="12">
        <v>2022</v>
      </c>
      <c r="T176" s="13">
        <v>44807</v>
      </c>
      <c r="U176" s="12"/>
      <c r="V176" s="12"/>
      <c r="W176" s="12" t="s">
        <v>1762</v>
      </c>
      <c r="X176" t="e">
        <f>COUNTIF(#REF!,W176)</f>
        <v>#REF!</v>
      </c>
      <c r="Y176">
        <f t="shared" si="6"/>
        <v>254</v>
      </c>
      <c r="Z176">
        <f t="shared" si="7"/>
        <v>2</v>
      </c>
      <c r="AA176">
        <f t="shared" si="8"/>
        <v>1</v>
      </c>
    </row>
    <row r="177" spans="1:27" x14ac:dyDescent="0.3">
      <c r="A177" t="s">
        <v>2654</v>
      </c>
      <c r="B177" t="s">
        <v>1351</v>
      </c>
      <c r="C177">
        <v>36776136</v>
      </c>
      <c r="D177" t="s">
        <v>1388</v>
      </c>
      <c r="E177">
        <v>0</v>
      </c>
      <c r="F177" t="s">
        <v>143</v>
      </c>
      <c r="G177">
        <f>(109+37)</f>
        <v>146</v>
      </c>
      <c r="H177">
        <v>2</v>
      </c>
      <c r="K177" t="s">
        <v>1695</v>
      </c>
      <c r="N177" t="s">
        <v>1764</v>
      </c>
      <c r="O177" s="12" t="s">
        <v>1765</v>
      </c>
      <c r="P177" s="12" t="s">
        <v>1766</v>
      </c>
      <c r="Q177" s="12" t="s">
        <v>1767</v>
      </c>
      <c r="R177" s="12" t="s">
        <v>1768</v>
      </c>
      <c r="S177" s="12">
        <v>2023</v>
      </c>
      <c r="T177" s="13">
        <v>44970</v>
      </c>
      <c r="U177" s="12"/>
      <c r="V177" s="12"/>
      <c r="W177" s="12" t="s">
        <v>1769</v>
      </c>
      <c r="X177" t="e">
        <f>COUNTIF(#REF!,W177)</f>
        <v>#REF!</v>
      </c>
      <c r="Y177">
        <f t="shared" si="6"/>
        <v>0</v>
      </c>
      <c r="Z177">
        <f t="shared" si="7"/>
        <v>0</v>
      </c>
      <c r="AA177">
        <f t="shared" si="8"/>
        <v>0</v>
      </c>
    </row>
    <row r="178" spans="1:27" x14ac:dyDescent="0.3">
      <c r="A178" t="s">
        <v>2654</v>
      </c>
      <c r="B178" t="s">
        <v>1351</v>
      </c>
      <c r="C178">
        <v>36067832</v>
      </c>
      <c r="D178" t="s">
        <v>1389</v>
      </c>
      <c r="E178">
        <v>0</v>
      </c>
      <c r="F178" t="s">
        <v>44</v>
      </c>
      <c r="G178">
        <f>371*4</f>
        <v>1484</v>
      </c>
      <c r="H178">
        <v>1</v>
      </c>
      <c r="J178">
        <v>1</v>
      </c>
      <c r="K178" t="s">
        <v>1771</v>
      </c>
      <c r="L178">
        <v>1</v>
      </c>
      <c r="M178" t="s">
        <v>1772</v>
      </c>
      <c r="O178" s="12" t="s">
        <v>1773</v>
      </c>
      <c r="P178" s="12" t="s">
        <v>1774</v>
      </c>
      <c r="Q178" s="12" t="s">
        <v>1775</v>
      </c>
      <c r="R178" s="12" t="s">
        <v>187</v>
      </c>
      <c r="S178" s="12">
        <v>2022</v>
      </c>
      <c r="T178" s="13">
        <v>44810</v>
      </c>
      <c r="U178" s="12"/>
      <c r="V178" s="12"/>
      <c r="W178" s="12" t="s">
        <v>1776</v>
      </c>
      <c r="X178" t="e">
        <f>COUNTIF(#REF!,W178)</f>
        <v>#REF!</v>
      </c>
      <c r="Y178">
        <f t="shared" si="6"/>
        <v>1484</v>
      </c>
      <c r="Z178">
        <f t="shared" si="7"/>
        <v>15</v>
      </c>
      <c r="AA178">
        <f t="shared" si="8"/>
        <v>0</v>
      </c>
    </row>
    <row r="179" spans="1:27" x14ac:dyDescent="0.3">
      <c r="A179" t="s">
        <v>2654</v>
      </c>
      <c r="B179" t="s">
        <v>1351</v>
      </c>
      <c r="C179">
        <v>36997567</v>
      </c>
      <c r="D179" t="s">
        <v>1390</v>
      </c>
      <c r="E179">
        <v>0</v>
      </c>
      <c r="F179" t="s">
        <v>143</v>
      </c>
      <c r="G179">
        <f>24+(59*2)</f>
        <v>142</v>
      </c>
      <c r="H179">
        <v>4</v>
      </c>
      <c r="J179">
        <v>4</v>
      </c>
      <c r="K179" t="s">
        <v>1566</v>
      </c>
      <c r="L179">
        <v>1</v>
      </c>
      <c r="M179" t="s">
        <v>1778</v>
      </c>
      <c r="N179" t="s">
        <v>1779</v>
      </c>
      <c r="O179" s="12" t="s">
        <v>1780</v>
      </c>
      <c r="P179" s="12" t="s">
        <v>1781</v>
      </c>
      <c r="Q179" s="12" t="s">
        <v>1782</v>
      </c>
      <c r="R179" s="12" t="s">
        <v>246</v>
      </c>
      <c r="S179" s="12">
        <v>2023</v>
      </c>
      <c r="T179" s="13">
        <v>45015</v>
      </c>
      <c r="U179" s="12" t="s">
        <v>1783</v>
      </c>
      <c r="V179" s="12"/>
      <c r="W179" s="12" t="s">
        <v>1784</v>
      </c>
      <c r="X179" t="e">
        <f>COUNTIF(#REF!,W179)</f>
        <v>#REF!</v>
      </c>
      <c r="Y179">
        <f t="shared" si="6"/>
        <v>142</v>
      </c>
      <c r="Z179">
        <f t="shared" si="7"/>
        <v>1</v>
      </c>
      <c r="AA179">
        <f t="shared" si="8"/>
        <v>0</v>
      </c>
    </row>
    <row r="180" spans="1:27" x14ac:dyDescent="0.3">
      <c r="A180" t="s">
        <v>2654</v>
      </c>
      <c r="B180" t="s">
        <v>1351</v>
      </c>
      <c r="C180">
        <v>34158138</v>
      </c>
      <c r="D180" t="s">
        <v>1391</v>
      </c>
      <c r="E180">
        <v>0</v>
      </c>
      <c r="F180" t="s">
        <v>143</v>
      </c>
      <c r="G180">
        <v>241</v>
      </c>
      <c r="H180">
        <v>2</v>
      </c>
      <c r="J180">
        <v>1</v>
      </c>
      <c r="K180" t="s">
        <v>1786</v>
      </c>
      <c r="L180">
        <v>1</v>
      </c>
      <c r="M180" t="s">
        <v>1787</v>
      </c>
      <c r="N180" t="s">
        <v>1788</v>
      </c>
      <c r="O180" s="12" t="s">
        <v>1789</v>
      </c>
      <c r="P180" s="12" t="s">
        <v>1790</v>
      </c>
      <c r="Q180" s="12" t="s">
        <v>1791</v>
      </c>
      <c r="R180" s="12" t="s">
        <v>1792</v>
      </c>
      <c r="S180" s="12">
        <v>2022</v>
      </c>
      <c r="T180" s="13">
        <v>44370</v>
      </c>
      <c r="U180" s="12" t="s">
        <v>1793</v>
      </c>
      <c r="V180" s="12" t="s">
        <v>1794</v>
      </c>
      <c r="W180" s="12" t="s">
        <v>1795</v>
      </c>
      <c r="X180" t="e">
        <f>COUNTIF(#REF!,W180)</f>
        <v>#REF!</v>
      </c>
      <c r="Y180">
        <f t="shared" si="6"/>
        <v>241</v>
      </c>
      <c r="Z180">
        <f t="shared" si="7"/>
        <v>2</v>
      </c>
      <c r="AA180">
        <f t="shared" si="8"/>
        <v>1</v>
      </c>
    </row>
    <row r="181" spans="1:27" x14ac:dyDescent="0.3">
      <c r="A181" t="s">
        <v>2654</v>
      </c>
      <c r="B181" t="s">
        <v>1351</v>
      </c>
      <c r="C181">
        <v>36016276</v>
      </c>
      <c r="D181" t="s">
        <v>1392</v>
      </c>
      <c r="E181" t="s">
        <v>1367</v>
      </c>
      <c r="O181" s="12" t="s">
        <v>1797</v>
      </c>
      <c r="P181" s="12" t="s">
        <v>1798</v>
      </c>
      <c r="Q181" s="12" t="s">
        <v>1799</v>
      </c>
      <c r="R181" s="12" t="s">
        <v>1800</v>
      </c>
      <c r="S181" s="12">
        <v>2022</v>
      </c>
      <c r="T181" s="13">
        <v>44799</v>
      </c>
      <c r="U181" s="12" t="s">
        <v>1801</v>
      </c>
      <c r="V181" s="12"/>
      <c r="W181" s="12" t="s">
        <v>1802</v>
      </c>
      <c r="X181" t="e">
        <f>COUNTIF(#REF!,W181)</f>
        <v>#REF!</v>
      </c>
      <c r="Y181">
        <f t="shared" si="6"/>
        <v>0</v>
      </c>
      <c r="Z181">
        <f t="shared" si="7"/>
        <v>0</v>
      </c>
      <c r="AA181">
        <f t="shared" si="8"/>
        <v>0</v>
      </c>
    </row>
    <row r="182" spans="1:27" x14ac:dyDescent="0.3">
      <c r="A182" t="s">
        <v>2654</v>
      </c>
      <c r="B182" t="s">
        <v>1351</v>
      </c>
      <c r="C182">
        <v>36008993</v>
      </c>
      <c r="D182" t="s">
        <v>1393</v>
      </c>
      <c r="E182">
        <v>0</v>
      </c>
      <c r="F182" t="s">
        <v>143</v>
      </c>
      <c r="G182">
        <f>36*2</f>
        <v>72</v>
      </c>
      <c r="H182">
        <v>1</v>
      </c>
      <c r="J182">
        <v>1</v>
      </c>
      <c r="K182" t="s">
        <v>1804</v>
      </c>
      <c r="L182">
        <v>1</v>
      </c>
      <c r="M182" t="s">
        <v>1805</v>
      </c>
      <c r="N182" t="s">
        <v>1806</v>
      </c>
      <c r="O182" s="12" t="s">
        <v>1807</v>
      </c>
      <c r="P182" s="12" t="s">
        <v>1808</v>
      </c>
      <c r="Q182" s="12" t="s">
        <v>1809</v>
      </c>
      <c r="R182" s="12" t="s">
        <v>1810</v>
      </c>
      <c r="S182" s="12">
        <v>2022</v>
      </c>
      <c r="T182" s="13">
        <v>44799</v>
      </c>
      <c r="U182" s="12" t="s">
        <v>1811</v>
      </c>
      <c r="V182" s="12"/>
      <c r="W182" s="12" t="s">
        <v>1812</v>
      </c>
      <c r="X182" t="e">
        <f>COUNTIF(#REF!,W182)</f>
        <v>#REF!</v>
      </c>
      <c r="Y182">
        <f t="shared" si="6"/>
        <v>72</v>
      </c>
      <c r="Z182">
        <f t="shared" si="7"/>
        <v>0</v>
      </c>
      <c r="AA182">
        <f t="shared" si="8"/>
        <v>1</v>
      </c>
    </row>
    <row r="183" spans="1:27" x14ac:dyDescent="0.3">
      <c r="A183" t="s">
        <v>2654</v>
      </c>
      <c r="B183" t="s">
        <v>1351</v>
      </c>
      <c r="C183">
        <v>35781535</v>
      </c>
      <c r="D183" t="s">
        <v>1394</v>
      </c>
      <c r="E183">
        <v>0</v>
      </c>
      <c r="F183" t="s">
        <v>112</v>
      </c>
      <c r="G183">
        <f>87*2+(34*2)</f>
        <v>242</v>
      </c>
      <c r="H183">
        <v>1</v>
      </c>
      <c r="J183">
        <v>0</v>
      </c>
      <c r="K183" t="s">
        <v>835</v>
      </c>
      <c r="L183">
        <v>1</v>
      </c>
      <c r="M183" t="s">
        <v>1814</v>
      </c>
      <c r="N183" t="s">
        <v>1815</v>
      </c>
      <c r="O183" s="12" t="s">
        <v>1816</v>
      </c>
      <c r="P183" s="12" t="s">
        <v>1817</v>
      </c>
      <c r="Q183" s="12" t="s">
        <v>1818</v>
      </c>
      <c r="R183" s="12" t="s">
        <v>1819</v>
      </c>
      <c r="S183" s="12">
        <v>2022</v>
      </c>
      <c r="T183" s="13">
        <v>44747</v>
      </c>
      <c r="U183" s="12" t="s">
        <v>1820</v>
      </c>
      <c r="V183" s="12"/>
      <c r="W183" s="12" t="s">
        <v>1821</v>
      </c>
      <c r="X183" t="e">
        <f>COUNTIF(#REF!,W183)</f>
        <v>#REF!</v>
      </c>
      <c r="Y183">
        <f t="shared" si="6"/>
        <v>242</v>
      </c>
      <c r="Z183">
        <f t="shared" si="7"/>
        <v>2</v>
      </c>
      <c r="AA183">
        <f t="shared" si="8"/>
        <v>1</v>
      </c>
    </row>
    <row r="184" spans="1:27" x14ac:dyDescent="0.3">
      <c r="A184" t="s">
        <v>2654</v>
      </c>
      <c r="B184" t="s">
        <v>1351</v>
      </c>
      <c r="C184">
        <v>37065463</v>
      </c>
      <c r="D184" t="s">
        <v>1395</v>
      </c>
      <c r="E184">
        <v>0</v>
      </c>
      <c r="F184" t="s">
        <v>143</v>
      </c>
      <c r="G184">
        <f>144*2</f>
        <v>288</v>
      </c>
      <c r="H184">
        <v>5</v>
      </c>
      <c r="J184">
        <v>0</v>
      </c>
      <c r="K184" t="s">
        <v>1823</v>
      </c>
      <c r="L184">
        <v>2</v>
      </c>
      <c r="M184" t="s">
        <v>1824</v>
      </c>
      <c r="N184" t="s">
        <v>1825</v>
      </c>
      <c r="O184" s="12" t="s">
        <v>1826</v>
      </c>
      <c r="P184" s="12" t="s">
        <v>1827</v>
      </c>
      <c r="Q184" s="12" t="s">
        <v>1828</v>
      </c>
      <c r="R184" s="12" t="s">
        <v>1829</v>
      </c>
      <c r="S184" s="12">
        <v>2023</v>
      </c>
      <c r="T184" s="13">
        <v>45033</v>
      </c>
      <c r="U184" s="12" t="s">
        <v>1830</v>
      </c>
      <c r="V184" s="12"/>
      <c r="W184" s="12" t="s">
        <v>1831</v>
      </c>
      <c r="X184" t="e">
        <f>COUNTIF(#REF!,W184)</f>
        <v>#REF!</v>
      </c>
      <c r="Y184">
        <f t="shared" si="6"/>
        <v>576</v>
      </c>
      <c r="Z184">
        <f t="shared" si="7"/>
        <v>6</v>
      </c>
      <c r="AA184">
        <f t="shared" si="8"/>
        <v>0</v>
      </c>
    </row>
    <row r="185" spans="1:27" x14ac:dyDescent="0.3">
      <c r="A185" t="s">
        <v>2654</v>
      </c>
      <c r="B185" t="s">
        <v>1351</v>
      </c>
      <c r="C185">
        <v>36056631</v>
      </c>
      <c r="D185" t="s">
        <v>1396</v>
      </c>
      <c r="E185">
        <v>0</v>
      </c>
      <c r="F185" t="s">
        <v>143</v>
      </c>
      <c r="G185">
        <v>4338</v>
      </c>
      <c r="H185">
        <v>1</v>
      </c>
      <c r="J185">
        <v>1</v>
      </c>
      <c r="K185" t="s">
        <v>1771</v>
      </c>
      <c r="L185">
        <v>1</v>
      </c>
      <c r="M185" t="s">
        <v>1833</v>
      </c>
      <c r="N185" t="s">
        <v>1834</v>
      </c>
      <c r="O185" s="12" t="s">
        <v>1835</v>
      </c>
      <c r="P185" s="12" t="s">
        <v>1836</v>
      </c>
      <c r="Q185" s="12" t="s">
        <v>1837</v>
      </c>
      <c r="R185" s="12" t="s">
        <v>1707</v>
      </c>
      <c r="S185" s="12">
        <v>2022</v>
      </c>
      <c r="T185" s="13">
        <v>44807</v>
      </c>
      <c r="U185" s="12" t="s">
        <v>1838</v>
      </c>
      <c r="V185" s="12"/>
      <c r="W185" s="12" t="s">
        <v>1839</v>
      </c>
      <c r="X185" t="e">
        <f>COUNTIF(#REF!,W185)</f>
        <v>#REF!</v>
      </c>
      <c r="Y185">
        <f t="shared" si="6"/>
        <v>4338</v>
      </c>
      <c r="Z185">
        <f t="shared" si="7"/>
        <v>45</v>
      </c>
      <c r="AA185">
        <f t="shared" si="8"/>
        <v>0</v>
      </c>
    </row>
    <row r="186" spans="1:27" x14ac:dyDescent="0.3">
      <c r="A186" t="s">
        <v>2654</v>
      </c>
      <c r="B186" t="s">
        <v>1351</v>
      </c>
      <c r="C186">
        <v>35962632</v>
      </c>
      <c r="D186" t="s">
        <v>1397</v>
      </c>
      <c r="E186">
        <v>0</v>
      </c>
      <c r="F186" t="s">
        <v>581</v>
      </c>
      <c r="G186">
        <f>(33*4)+66</f>
        <v>198</v>
      </c>
      <c r="H186">
        <v>1</v>
      </c>
      <c r="K186" t="s">
        <v>1771</v>
      </c>
      <c r="L186">
        <v>1</v>
      </c>
      <c r="N186" t="s">
        <v>1841</v>
      </c>
      <c r="O186" s="12" t="s">
        <v>1842</v>
      </c>
      <c r="P186" s="12" t="s">
        <v>1843</v>
      </c>
      <c r="Q186" s="12" t="s">
        <v>1844</v>
      </c>
      <c r="R186" s="12" t="s">
        <v>187</v>
      </c>
      <c r="S186" s="12">
        <v>2022</v>
      </c>
      <c r="T186" s="13">
        <v>44786</v>
      </c>
      <c r="U186" s="12"/>
      <c r="V186" s="12"/>
      <c r="W186" s="12" t="s">
        <v>1845</v>
      </c>
      <c r="X186" t="e">
        <f>COUNTIF(#REF!,W186)</f>
        <v>#REF!</v>
      </c>
      <c r="Y186">
        <f t="shared" si="6"/>
        <v>198</v>
      </c>
      <c r="Z186">
        <f t="shared" si="7"/>
        <v>2</v>
      </c>
      <c r="AA186">
        <f t="shared" si="8"/>
        <v>0</v>
      </c>
    </row>
    <row r="187" spans="1:27" x14ac:dyDescent="0.3">
      <c r="A187" t="s">
        <v>2654</v>
      </c>
      <c r="B187" t="s">
        <v>1351</v>
      </c>
      <c r="C187" s="4">
        <v>36139033</v>
      </c>
      <c r="D187" s="4" t="s">
        <v>1398</v>
      </c>
      <c r="E187" s="4">
        <v>0</v>
      </c>
      <c r="F187" s="4" t="s">
        <v>581</v>
      </c>
      <c r="G187" s="4">
        <f>34*2*3</f>
        <v>204</v>
      </c>
      <c r="H187" s="4">
        <v>4</v>
      </c>
      <c r="J187" s="4"/>
      <c r="K187" s="4" t="s">
        <v>1847</v>
      </c>
      <c r="L187" s="4">
        <v>2</v>
      </c>
      <c r="M187" s="4" t="s">
        <v>1848</v>
      </c>
      <c r="N187" s="4" t="s">
        <v>1849</v>
      </c>
      <c r="O187" s="14" t="s">
        <v>1850</v>
      </c>
      <c r="P187" s="14" t="s">
        <v>1851</v>
      </c>
      <c r="Q187" s="14" t="s">
        <v>1852</v>
      </c>
      <c r="R187" s="14" t="s">
        <v>1810</v>
      </c>
      <c r="S187" s="14">
        <v>2022</v>
      </c>
      <c r="T187" s="15">
        <v>44827</v>
      </c>
      <c r="U187" s="14" t="s">
        <v>1853</v>
      </c>
      <c r="V187" s="14"/>
      <c r="W187" s="14" t="s">
        <v>1854</v>
      </c>
      <c r="X187" s="4" t="e">
        <f>COUNTIF(#REF!,W187)</f>
        <v>#REF!</v>
      </c>
      <c r="Y187">
        <f t="shared" si="6"/>
        <v>408</v>
      </c>
      <c r="Z187">
        <f t="shared" si="7"/>
        <v>4</v>
      </c>
      <c r="AA187">
        <f t="shared" si="8"/>
        <v>0</v>
      </c>
    </row>
    <row r="188" spans="1:27" x14ac:dyDescent="0.3">
      <c r="A188" t="s">
        <v>2654</v>
      </c>
      <c r="B188" t="s">
        <v>1351</v>
      </c>
      <c r="C188">
        <v>36310154</v>
      </c>
      <c r="D188" t="s">
        <v>1399</v>
      </c>
      <c r="E188">
        <v>1</v>
      </c>
      <c r="F188" t="s">
        <v>1400</v>
      </c>
      <c r="G188">
        <v>68</v>
      </c>
      <c r="H188">
        <v>2</v>
      </c>
      <c r="J188">
        <v>0</v>
      </c>
      <c r="K188" t="s">
        <v>1695</v>
      </c>
      <c r="L188">
        <v>1</v>
      </c>
      <c r="N188" t="s">
        <v>1856</v>
      </c>
      <c r="O188" s="12" t="s">
        <v>1857</v>
      </c>
      <c r="P188" s="12" t="s">
        <v>1858</v>
      </c>
      <c r="Q188" s="12" t="s">
        <v>1859</v>
      </c>
      <c r="R188" s="12" t="s">
        <v>1860</v>
      </c>
      <c r="S188" s="12">
        <v>2022</v>
      </c>
      <c r="T188" s="13">
        <v>44865</v>
      </c>
      <c r="U188" s="12" t="s">
        <v>1861</v>
      </c>
      <c r="V188" s="12"/>
      <c r="W188" s="12" t="s">
        <v>1862</v>
      </c>
      <c r="X188" t="e">
        <f>COUNTIF(#REF!,W188)</f>
        <v>#REF!</v>
      </c>
      <c r="Y188">
        <f t="shared" si="6"/>
        <v>68</v>
      </c>
      <c r="Z188">
        <f t="shared" si="7"/>
        <v>0</v>
      </c>
      <c r="AA188">
        <f t="shared" si="8"/>
        <v>1</v>
      </c>
    </row>
    <row r="189" spans="1:27" x14ac:dyDescent="0.3">
      <c r="A189" t="s">
        <v>2654</v>
      </c>
      <c r="B189" t="s">
        <v>1351</v>
      </c>
      <c r="C189">
        <v>35845260</v>
      </c>
      <c r="D189" t="s">
        <v>1401</v>
      </c>
      <c r="E189">
        <v>0</v>
      </c>
      <c r="F189" t="s">
        <v>926</v>
      </c>
      <c r="G189">
        <v>157</v>
      </c>
      <c r="H189">
        <v>5</v>
      </c>
      <c r="J189">
        <v>3</v>
      </c>
      <c r="K189" t="s">
        <v>1863</v>
      </c>
      <c r="L189">
        <v>2</v>
      </c>
      <c r="M189" t="s">
        <v>1864</v>
      </c>
      <c r="N189" t="s">
        <v>1865</v>
      </c>
      <c r="O189" s="12" t="s">
        <v>1866</v>
      </c>
      <c r="P189" s="12" t="s">
        <v>1867</v>
      </c>
      <c r="Q189" s="12" t="s">
        <v>1868</v>
      </c>
      <c r="R189" s="12" t="s">
        <v>1869</v>
      </c>
      <c r="S189" s="12">
        <v>2022</v>
      </c>
      <c r="T189" s="13">
        <v>44760</v>
      </c>
      <c r="U189" s="12" t="s">
        <v>1870</v>
      </c>
      <c r="V189" s="12"/>
      <c r="W189" s="12" t="s">
        <v>1871</v>
      </c>
      <c r="X189" t="e">
        <f>COUNTIF(#REF!,W189)</f>
        <v>#REF!</v>
      </c>
      <c r="Y189">
        <f t="shared" si="6"/>
        <v>314</v>
      </c>
      <c r="Z189">
        <f t="shared" si="7"/>
        <v>3</v>
      </c>
      <c r="AA189">
        <f t="shared" si="8"/>
        <v>0</v>
      </c>
    </row>
    <row r="190" spans="1:27" x14ac:dyDescent="0.3">
      <c r="A190" t="s">
        <v>2654</v>
      </c>
      <c r="B190" t="s">
        <v>1351</v>
      </c>
      <c r="C190">
        <v>36326616</v>
      </c>
      <c r="D190" t="s">
        <v>1402</v>
      </c>
      <c r="E190">
        <v>0</v>
      </c>
      <c r="F190" t="s">
        <v>82</v>
      </c>
      <c r="G190">
        <v>486</v>
      </c>
      <c r="H190">
        <v>1</v>
      </c>
      <c r="J190">
        <v>1</v>
      </c>
      <c r="K190" t="s">
        <v>1873</v>
      </c>
      <c r="L190">
        <v>1</v>
      </c>
      <c r="M190" t="s">
        <v>1874</v>
      </c>
      <c r="N190" t="s">
        <v>1875</v>
      </c>
      <c r="O190" s="12" t="s">
        <v>1876</v>
      </c>
      <c r="P190" s="12" t="s">
        <v>1877</v>
      </c>
      <c r="Q190" s="12" t="s">
        <v>1878</v>
      </c>
      <c r="R190" s="12" t="s">
        <v>1879</v>
      </c>
      <c r="S190" s="12">
        <v>2022</v>
      </c>
      <c r="T190" s="13">
        <v>44868</v>
      </c>
      <c r="U190" s="12"/>
      <c r="V190" s="12"/>
      <c r="W190" s="12" t="s">
        <v>1880</v>
      </c>
      <c r="X190" t="e">
        <f>COUNTIF(#REF!,W190)</f>
        <v>#REF!</v>
      </c>
      <c r="Y190">
        <f t="shared" si="6"/>
        <v>486</v>
      </c>
      <c r="Z190">
        <f t="shared" si="7"/>
        <v>5</v>
      </c>
      <c r="AA190">
        <f t="shared" si="8"/>
        <v>0</v>
      </c>
    </row>
    <row r="191" spans="1:27" x14ac:dyDescent="0.3">
      <c r="A191" t="s">
        <v>2654</v>
      </c>
      <c r="B191" t="s">
        <v>1351</v>
      </c>
      <c r="C191">
        <v>36447478</v>
      </c>
      <c r="D191" t="s">
        <v>1403</v>
      </c>
      <c r="E191">
        <v>0</v>
      </c>
      <c r="F191" t="s">
        <v>143</v>
      </c>
      <c r="G191">
        <f>233*4</f>
        <v>932</v>
      </c>
      <c r="H191">
        <v>3</v>
      </c>
      <c r="J191">
        <v>2</v>
      </c>
      <c r="K191" t="s">
        <v>1882</v>
      </c>
      <c r="L191">
        <v>1</v>
      </c>
      <c r="M191" t="s">
        <v>1883</v>
      </c>
      <c r="N191" t="s">
        <v>1884</v>
      </c>
      <c r="O191" s="12" t="s">
        <v>1885</v>
      </c>
      <c r="P191" s="12" t="s">
        <v>1886</v>
      </c>
      <c r="Q191" s="12" t="s">
        <v>1887</v>
      </c>
      <c r="R191" s="12" t="s">
        <v>1869</v>
      </c>
      <c r="S191" s="12">
        <v>2022</v>
      </c>
      <c r="T191" s="13">
        <v>44895</v>
      </c>
      <c r="U191" s="12" t="s">
        <v>1888</v>
      </c>
      <c r="V191" s="12"/>
      <c r="W191" s="12" t="s">
        <v>1889</v>
      </c>
      <c r="X191" t="e">
        <f>COUNTIF(#REF!,W191)</f>
        <v>#REF!</v>
      </c>
      <c r="Y191">
        <f t="shared" si="6"/>
        <v>932</v>
      </c>
      <c r="Z191">
        <f t="shared" si="7"/>
        <v>9</v>
      </c>
      <c r="AA191">
        <f t="shared" si="8"/>
        <v>1</v>
      </c>
    </row>
    <row r="192" spans="1:27" x14ac:dyDescent="0.3">
      <c r="A192" t="s">
        <v>2654</v>
      </c>
      <c r="B192" t="s">
        <v>1351</v>
      </c>
      <c r="C192">
        <v>35872565</v>
      </c>
      <c r="D192" t="s">
        <v>1404</v>
      </c>
      <c r="E192">
        <v>0</v>
      </c>
      <c r="F192" t="s">
        <v>1405</v>
      </c>
      <c r="G192">
        <v>32</v>
      </c>
      <c r="H192">
        <v>5</v>
      </c>
      <c r="J192">
        <v>4</v>
      </c>
      <c r="K192" t="s">
        <v>1891</v>
      </c>
      <c r="L192">
        <v>2</v>
      </c>
      <c r="M192" t="s">
        <v>1892</v>
      </c>
      <c r="N192" t="s">
        <v>1893</v>
      </c>
      <c r="O192" s="12" t="s">
        <v>1894</v>
      </c>
      <c r="P192" s="12" t="s">
        <v>1895</v>
      </c>
      <c r="Q192" s="12" t="s">
        <v>1896</v>
      </c>
      <c r="R192" s="12" t="s">
        <v>1897</v>
      </c>
      <c r="S192" s="12">
        <v>2022</v>
      </c>
      <c r="T192" s="13">
        <v>44767</v>
      </c>
      <c r="U192" s="12"/>
      <c r="V192" s="12"/>
      <c r="W192" s="12" t="s">
        <v>1898</v>
      </c>
      <c r="X192" t="e">
        <f>COUNTIF(#REF!,W192)</f>
        <v>#REF!</v>
      </c>
      <c r="Y192">
        <f t="shared" si="6"/>
        <v>64</v>
      </c>
      <c r="Z192">
        <f t="shared" si="7"/>
        <v>0</v>
      </c>
      <c r="AA192">
        <f t="shared" si="8"/>
        <v>1</v>
      </c>
    </row>
    <row r="193" spans="1:27" x14ac:dyDescent="0.3">
      <c r="A193" t="s">
        <v>2654</v>
      </c>
      <c r="B193" t="s">
        <v>1351</v>
      </c>
      <c r="C193">
        <v>36142385</v>
      </c>
      <c r="D193" t="s">
        <v>1406</v>
      </c>
      <c r="E193">
        <v>0</v>
      </c>
      <c r="F193" t="s">
        <v>143</v>
      </c>
      <c r="G193">
        <v>60</v>
      </c>
      <c r="H193">
        <v>2</v>
      </c>
      <c r="K193" t="s">
        <v>1900</v>
      </c>
      <c r="L193">
        <v>2</v>
      </c>
      <c r="M193" t="s">
        <v>1901</v>
      </c>
      <c r="O193" s="12" t="s">
        <v>1902</v>
      </c>
      <c r="P193" s="12" t="s">
        <v>1903</v>
      </c>
      <c r="Q193" s="12" t="s">
        <v>1904</v>
      </c>
      <c r="R193" s="12" t="s">
        <v>168</v>
      </c>
      <c r="S193" s="12">
        <v>2022</v>
      </c>
      <c r="T193" s="13">
        <v>44827</v>
      </c>
      <c r="U193" s="12" t="s">
        <v>1905</v>
      </c>
      <c r="V193" s="12"/>
      <c r="W193" s="12" t="s">
        <v>1906</v>
      </c>
      <c r="X193" t="e">
        <f>COUNTIF(#REF!,W193)</f>
        <v>#REF!</v>
      </c>
      <c r="Y193">
        <f t="shared" si="6"/>
        <v>120</v>
      </c>
      <c r="Z193">
        <f t="shared" si="7"/>
        <v>1</v>
      </c>
      <c r="AA193">
        <f t="shared" si="8"/>
        <v>0</v>
      </c>
    </row>
    <row r="194" spans="1:27" x14ac:dyDescent="0.3">
      <c r="A194" t="s">
        <v>2654</v>
      </c>
      <c r="B194" t="s">
        <v>1351</v>
      </c>
      <c r="C194">
        <v>35179048</v>
      </c>
      <c r="D194" t="s">
        <v>1407</v>
      </c>
      <c r="E194">
        <v>0</v>
      </c>
      <c r="F194" t="s">
        <v>143</v>
      </c>
      <c r="G194">
        <f>82+37+13+59</f>
        <v>191</v>
      </c>
      <c r="H194">
        <v>1</v>
      </c>
      <c r="J194">
        <v>0</v>
      </c>
      <c r="K194" t="s">
        <v>835</v>
      </c>
      <c r="L194">
        <v>1</v>
      </c>
      <c r="M194" t="s">
        <v>1908</v>
      </c>
      <c r="N194" t="s">
        <v>1909</v>
      </c>
      <c r="O194" s="12" t="s">
        <v>1910</v>
      </c>
      <c r="P194" s="12" t="s">
        <v>1911</v>
      </c>
      <c r="Q194" s="12" t="s">
        <v>1912</v>
      </c>
      <c r="R194" s="12" t="s">
        <v>1913</v>
      </c>
      <c r="S194" s="12">
        <v>2022</v>
      </c>
      <c r="T194" s="13">
        <v>44610</v>
      </c>
      <c r="U194" s="12"/>
      <c r="V194" s="12"/>
      <c r="W194" s="12" t="s">
        <v>1914</v>
      </c>
      <c r="X194" t="e">
        <f>COUNTIF(#REF!,W194)</f>
        <v>#REF!</v>
      </c>
      <c r="Y194">
        <f t="shared" si="6"/>
        <v>191</v>
      </c>
      <c r="Z194">
        <f t="shared" si="7"/>
        <v>1</v>
      </c>
      <c r="AA194">
        <f t="shared" si="8"/>
        <v>1</v>
      </c>
    </row>
    <row r="195" spans="1:27" x14ac:dyDescent="0.3">
      <c r="A195" t="s">
        <v>2654</v>
      </c>
      <c r="B195" t="s">
        <v>1351</v>
      </c>
      <c r="C195">
        <v>36041549</v>
      </c>
      <c r="D195" t="s">
        <v>1408</v>
      </c>
      <c r="E195">
        <v>0</v>
      </c>
      <c r="F195" t="s">
        <v>1409</v>
      </c>
      <c r="G195">
        <v>1100</v>
      </c>
      <c r="H195">
        <v>1</v>
      </c>
      <c r="K195" t="s">
        <v>835</v>
      </c>
      <c r="L195">
        <v>1</v>
      </c>
      <c r="M195" t="s">
        <v>1734</v>
      </c>
      <c r="O195" s="12" t="s">
        <v>1916</v>
      </c>
      <c r="P195" s="12" t="s">
        <v>1917</v>
      </c>
      <c r="Q195" s="12" t="s">
        <v>1918</v>
      </c>
      <c r="R195" s="12" t="s">
        <v>1919</v>
      </c>
      <c r="S195" s="12">
        <v>2022</v>
      </c>
      <c r="T195" s="13">
        <v>44803</v>
      </c>
      <c r="U195" s="12"/>
      <c r="V195" s="12"/>
      <c r="W195" s="12" t="s">
        <v>1920</v>
      </c>
      <c r="X195" t="e">
        <f>COUNTIF(#REF!,W195)</f>
        <v>#REF!</v>
      </c>
      <c r="Y195">
        <f t="shared" ref="Y195:Y258" si="9">IFERROR(L195*G195,"N/A")</f>
        <v>1100</v>
      </c>
      <c r="Z195">
        <f t="shared" ref="Z195:Z258" si="10">IFERROR(ROUNDDOWN(Y195/96,0),"")</f>
        <v>11</v>
      </c>
      <c r="AA195">
        <f t="shared" ref="AA195:AA258" si="11">IFERROR(ROUNDDOWN((MOD(Y195,96)/48),0),"")</f>
        <v>0</v>
      </c>
    </row>
    <row r="196" spans="1:27" x14ac:dyDescent="0.3">
      <c r="A196" t="s">
        <v>2654</v>
      </c>
      <c r="B196" t="s">
        <v>1351</v>
      </c>
      <c r="C196">
        <v>34854549</v>
      </c>
      <c r="D196" t="s">
        <v>1410</v>
      </c>
      <c r="E196">
        <v>0</v>
      </c>
      <c r="F196" t="s">
        <v>143</v>
      </c>
      <c r="G196">
        <f>(235+181+153)</f>
        <v>569</v>
      </c>
      <c r="H196">
        <v>3</v>
      </c>
      <c r="J196">
        <v>1</v>
      </c>
      <c r="K196" t="s">
        <v>1922</v>
      </c>
      <c r="L196">
        <v>3</v>
      </c>
      <c r="M196" t="s">
        <v>1923</v>
      </c>
      <c r="O196" s="12" t="s">
        <v>1924</v>
      </c>
      <c r="P196" s="12" t="s">
        <v>1925</v>
      </c>
      <c r="Q196" s="12" t="s">
        <v>1926</v>
      </c>
      <c r="R196" s="12" t="s">
        <v>1535</v>
      </c>
      <c r="S196" s="12">
        <v>2022</v>
      </c>
      <c r="T196" s="13">
        <v>44532</v>
      </c>
      <c r="U196" s="12" t="s">
        <v>1927</v>
      </c>
      <c r="V196" s="12" t="s">
        <v>1928</v>
      </c>
      <c r="W196" s="12" t="s">
        <v>1929</v>
      </c>
      <c r="X196" t="e">
        <f>COUNTIF(#REF!,W196)</f>
        <v>#REF!</v>
      </c>
      <c r="Y196">
        <f t="shared" si="9"/>
        <v>1707</v>
      </c>
      <c r="Z196">
        <f t="shared" si="10"/>
        <v>17</v>
      </c>
      <c r="AA196">
        <f t="shared" si="11"/>
        <v>1</v>
      </c>
    </row>
    <row r="197" spans="1:27" x14ac:dyDescent="0.3">
      <c r="A197" t="s">
        <v>2654</v>
      </c>
      <c r="B197" t="s">
        <v>1351</v>
      </c>
      <c r="C197">
        <v>35903537</v>
      </c>
      <c r="D197" t="s">
        <v>1411</v>
      </c>
      <c r="E197">
        <v>0</v>
      </c>
      <c r="F197" t="s">
        <v>143</v>
      </c>
      <c r="G197">
        <v>66</v>
      </c>
      <c r="H197">
        <v>4</v>
      </c>
      <c r="K197" t="s">
        <v>1931</v>
      </c>
      <c r="L197">
        <v>1</v>
      </c>
      <c r="M197" t="s">
        <v>1932</v>
      </c>
      <c r="N197" t="s">
        <v>1933</v>
      </c>
      <c r="O197" s="12" t="s">
        <v>1934</v>
      </c>
      <c r="P197" s="12" t="s">
        <v>1935</v>
      </c>
      <c r="Q197" s="12" t="s">
        <v>1936</v>
      </c>
      <c r="R197" s="12" t="s">
        <v>1829</v>
      </c>
      <c r="S197" s="12">
        <v>2022</v>
      </c>
      <c r="T197" s="13">
        <v>44771</v>
      </c>
      <c r="U197" s="12" t="s">
        <v>1937</v>
      </c>
      <c r="V197" s="12"/>
      <c r="W197" s="12" t="s">
        <v>1938</v>
      </c>
      <c r="X197" t="e">
        <f>COUNTIF(#REF!,W197)</f>
        <v>#REF!</v>
      </c>
      <c r="Y197">
        <f t="shared" si="9"/>
        <v>66</v>
      </c>
      <c r="Z197">
        <f t="shared" si="10"/>
        <v>0</v>
      </c>
      <c r="AA197">
        <f t="shared" si="11"/>
        <v>1</v>
      </c>
    </row>
    <row r="198" spans="1:27" x14ac:dyDescent="0.3">
      <c r="A198" t="s">
        <v>2654</v>
      </c>
      <c r="B198" t="s">
        <v>1351</v>
      </c>
      <c r="C198">
        <v>35992605</v>
      </c>
      <c r="D198" t="s">
        <v>1412</v>
      </c>
      <c r="E198">
        <v>0</v>
      </c>
      <c r="F198" t="s">
        <v>143</v>
      </c>
      <c r="G198">
        <f>(47+28+28+18)*2</f>
        <v>242</v>
      </c>
      <c r="H198">
        <v>1</v>
      </c>
      <c r="J198">
        <v>1</v>
      </c>
      <c r="K198" t="s">
        <v>835</v>
      </c>
      <c r="L198">
        <v>1</v>
      </c>
      <c r="M198" t="s">
        <v>1940</v>
      </c>
      <c r="N198" t="s">
        <v>1941</v>
      </c>
      <c r="O198" s="12" t="s">
        <v>1942</v>
      </c>
      <c r="P198" s="12" t="s">
        <v>1943</v>
      </c>
      <c r="Q198" s="12" t="s">
        <v>1944</v>
      </c>
      <c r="R198" s="12" t="s">
        <v>1829</v>
      </c>
      <c r="S198" s="12">
        <v>2022</v>
      </c>
      <c r="T198" s="13">
        <v>44795</v>
      </c>
      <c r="U198" s="12" t="s">
        <v>1945</v>
      </c>
      <c r="V198" s="12"/>
      <c r="W198" s="12" t="s">
        <v>1946</v>
      </c>
      <c r="X198" t="e">
        <f>COUNTIF(#REF!,W198)</f>
        <v>#REF!</v>
      </c>
      <c r="Y198">
        <f t="shared" si="9"/>
        <v>242</v>
      </c>
      <c r="Z198">
        <f t="shared" si="10"/>
        <v>2</v>
      </c>
      <c r="AA198">
        <f t="shared" si="11"/>
        <v>1</v>
      </c>
    </row>
    <row r="199" spans="1:27" x14ac:dyDescent="0.3">
      <c r="A199" t="s">
        <v>2654</v>
      </c>
      <c r="B199" t="s">
        <v>1351</v>
      </c>
      <c r="C199">
        <v>36744338</v>
      </c>
      <c r="D199" t="s">
        <v>1413</v>
      </c>
      <c r="E199">
        <v>0</v>
      </c>
      <c r="F199" t="s">
        <v>143</v>
      </c>
      <c r="G199">
        <v>100</v>
      </c>
      <c r="H199">
        <v>2</v>
      </c>
      <c r="J199">
        <v>1</v>
      </c>
      <c r="K199" t="s">
        <v>1947</v>
      </c>
      <c r="L199">
        <v>2</v>
      </c>
      <c r="M199" t="s">
        <v>1948</v>
      </c>
      <c r="N199" t="s">
        <v>1949</v>
      </c>
      <c r="O199" s="12" t="s">
        <v>1950</v>
      </c>
      <c r="P199" s="12" t="s">
        <v>1951</v>
      </c>
      <c r="Q199" s="12" t="s">
        <v>1952</v>
      </c>
      <c r="R199" s="12" t="s">
        <v>1953</v>
      </c>
      <c r="S199" s="12">
        <v>2023</v>
      </c>
      <c r="T199" s="13">
        <v>44963</v>
      </c>
      <c r="U199" s="12" t="s">
        <v>1954</v>
      </c>
      <c r="V199" s="12"/>
      <c r="W199" s="12" t="s">
        <v>1955</v>
      </c>
      <c r="X199" t="e">
        <f>COUNTIF(#REF!,W199)</f>
        <v>#REF!</v>
      </c>
      <c r="Y199">
        <f t="shared" si="9"/>
        <v>200</v>
      </c>
      <c r="Z199">
        <f t="shared" si="10"/>
        <v>2</v>
      </c>
      <c r="AA199">
        <f t="shared" si="11"/>
        <v>0</v>
      </c>
    </row>
    <row r="200" spans="1:27" x14ac:dyDescent="0.3">
      <c r="A200" t="s">
        <v>2654</v>
      </c>
      <c r="B200" t="s">
        <v>1351</v>
      </c>
      <c r="C200">
        <v>36072480</v>
      </c>
      <c r="D200" t="s">
        <v>1414</v>
      </c>
      <c r="E200">
        <v>0</v>
      </c>
      <c r="F200" t="s">
        <v>143</v>
      </c>
      <c r="G200">
        <v>334</v>
      </c>
      <c r="H200">
        <v>2</v>
      </c>
      <c r="J200">
        <v>2</v>
      </c>
      <c r="K200" t="s">
        <v>1695</v>
      </c>
      <c r="L200">
        <v>1</v>
      </c>
      <c r="M200" t="s">
        <v>1957</v>
      </c>
      <c r="N200" t="s">
        <v>1958</v>
      </c>
      <c r="O200" s="12" t="s">
        <v>1959</v>
      </c>
      <c r="P200" s="12" t="s">
        <v>1960</v>
      </c>
      <c r="Q200" s="12" t="s">
        <v>1961</v>
      </c>
      <c r="R200" s="12" t="s">
        <v>1829</v>
      </c>
      <c r="S200" s="12">
        <v>2022</v>
      </c>
      <c r="T200" s="13">
        <v>44812</v>
      </c>
      <c r="U200" s="12" t="s">
        <v>1962</v>
      </c>
      <c r="V200" s="12"/>
      <c r="W200" s="12" t="s">
        <v>1963</v>
      </c>
      <c r="X200" t="e">
        <f>COUNTIF(#REF!,W200)</f>
        <v>#REF!</v>
      </c>
      <c r="Y200">
        <f t="shared" si="9"/>
        <v>334</v>
      </c>
      <c r="Z200">
        <f t="shared" si="10"/>
        <v>3</v>
      </c>
      <c r="AA200">
        <f t="shared" si="11"/>
        <v>0</v>
      </c>
    </row>
    <row r="201" spans="1:27" x14ac:dyDescent="0.3">
      <c r="A201" t="s">
        <v>2654</v>
      </c>
      <c r="B201" t="s">
        <v>1351</v>
      </c>
      <c r="C201">
        <v>36247773</v>
      </c>
      <c r="D201" t="s">
        <v>1415</v>
      </c>
      <c r="E201">
        <v>0</v>
      </c>
      <c r="F201" t="s">
        <v>143</v>
      </c>
      <c r="G201">
        <v>124</v>
      </c>
      <c r="H201">
        <v>2</v>
      </c>
      <c r="J201">
        <v>1</v>
      </c>
      <c r="K201" t="s">
        <v>1695</v>
      </c>
      <c r="L201">
        <v>1</v>
      </c>
      <c r="M201" t="s">
        <v>1965</v>
      </c>
      <c r="N201" t="s">
        <v>1966</v>
      </c>
      <c r="O201" s="12" t="s">
        <v>1967</v>
      </c>
      <c r="P201" s="12" t="s">
        <v>1968</v>
      </c>
      <c r="Q201" s="12" t="s">
        <v>1969</v>
      </c>
      <c r="R201" s="12" t="s">
        <v>1970</v>
      </c>
      <c r="S201" s="12">
        <v>2022</v>
      </c>
      <c r="T201" s="13">
        <v>44851</v>
      </c>
      <c r="U201" s="12" t="s">
        <v>1971</v>
      </c>
      <c r="V201" s="12"/>
      <c r="W201" s="12" t="s">
        <v>1972</v>
      </c>
      <c r="X201" t="e">
        <f>COUNTIF(#REF!,W201)</f>
        <v>#REF!</v>
      </c>
      <c r="Y201">
        <f t="shared" si="9"/>
        <v>124</v>
      </c>
      <c r="Z201">
        <f t="shared" si="10"/>
        <v>1</v>
      </c>
      <c r="AA201">
        <f t="shared" si="11"/>
        <v>0</v>
      </c>
    </row>
    <row r="202" spans="1:27" x14ac:dyDescent="0.3">
      <c r="A202" t="s">
        <v>2654</v>
      </c>
      <c r="B202" t="s">
        <v>1351</v>
      </c>
      <c r="C202">
        <v>34092793</v>
      </c>
      <c r="D202" t="s">
        <v>1416</v>
      </c>
      <c r="E202">
        <v>0</v>
      </c>
      <c r="F202" t="s">
        <v>1417</v>
      </c>
      <c r="G202">
        <v>52</v>
      </c>
      <c r="H202">
        <v>1</v>
      </c>
      <c r="K202" t="s">
        <v>835</v>
      </c>
      <c r="L202">
        <v>1</v>
      </c>
      <c r="N202" t="s">
        <v>1974</v>
      </c>
      <c r="O202" s="12" t="s">
        <v>1975</v>
      </c>
      <c r="P202" s="12" t="s">
        <v>1976</v>
      </c>
      <c r="Q202" s="12" t="s">
        <v>1977</v>
      </c>
      <c r="R202" s="12" t="s">
        <v>1978</v>
      </c>
      <c r="S202" s="12">
        <v>2022</v>
      </c>
      <c r="T202" s="13">
        <v>44354</v>
      </c>
      <c r="U202" s="12"/>
      <c r="V202" s="12"/>
      <c r="W202" s="12" t="s">
        <v>1979</v>
      </c>
      <c r="X202" t="e">
        <f>COUNTIF(#REF!,W202)</f>
        <v>#REF!</v>
      </c>
      <c r="Y202">
        <f t="shared" si="9"/>
        <v>52</v>
      </c>
      <c r="Z202">
        <f t="shared" si="10"/>
        <v>0</v>
      </c>
      <c r="AA202">
        <f t="shared" si="11"/>
        <v>1</v>
      </c>
    </row>
    <row r="203" spans="1:27" x14ac:dyDescent="0.3">
      <c r="A203" t="s">
        <v>2654</v>
      </c>
      <c r="B203" t="s">
        <v>1351</v>
      </c>
      <c r="C203">
        <v>35716271</v>
      </c>
      <c r="D203" t="s">
        <v>1418</v>
      </c>
      <c r="E203">
        <v>0</v>
      </c>
      <c r="F203" t="s">
        <v>1417</v>
      </c>
      <c r="H203">
        <v>1</v>
      </c>
      <c r="K203" t="s">
        <v>835</v>
      </c>
      <c r="L203">
        <v>2</v>
      </c>
      <c r="N203" t="s">
        <v>1981</v>
      </c>
      <c r="O203" s="12" t="s">
        <v>1982</v>
      </c>
      <c r="P203" s="12" t="s">
        <v>1983</v>
      </c>
      <c r="Q203" s="12" t="s">
        <v>1984</v>
      </c>
      <c r="R203" s="12" t="s">
        <v>1985</v>
      </c>
      <c r="S203" s="12">
        <v>2022</v>
      </c>
      <c r="T203" s="13">
        <v>44730</v>
      </c>
      <c r="U203" s="12"/>
      <c r="V203" s="12"/>
      <c r="W203" s="12" t="s">
        <v>1986</v>
      </c>
      <c r="X203" t="e">
        <f>COUNTIF(#REF!,W203)</f>
        <v>#REF!</v>
      </c>
      <c r="Y203">
        <f t="shared" si="9"/>
        <v>0</v>
      </c>
      <c r="Z203">
        <f t="shared" si="10"/>
        <v>0</v>
      </c>
      <c r="AA203">
        <f t="shared" si="11"/>
        <v>0</v>
      </c>
    </row>
    <row r="204" spans="1:27" x14ac:dyDescent="0.3">
      <c r="A204" t="s">
        <v>2654</v>
      </c>
      <c r="B204" t="s">
        <v>1351</v>
      </c>
      <c r="C204">
        <v>36142860</v>
      </c>
      <c r="D204" t="s">
        <v>1419</v>
      </c>
      <c r="E204">
        <v>0</v>
      </c>
      <c r="F204" t="s">
        <v>1420</v>
      </c>
      <c r="G204">
        <f>32*9</f>
        <v>288</v>
      </c>
      <c r="H204">
        <v>2</v>
      </c>
      <c r="J204">
        <v>1</v>
      </c>
      <c r="K204" t="s">
        <v>1695</v>
      </c>
      <c r="L204">
        <v>1</v>
      </c>
      <c r="M204" t="s">
        <v>1988</v>
      </c>
      <c r="N204" t="s">
        <v>1989</v>
      </c>
      <c r="O204" s="12" t="s">
        <v>1990</v>
      </c>
      <c r="P204" s="12" t="s">
        <v>1991</v>
      </c>
      <c r="Q204" s="12" t="s">
        <v>1992</v>
      </c>
      <c r="R204" s="12" t="s">
        <v>168</v>
      </c>
      <c r="S204" s="12">
        <v>2022</v>
      </c>
      <c r="T204" s="13">
        <v>44827</v>
      </c>
      <c r="U204" s="12" t="s">
        <v>1993</v>
      </c>
      <c r="V204" s="12"/>
      <c r="W204" s="12" t="s">
        <v>1994</v>
      </c>
      <c r="X204" t="e">
        <f>COUNTIF(#REF!,W204)</f>
        <v>#REF!</v>
      </c>
      <c r="Y204">
        <f t="shared" si="9"/>
        <v>288</v>
      </c>
      <c r="Z204">
        <f t="shared" si="10"/>
        <v>3</v>
      </c>
      <c r="AA204">
        <f t="shared" si="11"/>
        <v>0</v>
      </c>
    </row>
    <row r="205" spans="1:27" x14ac:dyDescent="0.3">
      <c r="A205" t="s">
        <v>2654</v>
      </c>
      <c r="B205" t="s">
        <v>1351</v>
      </c>
      <c r="C205">
        <v>35751632</v>
      </c>
      <c r="D205" t="s">
        <v>1421</v>
      </c>
      <c r="E205">
        <v>0</v>
      </c>
      <c r="F205" t="s">
        <v>143</v>
      </c>
      <c r="G205">
        <f>174*2</f>
        <v>348</v>
      </c>
      <c r="H205">
        <v>1</v>
      </c>
      <c r="J205">
        <v>1</v>
      </c>
      <c r="K205" t="s">
        <v>835</v>
      </c>
      <c r="L205">
        <v>1</v>
      </c>
      <c r="M205" t="s">
        <v>1734</v>
      </c>
      <c r="O205" s="12" t="s">
        <v>1996</v>
      </c>
      <c r="P205" s="12" t="s">
        <v>1997</v>
      </c>
      <c r="Q205" s="12" t="s">
        <v>1998</v>
      </c>
      <c r="R205" s="12" t="s">
        <v>1999</v>
      </c>
      <c r="S205" s="12">
        <v>2022</v>
      </c>
      <c r="T205" s="13">
        <v>44737</v>
      </c>
      <c r="U205" s="12" t="s">
        <v>2000</v>
      </c>
      <c r="V205" s="12"/>
      <c r="W205" s="12" t="s">
        <v>2001</v>
      </c>
      <c r="X205" t="e">
        <f>COUNTIF(#REF!,W205)</f>
        <v>#REF!</v>
      </c>
      <c r="Y205">
        <f t="shared" si="9"/>
        <v>348</v>
      </c>
      <c r="Z205">
        <f t="shared" si="10"/>
        <v>3</v>
      </c>
      <c r="AA205">
        <f t="shared" si="11"/>
        <v>1</v>
      </c>
    </row>
    <row r="206" spans="1:27" x14ac:dyDescent="0.3">
      <c r="A206" t="s">
        <v>2654</v>
      </c>
      <c r="B206" t="s">
        <v>1351</v>
      </c>
      <c r="C206" s="4">
        <v>36174360</v>
      </c>
      <c r="D206" s="4" t="s">
        <v>1422</v>
      </c>
      <c r="E206" s="4">
        <v>0</v>
      </c>
      <c r="F206" s="4" t="s">
        <v>112</v>
      </c>
      <c r="G206" s="4">
        <f>(8*10)+(47+43+54)</f>
        <v>224</v>
      </c>
      <c r="H206" s="4">
        <v>2</v>
      </c>
      <c r="J206" s="4"/>
      <c r="K206" s="4" t="s">
        <v>2003</v>
      </c>
      <c r="L206" s="4">
        <v>1</v>
      </c>
      <c r="M206" s="4" t="s">
        <v>2004</v>
      </c>
      <c r="N206" s="4" t="s">
        <v>2005</v>
      </c>
      <c r="O206" s="14" t="s">
        <v>2006</v>
      </c>
      <c r="P206" s="14" t="s">
        <v>2007</v>
      </c>
      <c r="Q206" s="14" t="s">
        <v>2008</v>
      </c>
      <c r="R206" s="14" t="s">
        <v>2009</v>
      </c>
      <c r="S206" s="14">
        <v>2022</v>
      </c>
      <c r="T206" s="15">
        <v>44833</v>
      </c>
      <c r="U206" s="14" t="s">
        <v>2010</v>
      </c>
      <c r="V206" s="14"/>
      <c r="W206" s="14" t="s">
        <v>2011</v>
      </c>
      <c r="X206" s="4" t="e">
        <f>COUNTIF(#REF!,W206)</f>
        <v>#REF!</v>
      </c>
      <c r="Y206">
        <f t="shared" si="9"/>
        <v>224</v>
      </c>
      <c r="Z206">
        <f t="shared" si="10"/>
        <v>2</v>
      </c>
      <c r="AA206">
        <f t="shared" si="11"/>
        <v>0</v>
      </c>
    </row>
    <row r="207" spans="1:27" x14ac:dyDescent="0.3">
      <c r="A207" t="s">
        <v>2654</v>
      </c>
      <c r="B207" t="s">
        <v>1351</v>
      </c>
      <c r="C207">
        <v>36293090</v>
      </c>
      <c r="D207" t="s">
        <v>1423</v>
      </c>
      <c r="E207">
        <v>1</v>
      </c>
      <c r="F207" t="s">
        <v>112</v>
      </c>
      <c r="G207">
        <f>(37+28)*2</f>
        <v>130</v>
      </c>
      <c r="H207">
        <v>14</v>
      </c>
      <c r="K207" t="s">
        <v>2013</v>
      </c>
      <c r="L207">
        <v>2</v>
      </c>
      <c r="M207" t="s">
        <v>2014</v>
      </c>
      <c r="N207" t="s">
        <v>2015</v>
      </c>
      <c r="O207" s="12" t="s">
        <v>2016</v>
      </c>
      <c r="P207" s="12" t="s">
        <v>2017</v>
      </c>
      <c r="Q207" s="12" t="s">
        <v>2018</v>
      </c>
      <c r="R207" s="12" t="s">
        <v>168</v>
      </c>
      <c r="S207" s="12">
        <v>2022</v>
      </c>
      <c r="T207" s="13">
        <v>44861</v>
      </c>
      <c r="U207" s="12" t="s">
        <v>2019</v>
      </c>
      <c r="V207" s="12"/>
      <c r="W207" s="12" t="s">
        <v>2020</v>
      </c>
      <c r="X207" t="e">
        <f>COUNTIF(#REF!,W207)</f>
        <v>#REF!</v>
      </c>
      <c r="Y207">
        <f t="shared" si="9"/>
        <v>260</v>
      </c>
      <c r="Z207">
        <f t="shared" si="10"/>
        <v>2</v>
      </c>
      <c r="AA207">
        <f t="shared" si="11"/>
        <v>1</v>
      </c>
    </row>
    <row r="208" spans="1:27" x14ac:dyDescent="0.3">
      <c r="A208" t="s">
        <v>2654</v>
      </c>
      <c r="B208" t="s">
        <v>1351</v>
      </c>
      <c r="C208">
        <v>37003406</v>
      </c>
      <c r="D208" t="s">
        <v>1424</v>
      </c>
      <c r="E208">
        <v>0</v>
      </c>
      <c r="F208" t="s">
        <v>143</v>
      </c>
      <c r="G208">
        <v>190</v>
      </c>
      <c r="H208">
        <v>5</v>
      </c>
      <c r="J208">
        <v>2</v>
      </c>
      <c r="K208" t="s">
        <v>2022</v>
      </c>
      <c r="L208">
        <v>2</v>
      </c>
      <c r="M208" t="s">
        <v>2023</v>
      </c>
      <c r="N208" t="s">
        <v>2024</v>
      </c>
      <c r="O208" s="12" t="s">
        <v>2025</v>
      </c>
      <c r="P208" s="12" t="s">
        <v>2026</v>
      </c>
      <c r="Q208" s="12" t="s">
        <v>2027</v>
      </c>
      <c r="R208" s="12" t="s">
        <v>2028</v>
      </c>
      <c r="S208" s="12">
        <v>2023</v>
      </c>
      <c r="T208" s="13">
        <v>45017</v>
      </c>
      <c r="U208" s="12"/>
      <c r="V208" s="12"/>
      <c r="W208" s="12" t="s">
        <v>2029</v>
      </c>
      <c r="X208" t="e">
        <f>COUNTIF(#REF!,W208)</f>
        <v>#REF!</v>
      </c>
      <c r="Y208">
        <f t="shared" si="9"/>
        <v>380</v>
      </c>
      <c r="Z208">
        <f t="shared" si="10"/>
        <v>3</v>
      </c>
      <c r="AA208">
        <f t="shared" si="11"/>
        <v>1</v>
      </c>
    </row>
    <row r="209" spans="1:27" x14ac:dyDescent="0.3">
      <c r="A209" t="s">
        <v>2654</v>
      </c>
      <c r="B209" t="s">
        <v>1351</v>
      </c>
      <c r="C209">
        <v>36126541</v>
      </c>
      <c r="D209" t="s">
        <v>1425</v>
      </c>
      <c r="E209">
        <v>0</v>
      </c>
      <c r="F209" t="s">
        <v>143</v>
      </c>
      <c r="G209">
        <v>126</v>
      </c>
      <c r="H209">
        <v>1</v>
      </c>
      <c r="J209">
        <v>0</v>
      </c>
      <c r="K209" t="s">
        <v>835</v>
      </c>
      <c r="L209">
        <v>1</v>
      </c>
      <c r="M209" t="s">
        <v>2031</v>
      </c>
      <c r="O209" s="12" t="s">
        <v>2032</v>
      </c>
      <c r="P209" s="12" t="s">
        <v>2033</v>
      </c>
      <c r="Q209" s="12" t="s">
        <v>2034</v>
      </c>
      <c r="R209" s="12" t="s">
        <v>1660</v>
      </c>
      <c r="S209" s="12">
        <v>2022</v>
      </c>
      <c r="T209" s="13">
        <v>44824</v>
      </c>
      <c r="U209" s="12"/>
      <c r="V209" s="12"/>
      <c r="W209" s="12" t="s">
        <v>2035</v>
      </c>
      <c r="X209" t="e">
        <f>COUNTIF(#REF!,W209)</f>
        <v>#REF!</v>
      </c>
      <c r="Y209">
        <f t="shared" si="9"/>
        <v>126</v>
      </c>
      <c r="Z209">
        <f t="shared" si="10"/>
        <v>1</v>
      </c>
      <c r="AA209">
        <f t="shared" si="11"/>
        <v>0</v>
      </c>
    </row>
    <row r="210" spans="1:27" x14ac:dyDescent="0.3">
      <c r="A210" t="s">
        <v>2654</v>
      </c>
      <c r="B210" t="s">
        <v>1351</v>
      </c>
      <c r="C210">
        <v>36217158</v>
      </c>
      <c r="D210" t="s">
        <v>1426</v>
      </c>
      <c r="E210">
        <v>0</v>
      </c>
      <c r="F210" t="s">
        <v>143</v>
      </c>
      <c r="G210">
        <f>359*2</f>
        <v>718</v>
      </c>
      <c r="H210">
        <v>1</v>
      </c>
      <c r="K210" t="s">
        <v>2037</v>
      </c>
      <c r="L210">
        <v>1</v>
      </c>
      <c r="M210" t="s">
        <v>2038</v>
      </c>
      <c r="N210" t="s">
        <v>2039</v>
      </c>
      <c r="O210" s="12" t="s">
        <v>2040</v>
      </c>
      <c r="P210" s="12" t="s">
        <v>2041</v>
      </c>
      <c r="Q210" s="12" t="s">
        <v>2042</v>
      </c>
      <c r="R210" s="12" t="s">
        <v>454</v>
      </c>
      <c r="S210" s="12">
        <v>2022</v>
      </c>
      <c r="T210" s="13">
        <v>44844</v>
      </c>
      <c r="U210" s="12" t="s">
        <v>2043</v>
      </c>
      <c r="V210" s="12"/>
      <c r="W210" s="12" t="s">
        <v>2044</v>
      </c>
      <c r="X210" t="e">
        <f>COUNTIF(#REF!,W210)</f>
        <v>#REF!</v>
      </c>
      <c r="Y210">
        <f t="shared" si="9"/>
        <v>718</v>
      </c>
      <c r="Z210">
        <f t="shared" si="10"/>
        <v>7</v>
      </c>
      <c r="AA210">
        <f t="shared" si="11"/>
        <v>0</v>
      </c>
    </row>
    <row r="211" spans="1:27" x14ac:dyDescent="0.3">
      <c r="A211" t="s">
        <v>2654</v>
      </c>
      <c r="B211" t="s">
        <v>1351</v>
      </c>
      <c r="C211">
        <v>36059263</v>
      </c>
      <c r="D211" t="s">
        <v>1427</v>
      </c>
      <c r="E211">
        <v>0</v>
      </c>
      <c r="F211" t="s">
        <v>143</v>
      </c>
      <c r="G211">
        <v>145</v>
      </c>
      <c r="H211">
        <v>2</v>
      </c>
      <c r="J211">
        <v>1</v>
      </c>
      <c r="K211" t="s">
        <v>1786</v>
      </c>
      <c r="L211">
        <v>1</v>
      </c>
      <c r="N211" s="17" t="s">
        <v>2046</v>
      </c>
      <c r="O211" s="12" t="s">
        <v>2047</v>
      </c>
      <c r="P211" s="12" t="s">
        <v>2048</v>
      </c>
      <c r="Q211" s="12" t="s">
        <v>2049</v>
      </c>
      <c r="R211" s="12" t="s">
        <v>2050</v>
      </c>
      <c r="S211" s="12">
        <v>2022</v>
      </c>
      <c r="T211" s="13">
        <v>44809</v>
      </c>
      <c r="U211" s="12"/>
      <c r="V211" s="12"/>
      <c r="W211" s="12" t="s">
        <v>2051</v>
      </c>
      <c r="X211" t="e">
        <f>COUNTIF(#REF!,W211)</f>
        <v>#REF!</v>
      </c>
      <c r="Y211">
        <f t="shared" si="9"/>
        <v>145</v>
      </c>
      <c r="Z211">
        <f t="shared" si="10"/>
        <v>1</v>
      </c>
      <c r="AA211">
        <f t="shared" si="11"/>
        <v>1</v>
      </c>
    </row>
    <row r="212" spans="1:27" x14ac:dyDescent="0.3">
      <c r="A212" t="s">
        <v>2654</v>
      </c>
      <c r="B212" t="s">
        <v>1351</v>
      </c>
      <c r="C212">
        <v>35474598</v>
      </c>
      <c r="D212" t="s">
        <v>1428</v>
      </c>
      <c r="E212">
        <v>0</v>
      </c>
      <c r="F212" t="s">
        <v>143</v>
      </c>
      <c r="G212">
        <f>137+48</f>
        <v>185</v>
      </c>
      <c r="H212">
        <v>1</v>
      </c>
      <c r="K212" t="s">
        <v>835</v>
      </c>
      <c r="L212">
        <v>1</v>
      </c>
      <c r="N212" s="17" t="s">
        <v>2053</v>
      </c>
      <c r="O212" s="12" t="s">
        <v>2054</v>
      </c>
      <c r="P212" s="12" t="s">
        <v>2055</v>
      </c>
      <c r="Q212" s="12" t="s">
        <v>2056</v>
      </c>
      <c r="R212" s="12" t="s">
        <v>1571</v>
      </c>
      <c r="S212" s="12">
        <v>2022</v>
      </c>
      <c r="T212" s="13">
        <v>44678</v>
      </c>
      <c r="U212" s="12"/>
      <c r="V212" s="12"/>
      <c r="W212" s="12" t="s">
        <v>2057</v>
      </c>
      <c r="X212" t="e">
        <f>COUNTIF(#REF!,W212)</f>
        <v>#REF!</v>
      </c>
      <c r="Y212">
        <f t="shared" si="9"/>
        <v>185</v>
      </c>
      <c r="Z212">
        <f t="shared" si="10"/>
        <v>1</v>
      </c>
      <c r="AA212">
        <f t="shared" si="11"/>
        <v>1</v>
      </c>
    </row>
    <row r="213" spans="1:27" x14ac:dyDescent="0.3">
      <c r="A213" t="s">
        <v>2654</v>
      </c>
      <c r="B213" t="s">
        <v>1351</v>
      </c>
      <c r="C213">
        <v>35369719</v>
      </c>
      <c r="D213" t="s">
        <v>1429</v>
      </c>
      <c r="E213">
        <v>0</v>
      </c>
      <c r="F213" t="s">
        <v>1405</v>
      </c>
      <c r="G213">
        <f>12*6</f>
        <v>72</v>
      </c>
      <c r="H213">
        <v>2</v>
      </c>
      <c r="K213" t="s">
        <v>1695</v>
      </c>
      <c r="L213">
        <v>1</v>
      </c>
      <c r="N213" t="s">
        <v>2059</v>
      </c>
      <c r="O213" s="12" t="s">
        <v>2060</v>
      </c>
      <c r="P213" s="12" t="s">
        <v>2061</v>
      </c>
      <c r="Q213" s="12" t="s">
        <v>2062</v>
      </c>
      <c r="R213" s="12" t="s">
        <v>2063</v>
      </c>
      <c r="S213" s="12">
        <v>2022</v>
      </c>
      <c r="T213" s="13">
        <v>44655</v>
      </c>
      <c r="U213" s="12" t="s">
        <v>2064</v>
      </c>
      <c r="V213" s="12"/>
      <c r="W213" s="12" t="s">
        <v>2065</v>
      </c>
      <c r="X213" t="e">
        <f>COUNTIF(#REF!,W213)</f>
        <v>#REF!</v>
      </c>
      <c r="Y213">
        <f t="shared" si="9"/>
        <v>72</v>
      </c>
      <c r="Z213">
        <f t="shared" si="10"/>
        <v>0</v>
      </c>
      <c r="AA213">
        <f t="shared" si="11"/>
        <v>1</v>
      </c>
    </row>
    <row r="214" spans="1:27" x14ac:dyDescent="0.3">
      <c r="A214" t="s">
        <v>2654</v>
      </c>
      <c r="B214" t="s">
        <v>1351</v>
      </c>
      <c r="C214">
        <v>36408096</v>
      </c>
      <c r="D214" t="s">
        <v>1430</v>
      </c>
      <c r="E214">
        <v>0</v>
      </c>
      <c r="F214" t="s">
        <v>143</v>
      </c>
      <c r="G214">
        <v>55</v>
      </c>
      <c r="H214">
        <v>5</v>
      </c>
      <c r="J214">
        <v>5</v>
      </c>
      <c r="K214" t="s">
        <v>2067</v>
      </c>
      <c r="L214">
        <v>2</v>
      </c>
      <c r="M214" t="s">
        <v>2068</v>
      </c>
      <c r="N214" t="s">
        <v>2069</v>
      </c>
      <c r="O214" s="12" t="s">
        <v>2070</v>
      </c>
      <c r="P214" s="12" t="s">
        <v>2071</v>
      </c>
      <c r="Q214" s="12" t="s">
        <v>2072</v>
      </c>
      <c r="R214" s="12" t="s">
        <v>1829</v>
      </c>
      <c r="S214" s="12">
        <v>2022</v>
      </c>
      <c r="T214" s="13">
        <v>44886</v>
      </c>
      <c r="U214" s="12" t="s">
        <v>2073</v>
      </c>
      <c r="V214" s="12"/>
      <c r="W214" s="12" t="s">
        <v>2074</v>
      </c>
      <c r="X214" t="e">
        <f>COUNTIF(#REF!,W214)</f>
        <v>#REF!</v>
      </c>
      <c r="Y214">
        <f t="shared" si="9"/>
        <v>110</v>
      </c>
      <c r="Z214">
        <f t="shared" si="10"/>
        <v>1</v>
      </c>
      <c r="AA214">
        <f t="shared" si="11"/>
        <v>0</v>
      </c>
    </row>
    <row r="215" spans="1:27" x14ac:dyDescent="0.3">
      <c r="A215" t="s">
        <v>2654</v>
      </c>
      <c r="B215" t="s">
        <v>1351</v>
      </c>
      <c r="C215">
        <v>36381627</v>
      </c>
      <c r="D215" t="s">
        <v>1431</v>
      </c>
      <c r="E215">
        <v>0</v>
      </c>
      <c r="F215" t="s">
        <v>112</v>
      </c>
      <c r="G215">
        <v>80</v>
      </c>
      <c r="H215">
        <v>1</v>
      </c>
      <c r="K215" t="s">
        <v>2075</v>
      </c>
      <c r="L215">
        <v>1</v>
      </c>
      <c r="M215" t="s">
        <v>2076</v>
      </c>
      <c r="N215" t="s">
        <v>2077</v>
      </c>
      <c r="O215" s="12" t="s">
        <v>2078</v>
      </c>
      <c r="P215" s="12" t="s">
        <v>2079</v>
      </c>
      <c r="Q215" s="12" t="s">
        <v>2080</v>
      </c>
      <c r="R215" s="12" t="s">
        <v>2081</v>
      </c>
      <c r="S215" s="12">
        <v>2022</v>
      </c>
      <c r="T215" s="13">
        <v>44881</v>
      </c>
      <c r="U215" s="12" t="s">
        <v>2082</v>
      </c>
      <c r="V215" s="12"/>
      <c r="W215" s="12" t="s">
        <v>2083</v>
      </c>
      <c r="X215" t="e">
        <f>COUNTIF(#REF!,W215)</f>
        <v>#REF!</v>
      </c>
      <c r="Y215">
        <f t="shared" si="9"/>
        <v>80</v>
      </c>
      <c r="Z215">
        <f t="shared" si="10"/>
        <v>0</v>
      </c>
      <c r="AA215">
        <f t="shared" si="11"/>
        <v>1</v>
      </c>
    </row>
    <row r="216" spans="1:27" x14ac:dyDescent="0.3">
      <c r="A216" t="s">
        <v>2654</v>
      </c>
      <c r="B216" t="s">
        <v>1351</v>
      </c>
      <c r="C216">
        <v>36759508</v>
      </c>
      <c r="D216" t="s">
        <v>1432</v>
      </c>
      <c r="E216">
        <v>0</v>
      </c>
      <c r="F216" t="s">
        <v>143</v>
      </c>
      <c r="G216">
        <f>(60+63+24+15+31)</f>
        <v>193</v>
      </c>
      <c r="H216">
        <v>4</v>
      </c>
      <c r="J216">
        <v>1</v>
      </c>
      <c r="K216" t="s">
        <v>2085</v>
      </c>
      <c r="L216">
        <v>2</v>
      </c>
      <c r="M216" t="s">
        <v>2086</v>
      </c>
      <c r="N216" t="s">
        <v>2087</v>
      </c>
      <c r="O216" s="12" t="s">
        <v>2088</v>
      </c>
      <c r="P216" s="12" t="s">
        <v>2089</v>
      </c>
      <c r="Q216" s="12" t="s">
        <v>2090</v>
      </c>
      <c r="R216" s="12" t="s">
        <v>2091</v>
      </c>
      <c r="S216" s="12">
        <v>2023</v>
      </c>
      <c r="T216" s="13">
        <v>44966</v>
      </c>
      <c r="U216" s="12" t="s">
        <v>2092</v>
      </c>
      <c r="V216" s="12"/>
      <c r="W216" s="12" t="s">
        <v>2093</v>
      </c>
      <c r="X216" t="e">
        <f>COUNTIF(#REF!,W216)</f>
        <v>#REF!</v>
      </c>
      <c r="Y216">
        <f t="shared" si="9"/>
        <v>386</v>
      </c>
      <c r="Z216">
        <f t="shared" si="10"/>
        <v>4</v>
      </c>
      <c r="AA216">
        <f t="shared" si="11"/>
        <v>0</v>
      </c>
    </row>
    <row r="217" spans="1:27" x14ac:dyDescent="0.3">
      <c r="A217" t="s">
        <v>2654</v>
      </c>
      <c r="B217" t="s">
        <v>1351</v>
      </c>
      <c r="C217">
        <v>35318733</v>
      </c>
      <c r="D217" t="s">
        <v>1433</v>
      </c>
      <c r="E217">
        <v>0</v>
      </c>
      <c r="F217" t="s">
        <v>1434</v>
      </c>
      <c r="G217">
        <v>1862</v>
      </c>
      <c r="H217">
        <v>4</v>
      </c>
      <c r="K217" t="s">
        <v>2095</v>
      </c>
      <c r="L217">
        <v>2</v>
      </c>
      <c r="N217" t="s">
        <v>2096</v>
      </c>
      <c r="O217" s="12" t="s">
        <v>2097</v>
      </c>
      <c r="P217" s="12" t="s">
        <v>2098</v>
      </c>
      <c r="Q217" s="12" t="s">
        <v>2099</v>
      </c>
      <c r="R217" s="12" t="s">
        <v>681</v>
      </c>
      <c r="S217" s="12">
        <v>2022</v>
      </c>
      <c r="T217" s="13">
        <v>44643</v>
      </c>
      <c r="U217" s="12" t="s">
        <v>2100</v>
      </c>
      <c r="V217" s="12"/>
      <c r="W217" s="12" t="s">
        <v>2101</v>
      </c>
      <c r="X217" t="e">
        <f>COUNTIF(#REF!,W217)</f>
        <v>#REF!</v>
      </c>
      <c r="Y217">
        <f t="shared" si="9"/>
        <v>3724</v>
      </c>
      <c r="Z217">
        <f t="shared" si="10"/>
        <v>38</v>
      </c>
      <c r="AA217">
        <f t="shared" si="11"/>
        <v>1</v>
      </c>
    </row>
    <row r="218" spans="1:27" x14ac:dyDescent="0.3">
      <c r="A218" t="s">
        <v>2654</v>
      </c>
      <c r="B218" t="s">
        <v>1351</v>
      </c>
      <c r="C218">
        <v>36336935</v>
      </c>
      <c r="D218" t="s">
        <v>1435</v>
      </c>
      <c r="E218">
        <v>0</v>
      </c>
      <c r="F218" t="s">
        <v>1405</v>
      </c>
      <c r="G218">
        <v>374</v>
      </c>
      <c r="H218">
        <v>1</v>
      </c>
      <c r="J218">
        <v>1</v>
      </c>
      <c r="K218" t="s">
        <v>2103</v>
      </c>
      <c r="L218">
        <v>1</v>
      </c>
      <c r="M218" t="s">
        <v>2104</v>
      </c>
      <c r="N218" t="s">
        <v>2105</v>
      </c>
      <c r="O218" s="12" t="s">
        <v>2106</v>
      </c>
      <c r="P218" s="12" t="s">
        <v>2107</v>
      </c>
      <c r="Q218" s="12" t="s">
        <v>2108</v>
      </c>
      <c r="R218" s="12" t="s">
        <v>1953</v>
      </c>
      <c r="S218" s="12">
        <v>2022</v>
      </c>
      <c r="T218" s="13">
        <v>44872</v>
      </c>
      <c r="U218" s="12"/>
      <c r="V218" s="12"/>
      <c r="W218" s="12" t="s">
        <v>2109</v>
      </c>
      <c r="X218" t="e">
        <f>COUNTIF(#REF!,W218)</f>
        <v>#REF!</v>
      </c>
      <c r="Y218">
        <f t="shared" si="9"/>
        <v>374</v>
      </c>
      <c r="Z218">
        <f t="shared" si="10"/>
        <v>3</v>
      </c>
      <c r="AA218">
        <f t="shared" si="11"/>
        <v>1</v>
      </c>
    </row>
    <row r="219" spans="1:27" x14ac:dyDescent="0.3">
      <c r="A219" t="s">
        <v>2654</v>
      </c>
      <c r="B219" t="s">
        <v>1351</v>
      </c>
      <c r="C219">
        <v>37002988</v>
      </c>
      <c r="D219" t="s">
        <v>1436</v>
      </c>
      <c r="E219">
        <v>0</v>
      </c>
      <c r="F219" t="s">
        <v>143</v>
      </c>
      <c r="G219">
        <v>997</v>
      </c>
      <c r="H219">
        <v>1</v>
      </c>
      <c r="J219">
        <v>1</v>
      </c>
      <c r="K219" t="s">
        <v>2111</v>
      </c>
      <c r="L219">
        <v>2</v>
      </c>
      <c r="M219" t="s">
        <v>2112</v>
      </c>
      <c r="N219" t="s">
        <v>2113</v>
      </c>
      <c r="O219" s="12" t="s">
        <v>2114</v>
      </c>
      <c r="P219" s="12" t="s">
        <v>2115</v>
      </c>
      <c r="Q219" s="12" t="s">
        <v>2116</v>
      </c>
      <c r="R219" s="12" t="s">
        <v>782</v>
      </c>
      <c r="S219" s="12">
        <v>2023</v>
      </c>
      <c r="T219" s="13">
        <v>45017</v>
      </c>
      <c r="U219" s="12" t="s">
        <v>2117</v>
      </c>
      <c r="V219" s="12"/>
      <c r="W219" s="12" t="s">
        <v>2118</v>
      </c>
      <c r="X219" t="e">
        <f>COUNTIF(#REF!,W219)</f>
        <v>#REF!</v>
      </c>
      <c r="Y219">
        <f t="shared" si="9"/>
        <v>1994</v>
      </c>
      <c r="Z219">
        <f t="shared" si="10"/>
        <v>20</v>
      </c>
      <c r="AA219">
        <f t="shared" si="11"/>
        <v>1</v>
      </c>
    </row>
    <row r="220" spans="1:27" x14ac:dyDescent="0.3">
      <c r="A220" t="s">
        <v>2654</v>
      </c>
      <c r="B220" t="s">
        <v>1351</v>
      </c>
      <c r="C220">
        <v>35504173</v>
      </c>
      <c r="D220" t="s">
        <v>1437</v>
      </c>
      <c r="E220">
        <v>0</v>
      </c>
      <c r="F220" t="s">
        <v>143</v>
      </c>
      <c r="G220">
        <v>47</v>
      </c>
      <c r="H220">
        <v>2</v>
      </c>
      <c r="J220">
        <v>2</v>
      </c>
      <c r="K220" t="s">
        <v>2119</v>
      </c>
      <c r="L220">
        <v>4</v>
      </c>
      <c r="N220" t="s">
        <v>2120</v>
      </c>
      <c r="O220" s="12" t="s">
        <v>2121</v>
      </c>
      <c r="P220" s="12" t="s">
        <v>2122</v>
      </c>
      <c r="Q220" s="12" t="s">
        <v>2123</v>
      </c>
      <c r="R220" s="12" t="s">
        <v>1660</v>
      </c>
      <c r="S220" s="12">
        <v>2022</v>
      </c>
      <c r="T220" s="13">
        <v>44684</v>
      </c>
      <c r="U220" s="12"/>
      <c r="V220" s="12"/>
      <c r="W220" s="12" t="s">
        <v>2124</v>
      </c>
      <c r="X220" t="e">
        <f>COUNTIF(#REF!,W220)</f>
        <v>#REF!</v>
      </c>
      <c r="Y220">
        <f t="shared" si="9"/>
        <v>188</v>
      </c>
      <c r="Z220">
        <f t="shared" si="10"/>
        <v>1</v>
      </c>
      <c r="AA220">
        <f t="shared" si="11"/>
        <v>1</v>
      </c>
    </row>
    <row r="221" spans="1:27" x14ac:dyDescent="0.3">
      <c r="A221" t="s">
        <v>2654</v>
      </c>
      <c r="B221" t="s">
        <v>1351</v>
      </c>
      <c r="C221">
        <v>35989914</v>
      </c>
      <c r="D221" t="s">
        <v>1438</v>
      </c>
      <c r="E221">
        <v>0</v>
      </c>
      <c r="F221" t="s">
        <v>143</v>
      </c>
      <c r="G221">
        <f>135*4</f>
        <v>540</v>
      </c>
      <c r="H221">
        <v>1</v>
      </c>
      <c r="K221" t="s">
        <v>835</v>
      </c>
      <c r="L221">
        <v>1</v>
      </c>
      <c r="M221" t="s">
        <v>2125</v>
      </c>
      <c r="N221" t="s">
        <v>2126</v>
      </c>
      <c r="O221" s="12" t="s">
        <v>2127</v>
      </c>
      <c r="P221" s="12" t="s">
        <v>2128</v>
      </c>
      <c r="Q221" s="12" t="s">
        <v>2129</v>
      </c>
      <c r="R221" s="12" t="s">
        <v>1970</v>
      </c>
      <c r="S221" s="12">
        <v>2022</v>
      </c>
      <c r="T221" s="13">
        <v>44795</v>
      </c>
      <c r="U221" s="12" t="s">
        <v>2130</v>
      </c>
      <c r="V221" s="12"/>
      <c r="W221" s="12" t="s">
        <v>2131</v>
      </c>
      <c r="X221" t="e">
        <f>COUNTIF(#REF!,W221)</f>
        <v>#REF!</v>
      </c>
      <c r="Y221">
        <f t="shared" si="9"/>
        <v>540</v>
      </c>
      <c r="Z221">
        <f t="shared" si="10"/>
        <v>5</v>
      </c>
      <c r="AA221">
        <f t="shared" si="11"/>
        <v>1</v>
      </c>
    </row>
    <row r="222" spans="1:27" x14ac:dyDescent="0.3">
      <c r="A222" t="s">
        <v>2654</v>
      </c>
      <c r="B222" t="s">
        <v>1351</v>
      </c>
      <c r="C222">
        <v>36062146</v>
      </c>
      <c r="D222" t="s">
        <v>1439</v>
      </c>
      <c r="E222">
        <v>0</v>
      </c>
      <c r="F222" t="s">
        <v>143</v>
      </c>
      <c r="G222">
        <v>118</v>
      </c>
      <c r="H222">
        <v>9</v>
      </c>
      <c r="J222">
        <v>4</v>
      </c>
      <c r="K222" t="s">
        <v>2132</v>
      </c>
      <c r="L222">
        <v>7</v>
      </c>
      <c r="M222" t="s">
        <v>2133</v>
      </c>
      <c r="N222" t="s">
        <v>2134</v>
      </c>
      <c r="O222" s="12" t="s">
        <v>2135</v>
      </c>
      <c r="P222" s="12" t="s">
        <v>2136</v>
      </c>
      <c r="Q222" s="12" t="s">
        <v>2137</v>
      </c>
      <c r="R222" s="12" t="s">
        <v>1829</v>
      </c>
      <c r="S222" s="12">
        <v>2022</v>
      </c>
      <c r="T222" s="13">
        <v>44809</v>
      </c>
      <c r="U222" s="12" t="s">
        <v>2138</v>
      </c>
      <c r="V222" s="12"/>
      <c r="W222" s="12" t="s">
        <v>2139</v>
      </c>
      <c r="X222" t="e">
        <f>COUNTIF(#REF!,W222)</f>
        <v>#REF!</v>
      </c>
      <c r="Y222">
        <f t="shared" si="9"/>
        <v>826</v>
      </c>
      <c r="Z222">
        <f t="shared" si="10"/>
        <v>8</v>
      </c>
      <c r="AA222">
        <f t="shared" si="11"/>
        <v>1</v>
      </c>
    </row>
    <row r="223" spans="1:27" x14ac:dyDescent="0.3">
      <c r="A223" t="s">
        <v>2654</v>
      </c>
      <c r="B223" t="s">
        <v>1351</v>
      </c>
      <c r="C223">
        <v>36769057</v>
      </c>
      <c r="D223" t="s">
        <v>1440</v>
      </c>
      <c r="E223">
        <v>0</v>
      </c>
      <c r="F223" t="s">
        <v>1441</v>
      </c>
      <c r="G223">
        <f>45+26+18</f>
        <v>89</v>
      </c>
      <c r="H223">
        <v>3</v>
      </c>
      <c r="K223" t="s">
        <v>2140</v>
      </c>
      <c r="L223">
        <v>1</v>
      </c>
      <c r="M223" t="s">
        <v>2141</v>
      </c>
      <c r="N223" t="s">
        <v>2142</v>
      </c>
      <c r="O223" s="12" t="s">
        <v>2143</v>
      </c>
      <c r="P223" s="12" t="s">
        <v>2144</v>
      </c>
      <c r="Q223" s="12" t="s">
        <v>2145</v>
      </c>
      <c r="R223" s="12" t="s">
        <v>168</v>
      </c>
      <c r="S223" s="12">
        <v>2023</v>
      </c>
      <c r="T223" s="13">
        <v>44968</v>
      </c>
      <c r="U223" s="12" t="s">
        <v>2146</v>
      </c>
      <c r="V223" s="12"/>
      <c r="W223" s="12" t="s">
        <v>2147</v>
      </c>
      <c r="X223" t="e">
        <f>COUNTIF(#REF!,W223)</f>
        <v>#REF!</v>
      </c>
      <c r="Y223">
        <f t="shared" si="9"/>
        <v>89</v>
      </c>
      <c r="Z223">
        <f t="shared" si="10"/>
        <v>0</v>
      </c>
      <c r="AA223">
        <f t="shared" si="11"/>
        <v>1</v>
      </c>
    </row>
    <row r="224" spans="1:27" x14ac:dyDescent="0.3">
      <c r="A224" t="s">
        <v>2654</v>
      </c>
      <c r="B224" t="s">
        <v>1351</v>
      </c>
      <c r="C224">
        <v>36924432</v>
      </c>
      <c r="D224" t="s">
        <v>1442</v>
      </c>
      <c r="E224">
        <v>0</v>
      </c>
      <c r="F224" t="s">
        <v>143</v>
      </c>
      <c r="H224">
        <v>1</v>
      </c>
      <c r="J224">
        <v>1</v>
      </c>
      <c r="K224" t="s">
        <v>1521</v>
      </c>
      <c r="L224">
        <v>1</v>
      </c>
      <c r="M224" t="s">
        <v>2149</v>
      </c>
      <c r="N224" t="s">
        <v>2150</v>
      </c>
      <c r="O224" s="12" t="s">
        <v>2151</v>
      </c>
      <c r="P224" s="12" t="s">
        <v>2152</v>
      </c>
      <c r="Q224" s="12" t="s">
        <v>2153</v>
      </c>
      <c r="R224" s="12" t="s">
        <v>1535</v>
      </c>
      <c r="S224" s="12">
        <v>2023</v>
      </c>
      <c r="T224" s="13">
        <v>45001</v>
      </c>
      <c r="U224" s="12"/>
      <c r="V224" s="12"/>
      <c r="W224" s="12" t="s">
        <v>2154</v>
      </c>
      <c r="X224" t="e">
        <f>COUNTIF(#REF!,W224)</f>
        <v>#REF!</v>
      </c>
      <c r="Y224">
        <f t="shared" si="9"/>
        <v>0</v>
      </c>
      <c r="Z224">
        <f t="shared" si="10"/>
        <v>0</v>
      </c>
      <c r="AA224">
        <f t="shared" si="11"/>
        <v>0</v>
      </c>
    </row>
    <row r="225" spans="1:27" x14ac:dyDescent="0.3">
      <c r="A225" t="s">
        <v>2654</v>
      </c>
      <c r="B225" t="s">
        <v>1351</v>
      </c>
      <c r="C225">
        <v>36765391</v>
      </c>
      <c r="D225" t="s">
        <v>1443</v>
      </c>
      <c r="E225">
        <v>0</v>
      </c>
      <c r="F225" t="s">
        <v>153</v>
      </c>
      <c r="G225" s="11">
        <f>280*2</f>
        <v>560</v>
      </c>
      <c r="H225">
        <v>1</v>
      </c>
      <c r="K225" t="s">
        <v>2156</v>
      </c>
      <c r="L225">
        <v>1</v>
      </c>
      <c r="M225" t="s">
        <v>2157</v>
      </c>
      <c r="N225" t="s">
        <v>2158</v>
      </c>
      <c r="O225" s="12" t="s">
        <v>2159</v>
      </c>
      <c r="P225" s="12" t="s">
        <v>2160</v>
      </c>
      <c r="Q225" s="12" t="s">
        <v>2161</v>
      </c>
      <c r="R225" s="12" t="s">
        <v>2162</v>
      </c>
      <c r="S225" s="12">
        <v>2023</v>
      </c>
      <c r="T225" s="13">
        <v>44968</v>
      </c>
      <c r="U225" s="12" t="s">
        <v>2163</v>
      </c>
      <c r="V225" s="12"/>
      <c r="W225" s="12" t="s">
        <v>2164</v>
      </c>
      <c r="X225" t="e">
        <f>COUNTIF(#REF!,W225)</f>
        <v>#REF!</v>
      </c>
      <c r="Y225">
        <f t="shared" si="9"/>
        <v>560</v>
      </c>
      <c r="Z225">
        <f t="shared" si="10"/>
        <v>5</v>
      </c>
      <c r="AA225">
        <f t="shared" si="11"/>
        <v>1</v>
      </c>
    </row>
    <row r="226" spans="1:27" x14ac:dyDescent="0.3">
      <c r="A226" t="s">
        <v>2654</v>
      </c>
      <c r="B226" t="s">
        <v>1351</v>
      </c>
      <c r="C226">
        <v>36499527</v>
      </c>
      <c r="D226" t="s">
        <v>1444</v>
      </c>
      <c r="E226">
        <v>0</v>
      </c>
      <c r="F226" t="s">
        <v>143</v>
      </c>
      <c r="G226">
        <f>26*4*2</f>
        <v>208</v>
      </c>
      <c r="H226">
        <v>1</v>
      </c>
      <c r="J226">
        <v>1</v>
      </c>
      <c r="K226" t="s">
        <v>835</v>
      </c>
      <c r="L226">
        <v>1</v>
      </c>
      <c r="M226" t="s">
        <v>2166</v>
      </c>
      <c r="N226" t="s">
        <v>2167</v>
      </c>
      <c r="O226" s="12" t="s">
        <v>2168</v>
      </c>
      <c r="P226" s="12" t="s">
        <v>2169</v>
      </c>
      <c r="Q226" s="12" t="s">
        <v>2170</v>
      </c>
      <c r="R226" s="12" t="s">
        <v>168</v>
      </c>
      <c r="S226" s="12">
        <v>2022</v>
      </c>
      <c r="T226" s="13">
        <v>44906</v>
      </c>
      <c r="U226" s="12" t="s">
        <v>2171</v>
      </c>
      <c r="V226" s="12"/>
      <c r="W226" s="12" t="s">
        <v>2172</v>
      </c>
      <c r="X226" t="e">
        <f>COUNTIF(#REF!,W226)</f>
        <v>#REF!</v>
      </c>
      <c r="Y226">
        <f t="shared" si="9"/>
        <v>208</v>
      </c>
      <c r="Z226">
        <f t="shared" si="10"/>
        <v>2</v>
      </c>
      <c r="AA226">
        <f t="shared" si="11"/>
        <v>0</v>
      </c>
    </row>
    <row r="227" spans="1:27" x14ac:dyDescent="0.3">
      <c r="A227" t="s">
        <v>2654</v>
      </c>
      <c r="B227" t="s">
        <v>1351</v>
      </c>
      <c r="C227" s="4">
        <v>35450967</v>
      </c>
      <c r="D227" s="4" t="s">
        <v>1445</v>
      </c>
      <c r="E227" s="4">
        <v>0</v>
      </c>
      <c r="F227" s="4" t="s">
        <v>143</v>
      </c>
      <c r="G227" s="4">
        <v>76</v>
      </c>
      <c r="H227" s="4">
        <v>3</v>
      </c>
      <c r="J227" s="4"/>
      <c r="K227" s="4" t="s">
        <v>2174</v>
      </c>
      <c r="L227" s="4">
        <v>3</v>
      </c>
      <c r="M227" s="4" t="s">
        <v>2175</v>
      </c>
      <c r="N227" s="4" t="s">
        <v>2176</v>
      </c>
      <c r="O227" s="14" t="s">
        <v>2177</v>
      </c>
      <c r="P227" s="14" t="s">
        <v>2178</v>
      </c>
      <c r="Q227" s="14" t="s">
        <v>2179</v>
      </c>
      <c r="R227" s="14" t="s">
        <v>143</v>
      </c>
      <c r="S227" s="14">
        <v>2022</v>
      </c>
      <c r="T227" s="15">
        <v>44673</v>
      </c>
      <c r="U227" s="14" t="s">
        <v>2180</v>
      </c>
      <c r="V227" s="14"/>
      <c r="W227" s="14" t="s">
        <v>2181</v>
      </c>
      <c r="X227" s="4" t="e">
        <f>COUNTIF(#REF!,W227)</f>
        <v>#REF!</v>
      </c>
      <c r="Y227">
        <f t="shared" si="9"/>
        <v>228</v>
      </c>
      <c r="Z227">
        <f t="shared" si="10"/>
        <v>2</v>
      </c>
      <c r="AA227">
        <f t="shared" si="11"/>
        <v>0</v>
      </c>
    </row>
    <row r="228" spans="1:27" x14ac:dyDescent="0.3">
      <c r="A228" t="s">
        <v>2654</v>
      </c>
      <c r="B228" t="s">
        <v>1351</v>
      </c>
      <c r="C228">
        <v>36301211</v>
      </c>
      <c r="D228" t="s">
        <v>1446</v>
      </c>
      <c r="E228">
        <v>0</v>
      </c>
      <c r="F228" t="s">
        <v>1447</v>
      </c>
      <c r="G228">
        <v>42</v>
      </c>
      <c r="H228">
        <v>4</v>
      </c>
      <c r="J228">
        <v>3</v>
      </c>
      <c r="K228" t="s">
        <v>2183</v>
      </c>
      <c r="L228">
        <v>1</v>
      </c>
      <c r="M228" t="s">
        <v>2141</v>
      </c>
      <c r="N228" t="s">
        <v>2184</v>
      </c>
      <c r="O228" s="12" t="s">
        <v>2185</v>
      </c>
      <c r="P228" s="12" t="s">
        <v>2186</v>
      </c>
      <c r="Q228" s="12" t="s">
        <v>2187</v>
      </c>
      <c r="R228" s="12" t="s">
        <v>2188</v>
      </c>
      <c r="S228" s="12">
        <v>2022</v>
      </c>
      <c r="T228" s="13">
        <v>44861</v>
      </c>
      <c r="U228" s="12"/>
      <c r="V228" s="12"/>
      <c r="W228" s="12" t="s">
        <v>2189</v>
      </c>
      <c r="X228" t="e">
        <f>COUNTIF(#REF!,W228)</f>
        <v>#REF!</v>
      </c>
      <c r="Y228">
        <f t="shared" si="9"/>
        <v>42</v>
      </c>
      <c r="Z228">
        <f t="shared" si="10"/>
        <v>0</v>
      </c>
      <c r="AA228">
        <f t="shared" si="11"/>
        <v>0</v>
      </c>
    </row>
    <row r="229" spans="1:27" x14ac:dyDescent="0.3">
      <c r="A229" t="s">
        <v>2654</v>
      </c>
      <c r="B229" t="s">
        <v>1351</v>
      </c>
      <c r="C229">
        <v>35282740</v>
      </c>
      <c r="D229" t="s">
        <v>1448</v>
      </c>
      <c r="E229">
        <v>0</v>
      </c>
      <c r="F229" t="s">
        <v>1417</v>
      </c>
      <c r="G229">
        <v>164</v>
      </c>
      <c r="H229">
        <v>1</v>
      </c>
      <c r="J229">
        <v>1</v>
      </c>
      <c r="K229" t="s">
        <v>835</v>
      </c>
      <c r="L229">
        <v>1</v>
      </c>
      <c r="M229" t="s">
        <v>2031</v>
      </c>
      <c r="N229" t="s">
        <v>2191</v>
      </c>
      <c r="O229" s="12" t="s">
        <v>2192</v>
      </c>
      <c r="P229" s="12" t="s">
        <v>2193</v>
      </c>
      <c r="Q229" s="12" t="s">
        <v>2194</v>
      </c>
      <c r="R229" s="12" t="s">
        <v>2050</v>
      </c>
      <c r="S229" s="12">
        <v>2022</v>
      </c>
      <c r="T229" s="13">
        <v>44634</v>
      </c>
      <c r="U229" s="12"/>
      <c r="V229" s="12"/>
      <c r="W229" s="12" t="s">
        <v>2195</v>
      </c>
      <c r="X229" t="e">
        <f>COUNTIF(#REF!,W229)</f>
        <v>#REF!</v>
      </c>
      <c r="Y229">
        <f t="shared" si="9"/>
        <v>164</v>
      </c>
      <c r="Z229">
        <f t="shared" si="10"/>
        <v>1</v>
      </c>
      <c r="AA229">
        <f t="shared" si="11"/>
        <v>1</v>
      </c>
    </row>
    <row r="230" spans="1:27" x14ac:dyDescent="0.3">
      <c r="A230" t="s">
        <v>2654</v>
      </c>
      <c r="B230" t="s">
        <v>1351</v>
      </c>
      <c r="C230">
        <v>36840666</v>
      </c>
      <c r="D230" t="s">
        <v>1449</v>
      </c>
      <c r="E230">
        <v>0</v>
      </c>
      <c r="F230" t="s">
        <v>143</v>
      </c>
      <c r="G230">
        <v>237</v>
      </c>
      <c r="H230">
        <v>13</v>
      </c>
      <c r="L230">
        <v>1</v>
      </c>
      <c r="O230" s="12" t="s">
        <v>2197</v>
      </c>
      <c r="P230" s="12" t="s">
        <v>2198</v>
      </c>
      <c r="Q230" s="12" t="s">
        <v>2199</v>
      </c>
      <c r="R230" s="12" t="s">
        <v>1535</v>
      </c>
      <c r="S230" s="12">
        <v>2023</v>
      </c>
      <c r="T230" s="13">
        <v>44982</v>
      </c>
      <c r="U230" s="12"/>
      <c r="V230" s="12"/>
      <c r="W230" s="12" t="s">
        <v>2200</v>
      </c>
      <c r="X230" t="e">
        <f>COUNTIF(#REF!,W230)</f>
        <v>#REF!</v>
      </c>
      <c r="Y230">
        <f t="shared" si="9"/>
        <v>237</v>
      </c>
      <c r="Z230">
        <f t="shared" si="10"/>
        <v>2</v>
      </c>
      <c r="AA230">
        <f t="shared" si="11"/>
        <v>0</v>
      </c>
    </row>
    <row r="231" spans="1:27" x14ac:dyDescent="0.3">
      <c r="A231" t="s">
        <v>2654</v>
      </c>
      <c r="B231" t="s">
        <v>1351</v>
      </c>
      <c r="C231">
        <v>36515466</v>
      </c>
      <c r="D231" t="s">
        <v>1450</v>
      </c>
      <c r="E231">
        <v>0</v>
      </c>
      <c r="F231" t="s">
        <v>153</v>
      </c>
      <c r="G231">
        <v>337</v>
      </c>
      <c r="H231">
        <v>1</v>
      </c>
      <c r="J231">
        <v>1</v>
      </c>
      <c r="K231" t="s">
        <v>2202</v>
      </c>
      <c r="L231">
        <v>1</v>
      </c>
      <c r="N231" t="s">
        <v>2203</v>
      </c>
      <c r="O231" s="12" t="s">
        <v>2204</v>
      </c>
      <c r="P231" s="12" t="s">
        <v>2205</v>
      </c>
      <c r="Q231" s="12" t="s">
        <v>2206</v>
      </c>
      <c r="R231" s="12" t="s">
        <v>418</v>
      </c>
      <c r="S231" s="12">
        <v>2022</v>
      </c>
      <c r="T231" s="13">
        <v>44909</v>
      </c>
      <c r="U231" s="12"/>
      <c r="V231" s="12"/>
      <c r="W231" s="12" t="s">
        <v>2207</v>
      </c>
      <c r="X231" t="e">
        <f>COUNTIF(#REF!,W231)</f>
        <v>#REF!</v>
      </c>
      <c r="Y231">
        <f t="shared" si="9"/>
        <v>337</v>
      </c>
      <c r="Z231">
        <f t="shared" si="10"/>
        <v>3</v>
      </c>
      <c r="AA231">
        <f t="shared" si="11"/>
        <v>1</v>
      </c>
    </row>
    <row r="232" spans="1:27" x14ac:dyDescent="0.3">
      <c r="A232" t="s">
        <v>2654</v>
      </c>
      <c r="B232" t="s">
        <v>1351</v>
      </c>
      <c r="C232" s="4">
        <v>36632983</v>
      </c>
      <c r="D232" s="4" t="s">
        <v>1451</v>
      </c>
      <c r="E232" s="4">
        <v>0</v>
      </c>
      <c r="F232" s="4" t="s">
        <v>143</v>
      </c>
      <c r="G232" s="4">
        <f>(33+78)*10</f>
        <v>1110</v>
      </c>
      <c r="H232" s="4">
        <v>1</v>
      </c>
      <c r="J232" s="4"/>
      <c r="K232" s="4" t="s">
        <v>835</v>
      </c>
      <c r="L232" s="4">
        <v>1</v>
      </c>
      <c r="M232" s="4" t="s">
        <v>2209</v>
      </c>
      <c r="N232" s="4" t="s">
        <v>2210</v>
      </c>
      <c r="O232" s="14" t="s">
        <v>2211</v>
      </c>
      <c r="P232" s="14" t="s">
        <v>2212</v>
      </c>
      <c r="Q232" s="14" t="s">
        <v>2213</v>
      </c>
      <c r="R232" s="14" t="s">
        <v>2050</v>
      </c>
      <c r="S232" s="14">
        <v>2023</v>
      </c>
      <c r="T232" s="15">
        <v>44938</v>
      </c>
      <c r="U232" s="14" t="s">
        <v>2214</v>
      </c>
      <c r="V232" s="14"/>
      <c r="W232" s="14" t="s">
        <v>2215</v>
      </c>
      <c r="X232" s="4" t="e">
        <f>COUNTIF(#REF!,W232)</f>
        <v>#REF!</v>
      </c>
      <c r="Y232">
        <f t="shared" si="9"/>
        <v>1110</v>
      </c>
      <c r="Z232">
        <f t="shared" si="10"/>
        <v>11</v>
      </c>
      <c r="AA232">
        <f t="shared" si="11"/>
        <v>1</v>
      </c>
    </row>
    <row r="233" spans="1:27" x14ac:dyDescent="0.3">
      <c r="A233" t="s">
        <v>2654</v>
      </c>
      <c r="B233" t="s">
        <v>1351</v>
      </c>
      <c r="C233">
        <v>35863521</v>
      </c>
      <c r="D233" t="s">
        <v>1452</v>
      </c>
      <c r="E233">
        <v>0</v>
      </c>
      <c r="F233" t="s">
        <v>143</v>
      </c>
      <c r="G233">
        <f>20*5</f>
        <v>100</v>
      </c>
      <c r="H233">
        <v>3</v>
      </c>
      <c r="K233" t="s">
        <v>2217</v>
      </c>
      <c r="L233">
        <v>1</v>
      </c>
      <c r="M233" t="s">
        <v>2141</v>
      </c>
      <c r="O233" s="12" t="s">
        <v>2218</v>
      </c>
      <c r="P233" s="12" t="s">
        <v>2219</v>
      </c>
      <c r="Q233" s="12" t="s">
        <v>2220</v>
      </c>
      <c r="R233" s="12" t="s">
        <v>2028</v>
      </c>
      <c r="S233" s="12">
        <v>2022</v>
      </c>
      <c r="T233" s="13">
        <v>44763</v>
      </c>
      <c r="U233" s="12"/>
      <c r="V233" s="12"/>
      <c r="W233" s="12" t="s">
        <v>2221</v>
      </c>
      <c r="X233" t="e">
        <f>COUNTIF(#REF!,W233)</f>
        <v>#REF!</v>
      </c>
      <c r="Y233">
        <f t="shared" si="9"/>
        <v>100</v>
      </c>
      <c r="Z233">
        <f t="shared" si="10"/>
        <v>1</v>
      </c>
      <c r="AA233">
        <f t="shared" si="11"/>
        <v>0</v>
      </c>
    </row>
    <row r="234" spans="1:27" x14ac:dyDescent="0.3">
      <c r="A234" t="s">
        <v>2654</v>
      </c>
      <c r="B234" t="s">
        <v>1351</v>
      </c>
      <c r="C234">
        <v>36181119</v>
      </c>
      <c r="D234" t="s">
        <v>1453</v>
      </c>
      <c r="E234">
        <v>0</v>
      </c>
      <c r="F234" t="s">
        <v>143</v>
      </c>
      <c r="G234">
        <f>23*3*2</f>
        <v>138</v>
      </c>
      <c r="H234">
        <v>1</v>
      </c>
      <c r="J234">
        <v>1</v>
      </c>
      <c r="K234" t="s">
        <v>835</v>
      </c>
      <c r="L234">
        <v>1</v>
      </c>
      <c r="M234" t="s">
        <v>2223</v>
      </c>
      <c r="N234" t="s">
        <v>2224</v>
      </c>
      <c r="O234" s="12" t="s">
        <v>2225</v>
      </c>
      <c r="P234" s="12" t="s">
        <v>2226</v>
      </c>
      <c r="Q234" s="12" t="s">
        <v>2227</v>
      </c>
      <c r="R234" s="12" t="s">
        <v>372</v>
      </c>
      <c r="S234" s="12">
        <v>2022</v>
      </c>
      <c r="T234" s="13">
        <v>44835</v>
      </c>
      <c r="U234" s="12" t="s">
        <v>2228</v>
      </c>
      <c r="V234" s="12"/>
      <c r="W234" s="12" t="s">
        <v>2229</v>
      </c>
      <c r="X234" t="e">
        <f>COUNTIF(#REF!,W234)</f>
        <v>#REF!</v>
      </c>
      <c r="Y234">
        <f t="shared" si="9"/>
        <v>138</v>
      </c>
      <c r="Z234">
        <f t="shared" si="10"/>
        <v>1</v>
      </c>
      <c r="AA234">
        <f t="shared" si="11"/>
        <v>0</v>
      </c>
    </row>
    <row r="235" spans="1:27" x14ac:dyDescent="0.3">
      <c r="A235" t="s">
        <v>2654</v>
      </c>
      <c r="B235" t="s">
        <v>1351</v>
      </c>
      <c r="C235">
        <v>36419075</v>
      </c>
      <c r="D235" t="s">
        <v>1454</v>
      </c>
      <c r="E235">
        <v>0</v>
      </c>
      <c r="F235" t="s">
        <v>143</v>
      </c>
      <c r="G235">
        <f>234*3</f>
        <v>702</v>
      </c>
      <c r="H235">
        <v>1</v>
      </c>
      <c r="J235">
        <v>1</v>
      </c>
      <c r="K235" t="s">
        <v>2231</v>
      </c>
      <c r="L235">
        <v>2</v>
      </c>
      <c r="M235" t="s">
        <v>2232</v>
      </c>
      <c r="N235" t="s">
        <v>2233</v>
      </c>
      <c r="O235" s="12" t="s">
        <v>2234</v>
      </c>
      <c r="P235" s="12" t="s">
        <v>2235</v>
      </c>
      <c r="Q235" s="12" t="s">
        <v>2236</v>
      </c>
      <c r="R235" s="12" t="s">
        <v>454</v>
      </c>
      <c r="S235" s="12">
        <v>2022</v>
      </c>
      <c r="T235" s="13">
        <v>44889</v>
      </c>
      <c r="U235" s="12" t="s">
        <v>2237</v>
      </c>
      <c r="V235" s="12"/>
      <c r="W235" s="12" t="s">
        <v>2238</v>
      </c>
      <c r="X235" t="e">
        <f>COUNTIF(#REF!,W235)</f>
        <v>#REF!</v>
      </c>
      <c r="Y235">
        <f t="shared" si="9"/>
        <v>1404</v>
      </c>
      <c r="Z235">
        <f t="shared" si="10"/>
        <v>14</v>
      </c>
      <c r="AA235">
        <f t="shared" si="11"/>
        <v>1</v>
      </c>
    </row>
    <row r="236" spans="1:27" x14ac:dyDescent="0.3">
      <c r="A236" t="s">
        <v>2654</v>
      </c>
      <c r="B236" t="s">
        <v>1351</v>
      </c>
      <c r="C236">
        <v>36692938</v>
      </c>
      <c r="D236" t="s">
        <v>1455</v>
      </c>
      <c r="E236">
        <v>0</v>
      </c>
      <c r="F236" t="s">
        <v>1456</v>
      </c>
      <c r="G236">
        <f>36*3</f>
        <v>108</v>
      </c>
      <c r="H236">
        <v>1</v>
      </c>
      <c r="J236">
        <v>1</v>
      </c>
      <c r="K236" t="s">
        <v>835</v>
      </c>
      <c r="L236">
        <v>1</v>
      </c>
      <c r="M236" t="s">
        <v>1734</v>
      </c>
      <c r="N236" t="s">
        <v>2240</v>
      </c>
      <c r="O236" s="12" t="s">
        <v>2241</v>
      </c>
      <c r="P236" s="12" t="s">
        <v>2242</v>
      </c>
      <c r="Q236" s="12" t="s">
        <v>2243</v>
      </c>
      <c r="R236" s="12" t="s">
        <v>1571</v>
      </c>
      <c r="S236" s="12">
        <v>2023</v>
      </c>
      <c r="T236" s="13">
        <v>44950</v>
      </c>
      <c r="U236" s="12"/>
      <c r="V236" s="12"/>
      <c r="W236" s="12" t="s">
        <v>2244</v>
      </c>
      <c r="X236" t="e">
        <f>COUNTIF(#REF!,W236)</f>
        <v>#REF!</v>
      </c>
      <c r="Y236">
        <f t="shared" si="9"/>
        <v>108</v>
      </c>
      <c r="Z236">
        <f t="shared" si="10"/>
        <v>1</v>
      </c>
      <c r="AA236">
        <f t="shared" si="11"/>
        <v>0</v>
      </c>
    </row>
    <row r="237" spans="1:27" x14ac:dyDescent="0.3">
      <c r="A237" t="s">
        <v>2654</v>
      </c>
      <c r="B237" t="s">
        <v>1351</v>
      </c>
      <c r="C237">
        <v>36911361</v>
      </c>
      <c r="D237" t="s">
        <v>1457</v>
      </c>
      <c r="E237">
        <v>0</v>
      </c>
      <c r="F237" t="s">
        <v>143</v>
      </c>
      <c r="G237">
        <v>1521</v>
      </c>
      <c r="H237">
        <v>4</v>
      </c>
      <c r="K237" t="s">
        <v>2246</v>
      </c>
      <c r="L237">
        <v>2</v>
      </c>
      <c r="M237" t="s">
        <v>2247</v>
      </c>
      <c r="O237" s="12" t="s">
        <v>2248</v>
      </c>
      <c r="P237" s="12" t="s">
        <v>2249</v>
      </c>
      <c r="Q237" s="12" t="s">
        <v>2250</v>
      </c>
      <c r="R237" s="12" t="s">
        <v>1869</v>
      </c>
      <c r="S237" s="12">
        <v>2023</v>
      </c>
      <c r="T237" s="13">
        <v>44998</v>
      </c>
      <c r="U237" s="12" t="s">
        <v>2251</v>
      </c>
      <c r="V237" s="12"/>
      <c r="W237" s="12" t="s">
        <v>2252</v>
      </c>
      <c r="X237" t="e">
        <f>COUNTIF(#REF!,W237)</f>
        <v>#REF!</v>
      </c>
      <c r="Y237">
        <f t="shared" si="9"/>
        <v>3042</v>
      </c>
      <c r="Z237">
        <f t="shared" si="10"/>
        <v>31</v>
      </c>
      <c r="AA237">
        <f t="shared" si="11"/>
        <v>1</v>
      </c>
    </row>
    <row r="238" spans="1:27" x14ac:dyDescent="0.3">
      <c r="A238" t="s">
        <v>2654</v>
      </c>
      <c r="B238" t="s">
        <v>1351</v>
      </c>
      <c r="C238">
        <v>36409153</v>
      </c>
      <c r="D238" t="s">
        <v>1458</v>
      </c>
      <c r="E238">
        <v>1</v>
      </c>
      <c r="F238" t="s">
        <v>143</v>
      </c>
      <c r="G238">
        <v>103</v>
      </c>
      <c r="H238">
        <v>4</v>
      </c>
      <c r="J238">
        <v>2</v>
      </c>
      <c r="K238" t="s">
        <v>2254</v>
      </c>
      <c r="L238">
        <v>2</v>
      </c>
      <c r="M238" t="s">
        <v>2255</v>
      </c>
      <c r="N238" t="s">
        <v>2256</v>
      </c>
      <c r="O238" s="12" t="s">
        <v>2257</v>
      </c>
      <c r="P238" s="12" t="s">
        <v>2258</v>
      </c>
      <c r="Q238" s="12" t="s">
        <v>2259</v>
      </c>
      <c r="R238" s="12" t="s">
        <v>1571</v>
      </c>
      <c r="S238" s="12">
        <v>2023</v>
      </c>
      <c r="T238" s="13">
        <v>44886</v>
      </c>
      <c r="U238" s="12"/>
      <c r="V238" s="12"/>
      <c r="W238" s="12" t="s">
        <v>2260</v>
      </c>
      <c r="X238" t="e">
        <f>COUNTIF(#REF!,W238)</f>
        <v>#REF!</v>
      </c>
      <c r="Y238">
        <f t="shared" si="9"/>
        <v>206</v>
      </c>
      <c r="Z238">
        <f t="shared" si="10"/>
        <v>2</v>
      </c>
      <c r="AA238">
        <f t="shared" si="11"/>
        <v>0</v>
      </c>
    </row>
    <row r="239" spans="1:27" x14ac:dyDescent="0.3">
      <c r="A239" t="s">
        <v>2654</v>
      </c>
      <c r="B239" t="s">
        <v>1351</v>
      </c>
      <c r="C239">
        <v>35490364</v>
      </c>
      <c r="D239" t="s">
        <v>1459</v>
      </c>
      <c r="E239">
        <v>0</v>
      </c>
      <c r="F239" t="s">
        <v>143</v>
      </c>
      <c r="G239">
        <f>19*2</f>
        <v>38</v>
      </c>
      <c r="H239">
        <v>1</v>
      </c>
      <c r="K239" t="s">
        <v>835</v>
      </c>
      <c r="L239">
        <v>2</v>
      </c>
      <c r="M239" t="s">
        <v>2223</v>
      </c>
      <c r="N239" t="s">
        <v>2262</v>
      </c>
      <c r="O239" s="12" t="s">
        <v>2263</v>
      </c>
      <c r="P239" s="12" t="s">
        <v>2264</v>
      </c>
      <c r="Q239" s="12" t="s">
        <v>2265</v>
      </c>
      <c r="R239" s="12" t="s">
        <v>2266</v>
      </c>
      <c r="S239" s="12">
        <v>2022</v>
      </c>
      <c r="T239" s="13">
        <v>44682</v>
      </c>
      <c r="U239" s="12" t="s">
        <v>2267</v>
      </c>
      <c r="V239" s="12"/>
      <c r="W239" s="12" t="s">
        <v>2268</v>
      </c>
      <c r="X239" t="e">
        <f>COUNTIF(#REF!,W239)</f>
        <v>#REF!</v>
      </c>
      <c r="Y239">
        <f t="shared" si="9"/>
        <v>76</v>
      </c>
      <c r="Z239">
        <f t="shared" si="10"/>
        <v>0</v>
      </c>
      <c r="AA239">
        <f t="shared" si="11"/>
        <v>1</v>
      </c>
    </row>
    <row r="240" spans="1:27" x14ac:dyDescent="0.3">
      <c r="A240" t="s">
        <v>2654</v>
      </c>
      <c r="B240" t="s">
        <v>1351</v>
      </c>
      <c r="C240">
        <v>35166073</v>
      </c>
      <c r="D240" t="s">
        <v>1460</v>
      </c>
      <c r="E240">
        <v>0</v>
      </c>
      <c r="F240" t="s">
        <v>153</v>
      </c>
      <c r="G240">
        <v>23</v>
      </c>
      <c r="H240">
        <v>1</v>
      </c>
      <c r="K240" t="s">
        <v>2270</v>
      </c>
      <c r="L240">
        <v>1</v>
      </c>
      <c r="M240" t="s">
        <v>2271</v>
      </c>
      <c r="N240" t="s">
        <v>2272</v>
      </c>
      <c r="O240" s="12" t="s">
        <v>2273</v>
      </c>
      <c r="P240" s="12" t="s">
        <v>2274</v>
      </c>
      <c r="Q240" s="12" t="s">
        <v>2275</v>
      </c>
      <c r="R240" s="12" t="s">
        <v>914</v>
      </c>
      <c r="S240" s="12">
        <v>2022</v>
      </c>
      <c r="T240" s="13">
        <v>44607</v>
      </c>
      <c r="U240" s="12" t="s">
        <v>2276</v>
      </c>
      <c r="V240" s="12"/>
      <c r="W240" s="12" t="s">
        <v>2277</v>
      </c>
      <c r="X240" t="e">
        <f>COUNTIF(#REF!,W240)</f>
        <v>#REF!</v>
      </c>
      <c r="Y240">
        <f t="shared" si="9"/>
        <v>23</v>
      </c>
      <c r="Z240">
        <f t="shared" si="10"/>
        <v>0</v>
      </c>
      <c r="AA240">
        <f t="shared" si="11"/>
        <v>0</v>
      </c>
    </row>
    <row r="241" spans="1:27" x14ac:dyDescent="0.3">
      <c r="A241" t="s">
        <v>2654</v>
      </c>
      <c r="B241" t="s">
        <v>1351</v>
      </c>
      <c r="C241">
        <v>36525477</v>
      </c>
      <c r="D241" t="s">
        <v>1461</v>
      </c>
      <c r="E241">
        <v>0</v>
      </c>
      <c r="F241" t="s">
        <v>153</v>
      </c>
      <c r="G241">
        <f>152*2</f>
        <v>304</v>
      </c>
      <c r="H241">
        <v>1</v>
      </c>
      <c r="K241" t="s">
        <v>1771</v>
      </c>
      <c r="L241">
        <v>1</v>
      </c>
      <c r="M241" t="s">
        <v>2279</v>
      </c>
      <c r="O241" s="12" t="s">
        <v>2280</v>
      </c>
      <c r="P241" s="12" t="s">
        <v>2281</v>
      </c>
      <c r="Q241" s="12" t="s">
        <v>1818</v>
      </c>
      <c r="R241" s="12" t="s">
        <v>1707</v>
      </c>
      <c r="S241" s="12">
        <v>2023</v>
      </c>
      <c r="T241" s="13">
        <v>44911</v>
      </c>
      <c r="U241" s="12" t="s">
        <v>2282</v>
      </c>
      <c r="V241" s="12"/>
      <c r="W241" s="12" t="s">
        <v>2283</v>
      </c>
      <c r="X241" t="e">
        <f>COUNTIF(#REF!,W241)</f>
        <v>#REF!</v>
      </c>
      <c r="Y241">
        <f t="shared" si="9"/>
        <v>304</v>
      </c>
      <c r="Z241">
        <f t="shared" si="10"/>
        <v>3</v>
      </c>
      <c r="AA241">
        <f t="shared" si="11"/>
        <v>0</v>
      </c>
    </row>
    <row r="242" spans="1:27" x14ac:dyDescent="0.3">
      <c r="A242" t="s">
        <v>2654</v>
      </c>
      <c r="B242" t="s">
        <v>1351</v>
      </c>
      <c r="C242">
        <v>36074638</v>
      </c>
      <c r="D242" t="s">
        <v>1462</v>
      </c>
      <c r="E242">
        <v>0</v>
      </c>
      <c r="F242" t="s">
        <v>143</v>
      </c>
      <c r="G242">
        <v>234</v>
      </c>
      <c r="H242">
        <v>3</v>
      </c>
      <c r="J242">
        <v>2</v>
      </c>
      <c r="K242" t="s">
        <v>2285</v>
      </c>
      <c r="L242">
        <v>1</v>
      </c>
      <c r="M242" t="s">
        <v>2286</v>
      </c>
      <c r="N242" t="s">
        <v>2287</v>
      </c>
      <c r="O242" s="12" t="s">
        <v>2288</v>
      </c>
      <c r="P242" s="12" t="s">
        <v>2289</v>
      </c>
      <c r="Q242" s="12" t="s">
        <v>2290</v>
      </c>
      <c r="R242" s="12" t="s">
        <v>1999</v>
      </c>
      <c r="S242" s="12">
        <v>2022</v>
      </c>
      <c r="T242" s="13">
        <v>44812</v>
      </c>
      <c r="U242" s="12" t="s">
        <v>2291</v>
      </c>
      <c r="V242" s="12"/>
      <c r="W242" s="12" t="s">
        <v>2292</v>
      </c>
      <c r="X242" t="e">
        <f>COUNTIF(#REF!,W242)</f>
        <v>#REF!</v>
      </c>
      <c r="Y242">
        <f t="shared" si="9"/>
        <v>234</v>
      </c>
      <c r="Z242">
        <f t="shared" si="10"/>
        <v>2</v>
      </c>
      <c r="AA242">
        <f t="shared" si="11"/>
        <v>0</v>
      </c>
    </row>
    <row r="243" spans="1:27" x14ac:dyDescent="0.3">
      <c r="A243" t="s">
        <v>2654</v>
      </c>
      <c r="B243" t="s">
        <v>1351</v>
      </c>
      <c r="C243">
        <v>36259456</v>
      </c>
      <c r="D243" t="s">
        <v>1463</v>
      </c>
      <c r="E243">
        <v>0</v>
      </c>
      <c r="F243" t="s">
        <v>143</v>
      </c>
      <c r="G243">
        <f>22*6</f>
        <v>132</v>
      </c>
      <c r="H243">
        <v>2</v>
      </c>
      <c r="J243">
        <v>1</v>
      </c>
      <c r="K243" t="s">
        <v>1695</v>
      </c>
      <c r="L243">
        <v>1</v>
      </c>
      <c r="M243" t="s">
        <v>1957</v>
      </c>
      <c r="N243" t="s">
        <v>2294</v>
      </c>
      <c r="O243" s="12" t="s">
        <v>2295</v>
      </c>
      <c r="P243" s="12" t="s">
        <v>2296</v>
      </c>
      <c r="Q243" s="12" t="s">
        <v>2297</v>
      </c>
      <c r="R243" s="12" t="s">
        <v>2063</v>
      </c>
      <c r="S243" s="12">
        <v>2022</v>
      </c>
      <c r="T243" s="13">
        <v>44853</v>
      </c>
      <c r="U243" s="12"/>
      <c r="V243" s="12"/>
      <c r="W243" s="12" t="s">
        <v>2298</v>
      </c>
      <c r="X243" t="e">
        <f>COUNTIF(#REF!,W243)</f>
        <v>#REF!</v>
      </c>
      <c r="Y243">
        <f t="shared" si="9"/>
        <v>132</v>
      </c>
      <c r="Z243">
        <f t="shared" si="10"/>
        <v>1</v>
      </c>
      <c r="AA243">
        <f t="shared" si="11"/>
        <v>0</v>
      </c>
    </row>
    <row r="244" spans="1:27" x14ac:dyDescent="0.3">
      <c r="A244" t="s">
        <v>2654</v>
      </c>
      <c r="B244" t="s">
        <v>1351</v>
      </c>
      <c r="C244">
        <v>36362248</v>
      </c>
      <c r="D244" t="s">
        <v>1464</v>
      </c>
      <c r="E244">
        <v>0</v>
      </c>
      <c r="F244" t="s">
        <v>143</v>
      </c>
      <c r="G244">
        <f>110*2</f>
        <v>220</v>
      </c>
      <c r="H244">
        <v>2</v>
      </c>
      <c r="J244">
        <v>0</v>
      </c>
      <c r="K244" t="s">
        <v>1695</v>
      </c>
      <c r="L244">
        <v>2</v>
      </c>
      <c r="M244" t="s">
        <v>2300</v>
      </c>
      <c r="O244" s="12" t="s">
        <v>2301</v>
      </c>
      <c r="P244" s="12" t="s">
        <v>2302</v>
      </c>
      <c r="Q244" s="12" t="s">
        <v>2303</v>
      </c>
      <c r="R244" s="12" t="s">
        <v>168</v>
      </c>
      <c r="S244" s="12">
        <v>2022</v>
      </c>
      <c r="T244" s="13">
        <v>44876</v>
      </c>
      <c r="U244" s="12" t="s">
        <v>2304</v>
      </c>
      <c r="V244" s="12"/>
      <c r="W244" s="12" t="s">
        <v>2305</v>
      </c>
      <c r="X244" t="e">
        <f>COUNTIF(#REF!,W244)</f>
        <v>#REF!</v>
      </c>
      <c r="Y244">
        <f t="shared" si="9"/>
        <v>440</v>
      </c>
      <c r="Z244">
        <f t="shared" si="10"/>
        <v>4</v>
      </c>
      <c r="AA244">
        <f t="shared" si="11"/>
        <v>1</v>
      </c>
    </row>
    <row r="245" spans="1:27" x14ac:dyDescent="0.3">
      <c r="A245" t="s">
        <v>2654</v>
      </c>
      <c r="B245" t="s">
        <v>1351</v>
      </c>
      <c r="C245">
        <v>36574591</v>
      </c>
      <c r="D245" t="s">
        <v>1465</v>
      </c>
      <c r="E245">
        <v>0</v>
      </c>
      <c r="F245" t="s">
        <v>143</v>
      </c>
      <c r="G245">
        <f>(80+40+29)+225</f>
        <v>374</v>
      </c>
      <c r="H245">
        <v>5</v>
      </c>
      <c r="J245">
        <v>5</v>
      </c>
      <c r="K245" t="s">
        <v>2307</v>
      </c>
      <c r="L245">
        <v>1</v>
      </c>
      <c r="M245" t="s">
        <v>2308</v>
      </c>
      <c r="N245" t="s">
        <v>2309</v>
      </c>
      <c r="O245" s="12" t="s">
        <v>2310</v>
      </c>
      <c r="P245" s="12" t="s">
        <v>2311</v>
      </c>
      <c r="Q245" s="12" t="s">
        <v>2312</v>
      </c>
      <c r="R245" s="12" t="s">
        <v>1535</v>
      </c>
      <c r="S245" s="12">
        <v>2023</v>
      </c>
      <c r="T245" s="13">
        <v>44922</v>
      </c>
      <c r="U245" s="12"/>
      <c r="V245" s="12"/>
      <c r="W245" s="12" t="s">
        <v>2313</v>
      </c>
      <c r="X245" t="e">
        <f>COUNTIF(#REF!,W245)</f>
        <v>#REF!</v>
      </c>
      <c r="Y245">
        <f t="shared" si="9"/>
        <v>374</v>
      </c>
      <c r="Z245">
        <f t="shared" si="10"/>
        <v>3</v>
      </c>
      <c r="AA245">
        <f t="shared" si="11"/>
        <v>1</v>
      </c>
    </row>
    <row r="246" spans="1:27" x14ac:dyDescent="0.3">
      <c r="A246" t="s">
        <v>2654</v>
      </c>
      <c r="B246" t="s">
        <v>1351</v>
      </c>
      <c r="C246">
        <v>36411079</v>
      </c>
      <c r="D246" t="s">
        <v>1466</v>
      </c>
      <c r="E246" t="s">
        <v>1367</v>
      </c>
      <c r="F246" t="s">
        <v>143</v>
      </c>
      <c r="G246">
        <f>4*(19+22+25)</f>
        <v>264</v>
      </c>
      <c r="H246">
        <v>8</v>
      </c>
      <c r="J246">
        <v>2</v>
      </c>
      <c r="K246" t="s">
        <v>2315</v>
      </c>
      <c r="L246">
        <v>5</v>
      </c>
      <c r="M246" t="s">
        <v>2316</v>
      </c>
      <c r="O246" s="12" t="s">
        <v>2317</v>
      </c>
      <c r="P246" s="12" t="s">
        <v>2318</v>
      </c>
      <c r="Q246" s="12" t="s">
        <v>2319</v>
      </c>
      <c r="R246" s="12" t="s">
        <v>2320</v>
      </c>
      <c r="S246" s="12">
        <v>2022</v>
      </c>
      <c r="T246" s="13">
        <v>44886</v>
      </c>
      <c r="U246" s="12" t="s">
        <v>2321</v>
      </c>
      <c r="V246" s="12"/>
      <c r="W246" s="12" t="s">
        <v>2322</v>
      </c>
      <c r="X246" t="e">
        <f>COUNTIF(#REF!,W246)</f>
        <v>#REF!</v>
      </c>
      <c r="Y246">
        <f t="shared" si="9"/>
        <v>1320</v>
      </c>
      <c r="Z246">
        <f t="shared" si="10"/>
        <v>13</v>
      </c>
      <c r="AA246">
        <f t="shared" si="11"/>
        <v>1</v>
      </c>
    </row>
    <row r="247" spans="1:27" x14ac:dyDescent="0.3">
      <c r="A247" t="s">
        <v>2654</v>
      </c>
      <c r="B247" t="s">
        <v>1351</v>
      </c>
      <c r="C247">
        <v>36778243</v>
      </c>
      <c r="D247" t="s">
        <v>1467</v>
      </c>
      <c r="E247">
        <v>0</v>
      </c>
      <c r="F247" t="s">
        <v>143</v>
      </c>
      <c r="G247">
        <v>1016</v>
      </c>
      <c r="H247">
        <v>4</v>
      </c>
      <c r="J247">
        <v>1</v>
      </c>
      <c r="K247" t="s">
        <v>2324</v>
      </c>
      <c r="L247">
        <v>2</v>
      </c>
      <c r="M247" t="s">
        <v>2325</v>
      </c>
      <c r="N247" t="s">
        <v>2326</v>
      </c>
      <c r="O247" s="12" t="s">
        <v>2327</v>
      </c>
      <c r="P247" s="12" t="s">
        <v>2328</v>
      </c>
      <c r="Q247" s="12" t="s">
        <v>2329</v>
      </c>
      <c r="R247" s="12" t="s">
        <v>291</v>
      </c>
      <c r="S247" s="12">
        <v>2023</v>
      </c>
      <c r="T247" s="13">
        <v>44970</v>
      </c>
      <c r="U247" s="12" t="s">
        <v>2330</v>
      </c>
      <c r="V247" s="12"/>
      <c r="W247" s="12" t="s">
        <v>2331</v>
      </c>
      <c r="X247" t="e">
        <f>COUNTIF(#REF!,W247)</f>
        <v>#REF!</v>
      </c>
      <c r="Y247">
        <f t="shared" si="9"/>
        <v>2032</v>
      </c>
      <c r="Z247">
        <f t="shared" si="10"/>
        <v>21</v>
      </c>
      <c r="AA247">
        <f t="shared" si="11"/>
        <v>0</v>
      </c>
    </row>
    <row r="248" spans="1:27" x14ac:dyDescent="0.3">
      <c r="A248" t="s">
        <v>2654</v>
      </c>
      <c r="B248" t="s">
        <v>1351</v>
      </c>
      <c r="C248">
        <v>36461134</v>
      </c>
      <c r="D248" t="s">
        <v>1468</v>
      </c>
      <c r="E248">
        <v>0</v>
      </c>
      <c r="F248" t="s">
        <v>143</v>
      </c>
      <c r="G248">
        <f>26*3*2</f>
        <v>156</v>
      </c>
      <c r="H248">
        <v>3</v>
      </c>
      <c r="K248" t="s">
        <v>2333</v>
      </c>
      <c r="L248">
        <v>1</v>
      </c>
      <c r="M248" t="s">
        <v>2334</v>
      </c>
      <c r="N248" t="s">
        <v>2335</v>
      </c>
      <c r="O248" s="12" t="s">
        <v>2336</v>
      </c>
      <c r="P248" s="12" t="s">
        <v>2337</v>
      </c>
      <c r="Q248" s="12" t="s">
        <v>2338</v>
      </c>
      <c r="R248" s="12" t="s">
        <v>2339</v>
      </c>
      <c r="S248" s="12">
        <v>2022</v>
      </c>
      <c r="T248" s="13">
        <v>44897</v>
      </c>
      <c r="U248" s="12" t="s">
        <v>2340</v>
      </c>
      <c r="V248" s="12"/>
      <c r="W248" s="12" t="s">
        <v>2341</v>
      </c>
      <c r="X248" t="e">
        <f>COUNTIF(#REF!,W248)</f>
        <v>#REF!</v>
      </c>
      <c r="Y248">
        <f t="shared" si="9"/>
        <v>156</v>
      </c>
      <c r="Z248">
        <f t="shared" si="10"/>
        <v>1</v>
      </c>
      <c r="AA248">
        <f t="shared" si="11"/>
        <v>1</v>
      </c>
    </row>
    <row r="249" spans="1:27" x14ac:dyDescent="0.3">
      <c r="A249" t="s">
        <v>2654</v>
      </c>
      <c r="B249" t="s">
        <v>1351</v>
      </c>
      <c r="C249">
        <v>36922526</v>
      </c>
      <c r="D249" t="s">
        <v>1469</v>
      </c>
      <c r="E249">
        <v>0</v>
      </c>
      <c r="F249" t="s">
        <v>1470</v>
      </c>
      <c r="G249">
        <f>(73+100+58+15+29+28)</f>
        <v>303</v>
      </c>
      <c r="H249">
        <v>5</v>
      </c>
      <c r="J249">
        <v>2</v>
      </c>
      <c r="K249" t="s">
        <v>2343</v>
      </c>
      <c r="L249">
        <v>2</v>
      </c>
      <c r="M249" t="s">
        <v>2344</v>
      </c>
      <c r="N249" t="s">
        <v>2345</v>
      </c>
      <c r="O249" s="12" t="s">
        <v>2346</v>
      </c>
      <c r="P249" s="12" t="s">
        <v>2347</v>
      </c>
      <c r="Q249" s="12" t="s">
        <v>2348</v>
      </c>
      <c r="R249" s="12" t="s">
        <v>2091</v>
      </c>
      <c r="S249" s="12">
        <v>2023</v>
      </c>
      <c r="T249" s="13">
        <v>45001</v>
      </c>
      <c r="U249" s="12" t="s">
        <v>2349</v>
      </c>
      <c r="V249" s="12"/>
      <c r="W249" s="12" t="s">
        <v>2350</v>
      </c>
      <c r="X249" t="e">
        <f>COUNTIF(#REF!,W249)</f>
        <v>#REF!</v>
      </c>
      <c r="Y249">
        <f t="shared" si="9"/>
        <v>606</v>
      </c>
      <c r="Z249">
        <f t="shared" si="10"/>
        <v>6</v>
      </c>
      <c r="AA249">
        <f t="shared" si="11"/>
        <v>0</v>
      </c>
    </row>
    <row r="250" spans="1:27" x14ac:dyDescent="0.3">
      <c r="A250" t="s">
        <v>2654</v>
      </c>
      <c r="B250" t="s">
        <v>1351</v>
      </c>
      <c r="C250">
        <v>36624182</v>
      </c>
      <c r="D250" t="s">
        <v>1471</v>
      </c>
      <c r="E250">
        <v>0</v>
      </c>
      <c r="F250" t="s">
        <v>143</v>
      </c>
      <c r="G250">
        <f>2*(71+28)</f>
        <v>198</v>
      </c>
      <c r="H250">
        <v>1</v>
      </c>
      <c r="K250" t="s">
        <v>835</v>
      </c>
      <c r="L250">
        <v>2</v>
      </c>
      <c r="M250" t="s">
        <v>2351</v>
      </c>
      <c r="N250" t="s">
        <v>2352</v>
      </c>
      <c r="O250" s="12" t="s">
        <v>2353</v>
      </c>
      <c r="P250" s="12" t="s">
        <v>2354</v>
      </c>
      <c r="Q250" s="12" t="s">
        <v>2355</v>
      </c>
      <c r="R250" s="12" t="s">
        <v>1819</v>
      </c>
      <c r="S250" s="12">
        <v>2023</v>
      </c>
      <c r="T250" s="13">
        <v>44935</v>
      </c>
      <c r="U250" s="12" t="s">
        <v>2356</v>
      </c>
      <c r="V250" s="12"/>
      <c r="W250" s="12" t="s">
        <v>2357</v>
      </c>
      <c r="X250" t="e">
        <f>COUNTIF(#REF!,W250)</f>
        <v>#REF!</v>
      </c>
      <c r="Y250">
        <f t="shared" si="9"/>
        <v>396</v>
      </c>
      <c r="Z250">
        <f t="shared" si="10"/>
        <v>4</v>
      </c>
      <c r="AA250">
        <f t="shared" si="11"/>
        <v>0</v>
      </c>
    </row>
    <row r="251" spans="1:27" x14ac:dyDescent="0.3">
      <c r="A251" t="s">
        <v>2654</v>
      </c>
      <c r="B251" t="s">
        <v>1351</v>
      </c>
      <c r="C251">
        <v>36909535</v>
      </c>
      <c r="D251" t="s">
        <v>1472</v>
      </c>
      <c r="E251">
        <v>0</v>
      </c>
      <c r="F251" t="s">
        <v>1405</v>
      </c>
      <c r="G251">
        <f>16*2</f>
        <v>32</v>
      </c>
      <c r="H251">
        <v>1</v>
      </c>
      <c r="K251" t="s">
        <v>835</v>
      </c>
      <c r="L251">
        <v>2</v>
      </c>
      <c r="M251" t="s">
        <v>2359</v>
      </c>
      <c r="N251" t="s">
        <v>2360</v>
      </c>
      <c r="O251" s="12" t="s">
        <v>2361</v>
      </c>
      <c r="P251" s="12" t="s">
        <v>2362</v>
      </c>
      <c r="Q251" s="12" t="s">
        <v>2363</v>
      </c>
      <c r="R251" s="12" t="s">
        <v>1263</v>
      </c>
      <c r="S251" s="12">
        <v>2023</v>
      </c>
      <c r="T251" s="13">
        <v>44998</v>
      </c>
      <c r="U251" s="12" t="s">
        <v>2364</v>
      </c>
      <c r="V251" s="12"/>
      <c r="W251" s="12" t="s">
        <v>2365</v>
      </c>
      <c r="X251" t="e">
        <f>COUNTIF(#REF!,W251)</f>
        <v>#REF!</v>
      </c>
      <c r="Y251">
        <f t="shared" si="9"/>
        <v>64</v>
      </c>
      <c r="Z251">
        <f t="shared" si="10"/>
        <v>0</v>
      </c>
      <c r="AA251">
        <f t="shared" si="11"/>
        <v>1</v>
      </c>
    </row>
    <row r="252" spans="1:27" x14ac:dyDescent="0.3">
      <c r="A252" t="s">
        <v>2654</v>
      </c>
      <c r="B252" t="s">
        <v>1351</v>
      </c>
      <c r="C252">
        <v>36280258</v>
      </c>
      <c r="D252" t="s">
        <v>1473</v>
      </c>
      <c r="E252">
        <f>SUM(E247:E251)</f>
        <v>0</v>
      </c>
      <c r="F252" t="s">
        <v>143</v>
      </c>
      <c r="G252">
        <v>107</v>
      </c>
      <c r="H252">
        <v>1</v>
      </c>
      <c r="K252" t="s">
        <v>835</v>
      </c>
      <c r="L252">
        <v>2</v>
      </c>
      <c r="M252" t="s">
        <v>2366</v>
      </c>
      <c r="N252" t="s">
        <v>2367</v>
      </c>
      <c r="O252" s="12" t="s">
        <v>2368</v>
      </c>
      <c r="P252" s="12" t="s">
        <v>2369</v>
      </c>
      <c r="Q252" s="12" t="s">
        <v>2370</v>
      </c>
      <c r="R252" s="12" t="s">
        <v>2320</v>
      </c>
      <c r="S252" s="12">
        <v>2022</v>
      </c>
      <c r="T252" s="13">
        <v>44858</v>
      </c>
      <c r="U252" s="12" t="s">
        <v>2371</v>
      </c>
      <c r="V252" s="12"/>
      <c r="W252" s="12" t="s">
        <v>2372</v>
      </c>
      <c r="X252" t="e">
        <f>COUNTIF(#REF!,W252)</f>
        <v>#REF!</v>
      </c>
      <c r="Y252">
        <f t="shared" si="9"/>
        <v>214</v>
      </c>
      <c r="Z252">
        <f t="shared" si="10"/>
        <v>2</v>
      </c>
      <c r="AA252">
        <f t="shared" si="11"/>
        <v>0</v>
      </c>
    </row>
    <row r="253" spans="1:27" x14ac:dyDescent="0.3">
      <c r="A253" t="s">
        <v>2654</v>
      </c>
      <c r="B253" t="s">
        <v>1351</v>
      </c>
      <c r="C253">
        <v>36805176</v>
      </c>
      <c r="D253" t="s">
        <v>1474</v>
      </c>
      <c r="E253">
        <v>0</v>
      </c>
      <c r="F253" t="s">
        <v>1381</v>
      </c>
      <c r="G253">
        <f>70</f>
        <v>70</v>
      </c>
      <c r="H253">
        <v>1</v>
      </c>
      <c r="J253">
        <v>1</v>
      </c>
      <c r="K253" t="s">
        <v>2374</v>
      </c>
      <c r="L253">
        <v>2</v>
      </c>
      <c r="M253" t="s">
        <v>2375</v>
      </c>
      <c r="N253" t="s">
        <v>2376</v>
      </c>
      <c r="O253" s="12" t="s">
        <v>2377</v>
      </c>
      <c r="P253" s="12" t="s">
        <v>2378</v>
      </c>
      <c r="Q253" s="12" t="s">
        <v>2123</v>
      </c>
      <c r="R253" s="12" t="s">
        <v>1660</v>
      </c>
      <c r="S253" s="12">
        <v>2023</v>
      </c>
      <c r="T253" s="13">
        <v>44979</v>
      </c>
      <c r="U253" s="12"/>
      <c r="V253" s="12"/>
      <c r="W253" s="12" t="s">
        <v>2379</v>
      </c>
      <c r="X253" t="e">
        <f>COUNTIF(#REF!,W253)</f>
        <v>#REF!</v>
      </c>
      <c r="Y253">
        <f t="shared" si="9"/>
        <v>140</v>
      </c>
      <c r="Z253">
        <f t="shared" si="10"/>
        <v>1</v>
      </c>
      <c r="AA253">
        <f t="shared" si="11"/>
        <v>0</v>
      </c>
    </row>
    <row r="254" spans="1:27" x14ac:dyDescent="0.3">
      <c r="A254" t="s">
        <v>2654</v>
      </c>
      <c r="B254" t="s">
        <v>1351</v>
      </c>
      <c r="C254">
        <v>36709509</v>
      </c>
      <c r="D254" t="s">
        <v>1475</v>
      </c>
      <c r="E254">
        <v>1</v>
      </c>
      <c r="F254" t="s">
        <v>44</v>
      </c>
      <c r="G254">
        <f>120*2</f>
        <v>240</v>
      </c>
      <c r="H254">
        <v>1</v>
      </c>
      <c r="K254" t="s">
        <v>835</v>
      </c>
      <c r="L254">
        <v>1</v>
      </c>
      <c r="M254" t="s">
        <v>2381</v>
      </c>
      <c r="N254" t="s">
        <v>2382</v>
      </c>
      <c r="O254" s="12" t="s">
        <v>2383</v>
      </c>
      <c r="P254" s="12" t="s">
        <v>2384</v>
      </c>
      <c r="Q254" s="12" t="s">
        <v>2385</v>
      </c>
      <c r="R254" s="12" t="s">
        <v>187</v>
      </c>
      <c r="S254" s="12">
        <v>2023</v>
      </c>
      <c r="T254" s="13">
        <v>44955</v>
      </c>
      <c r="U254" s="12"/>
      <c r="V254" s="12"/>
      <c r="W254" s="12" t="s">
        <v>2386</v>
      </c>
      <c r="X254" t="e">
        <f>COUNTIF(#REF!,W254)</f>
        <v>#REF!</v>
      </c>
      <c r="Y254">
        <f t="shared" si="9"/>
        <v>240</v>
      </c>
      <c r="Z254">
        <f t="shared" si="10"/>
        <v>2</v>
      </c>
      <c r="AA254">
        <f t="shared" si="11"/>
        <v>1</v>
      </c>
    </row>
    <row r="255" spans="1:27" x14ac:dyDescent="0.3">
      <c r="A255" t="s">
        <v>2654</v>
      </c>
      <c r="B255" t="s">
        <v>1351</v>
      </c>
      <c r="C255">
        <v>36699314</v>
      </c>
      <c r="D255" t="s">
        <v>1476</v>
      </c>
      <c r="E255">
        <v>0</v>
      </c>
      <c r="F255" t="s">
        <v>44</v>
      </c>
      <c r="G255">
        <f>((48*3)+8)*2</f>
        <v>304</v>
      </c>
      <c r="H255">
        <v>1</v>
      </c>
      <c r="J255">
        <v>1</v>
      </c>
      <c r="K255" t="s">
        <v>835</v>
      </c>
      <c r="L255">
        <v>1</v>
      </c>
      <c r="N255" t="s">
        <v>2388</v>
      </c>
      <c r="O255" s="12" t="s">
        <v>2389</v>
      </c>
      <c r="P255" s="12" t="s">
        <v>2390</v>
      </c>
      <c r="Q255" s="12" t="s">
        <v>2391</v>
      </c>
      <c r="R255" s="12" t="s">
        <v>2392</v>
      </c>
      <c r="S255" s="12">
        <v>2023</v>
      </c>
      <c r="T255" s="13">
        <v>44952</v>
      </c>
      <c r="U255" s="12" t="s">
        <v>2393</v>
      </c>
      <c r="V255" s="12"/>
      <c r="W255" s="12" t="s">
        <v>2394</v>
      </c>
      <c r="X255" t="e">
        <f>COUNTIF(#REF!,W255)</f>
        <v>#REF!</v>
      </c>
      <c r="Y255">
        <f t="shared" si="9"/>
        <v>304</v>
      </c>
      <c r="Z255">
        <f t="shared" si="10"/>
        <v>3</v>
      </c>
      <c r="AA255">
        <f t="shared" si="11"/>
        <v>0</v>
      </c>
    </row>
    <row r="256" spans="1:27" x14ac:dyDescent="0.3">
      <c r="A256" t="s">
        <v>2654</v>
      </c>
      <c r="B256" t="s">
        <v>1351</v>
      </c>
      <c r="C256">
        <v>37000398</v>
      </c>
      <c r="D256" t="s">
        <v>1477</v>
      </c>
      <c r="E256">
        <v>0</v>
      </c>
      <c r="F256" t="s">
        <v>1478</v>
      </c>
      <c r="G256">
        <v>140</v>
      </c>
      <c r="H256">
        <v>1</v>
      </c>
      <c r="J256">
        <v>1</v>
      </c>
      <c r="K256" t="s">
        <v>835</v>
      </c>
      <c r="L256">
        <v>1</v>
      </c>
      <c r="N256" t="s">
        <v>2395</v>
      </c>
      <c r="O256" s="12" t="s">
        <v>2396</v>
      </c>
      <c r="P256" s="12" t="s">
        <v>2397</v>
      </c>
      <c r="Q256" s="12" t="s">
        <v>2398</v>
      </c>
      <c r="R256" s="12" t="s">
        <v>1985</v>
      </c>
      <c r="S256" s="12">
        <v>2023</v>
      </c>
      <c r="T256" s="13">
        <v>45016</v>
      </c>
      <c r="U256" s="12"/>
      <c r="V256" s="12"/>
      <c r="W256" s="12" t="s">
        <v>2399</v>
      </c>
      <c r="X256" t="e">
        <f>COUNTIF(#REF!,W256)</f>
        <v>#REF!</v>
      </c>
      <c r="Y256">
        <f t="shared" si="9"/>
        <v>140</v>
      </c>
      <c r="Z256">
        <f t="shared" si="10"/>
        <v>1</v>
      </c>
      <c r="AA256">
        <f t="shared" si="11"/>
        <v>0</v>
      </c>
    </row>
    <row r="257" spans="1:27" x14ac:dyDescent="0.3">
      <c r="A257" t="s">
        <v>2654</v>
      </c>
      <c r="B257" t="s">
        <v>1351</v>
      </c>
      <c r="C257">
        <v>36975162</v>
      </c>
      <c r="D257" t="s">
        <v>1479</v>
      </c>
      <c r="E257">
        <v>0</v>
      </c>
      <c r="F257" t="s">
        <v>1480</v>
      </c>
      <c r="G257">
        <v>648</v>
      </c>
      <c r="H257">
        <v>3</v>
      </c>
      <c r="J257">
        <v>2</v>
      </c>
      <c r="K257" t="s">
        <v>2401</v>
      </c>
      <c r="L257">
        <v>2</v>
      </c>
      <c r="M257" t="s">
        <v>2402</v>
      </c>
      <c r="N257" t="s">
        <v>2403</v>
      </c>
      <c r="O257" s="12" t="s">
        <v>2404</v>
      </c>
      <c r="P257" s="12" t="s">
        <v>2405</v>
      </c>
      <c r="Q257" s="12" t="s">
        <v>2406</v>
      </c>
      <c r="R257" s="12" t="s">
        <v>1526</v>
      </c>
      <c r="S257" s="12">
        <v>2023</v>
      </c>
      <c r="T257" s="13">
        <v>45013</v>
      </c>
      <c r="U257" s="12"/>
      <c r="V257" s="12"/>
      <c r="W257" s="12" t="s">
        <v>2407</v>
      </c>
      <c r="X257" t="e">
        <f>COUNTIF(#REF!,W257)</f>
        <v>#REF!</v>
      </c>
      <c r="Y257">
        <f t="shared" si="9"/>
        <v>1296</v>
      </c>
      <c r="Z257">
        <f t="shared" si="10"/>
        <v>13</v>
      </c>
      <c r="AA257">
        <f t="shared" si="11"/>
        <v>1</v>
      </c>
    </row>
    <row r="258" spans="1:27" x14ac:dyDescent="0.3">
      <c r="A258" t="s">
        <v>2654</v>
      </c>
      <c r="B258" t="s">
        <v>1351</v>
      </c>
      <c r="C258">
        <v>37009461</v>
      </c>
      <c r="D258" t="s">
        <v>1481</v>
      </c>
      <c r="E258">
        <v>0</v>
      </c>
      <c r="F258" t="s">
        <v>1482</v>
      </c>
      <c r="G258">
        <v>645</v>
      </c>
      <c r="H258">
        <v>2</v>
      </c>
      <c r="J258">
        <v>2</v>
      </c>
      <c r="K258" t="s">
        <v>2408</v>
      </c>
      <c r="L258">
        <v>2</v>
      </c>
      <c r="M258" t="s">
        <v>2409</v>
      </c>
      <c r="O258" s="12" t="s">
        <v>2410</v>
      </c>
      <c r="P258" s="12" t="s">
        <v>2411</v>
      </c>
      <c r="Q258" s="12" t="s">
        <v>2412</v>
      </c>
      <c r="R258" s="12" t="s">
        <v>1829</v>
      </c>
      <c r="S258" s="12">
        <v>2023</v>
      </c>
      <c r="T258" s="13">
        <v>45019</v>
      </c>
      <c r="U258" s="12" t="s">
        <v>2413</v>
      </c>
      <c r="V258" s="12"/>
      <c r="W258" s="12" t="s">
        <v>2414</v>
      </c>
      <c r="X258" t="e">
        <f>COUNTIF(#REF!,W258)</f>
        <v>#REF!</v>
      </c>
      <c r="Y258">
        <f t="shared" si="9"/>
        <v>1290</v>
      </c>
      <c r="Z258">
        <f t="shared" si="10"/>
        <v>13</v>
      </c>
      <c r="AA258">
        <f t="shared" si="11"/>
        <v>0</v>
      </c>
    </row>
    <row r="259" spans="1:27" x14ac:dyDescent="0.3">
      <c r="A259" t="s">
        <v>2654</v>
      </c>
      <c r="B259" t="s">
        <v>1351</v>
      </c>
      <c r="C259">
        <v>36820912</v>
      </c>
      <c r="D259" t="s">
        <v>1483</v>
      </c>
      <c r="E259">
        <v>0</v>
      </c>
      <c r="F259" t="s">
        <v>1484</v>
      </c>
      <c r="K259" t="s">
        <v>2416</v>
      </c>
      <c r="O259" s="12" t="s">
        <v>2417</v>
      </c>
      <c r="P259" s="12" t="s">
        <v>2418</v>
      </c>
      <c r="Q259" s="12" t="s">
        <v>2419</v>
      </c>
      <c r="R259" s="12" t="s">
        <v>2420</v>
      </c>
      <c r="S259" s="12">
        <v>2023</v>
      </c>
      <c r="T259" s="13">
        <v>44980</v>
      </c>
      <c r="U259" s="12"/>
      <c r="V259" s="12"/>
      <c r="W259" s="12" t="s">
        <v>2421</v>
      </c>
      <c r="X259" t="e">
        <f>COUNTIF(#REF!,W259)</f>
        <v>#REF!</v>
      </c>
      <c r="Y259">
        <f t="shared" ref="Y259:Y322" si="12">IFERROR(L259*G259,"N/A")</f>
        <v>0</v>
      </c>
      <c r="Z259">
        <f t="shared" ref="Z259:Z322" si="13">IFERROR(ROUNDDOWN(Y259/96,0),"")</f>
        <v>0</v>
      </c>
      <c r="AA259">
        <f t="shared" ref="AA259:AA322" si="14">IFERROR(ROUNDDOWN((MOD(Y259,96)/48),0),"")</f>
        <v>0</v>
      </c>
    </row>
    <row r="260" spans="1:27" x14ac:dyDescent="0.3">
      <c r="A260" t="s">
        <v>2654</v>
      </c>
      <c r="B260" t="s">
        <v>1351</v>
      </c>
      <c r="C260">
        <v>36674742</v>
      </c>
      <c r="D260" t="s">
        <v>1485</v>
      </c>
      <c r="E260">
        <v>0</v>
      </c>
      <c r="F260" t="s">
        <v>143</v>
      </c>
      <c r="G260">
        <v>78</v>
      </c>
      <c r="H260">
        <v>4</v>
      </c>
      <c r="J260">
        <v>2</v>
      </c>
      <c r="K260" t="s">
        <v>2423</v>
      </c>
      <c r="L260">
        <v>3</v>
      </c>
      <c r="M260" t="s">
        <v>2424</v>
      </c>
      <c r="N260" t="s">
        <v>2425</v>
      </c>
      <c r="O260" s="12" t="s">
        <v>2426</v>
      </c>
      <c r="P260" s="12" t="s">
        <v>2427</v>
      </c>
      <c r="Q260" s="12" t="s">
        <v>2428</v>
      </c>
      <c r="R260" s="12" t="s">
        <v>168</v>
      </c>
      <c r="S260" s="12">
        <v>2023</v>
      </c>
      <c r="T260" s="13">
        <v>44947</v>
      </c>
      <c r="U260" s="12" t="s">
        <v>2429</v>
      </c>
      <c r="V260" s="12"/>
      <c r="W260" s="12" t="s">
        <v>2430</v>
      </c>
      <c r="X260" t="e">
        <f>COUNTIF(#REF!,W260)</f>
        <v>#REF!</v>
      </c>
      <c r="Y260">
        <f t="shared" si="12"/>
        <v>234</v>
      </c>
      <c r="Z260">
        <f t="shared" si="13"/>
        <v>2</v>
      </c>
      <c r="AA260">
        <f t="shared" si="14"/>
        <v>0</v>
      </c>
    </row>
    <row r="261" spans="1:27" x14ac:dyDescent="0.3">
      <c r="A261" t="s">
        <v>2654</v>
      </c>
      <c r="B261" t="s">
        <v>1351</v>
      </c>
      <c r="C261">
        <v>36779855</v>
      </c>
      <c r="D261" t="s">
        <v>1486</v>
      </c>
      <c r="E261">
        <v>0</v>
      </c>
      <c r="F261" t="s">
        <v>1470</v>
      </c>
      <c r="G261">
        <f>(199+49)*2</f>
        <v>496</v>
      </c>
      <c r="H261">
        <v>1</v>
      </c>
      <c r="J261">
        <v>1</v>
      </c>
      <c r="K261" t="s">
        <v>835</v>
      </c>
      <c r="L261">
        <v>1</v>
      </c>
      <c r="M261" t="s">
        <v>2432</v>
      </c>
      <c r="N261" t="s">
        <v>2433</v>
      </c>
      <c r="O261" s="12" t="s">
        <v>2434</v>
      </c>
      <c r="P261" s="12" t="s">
        <v>2435</v>
      </c>
      <c r="Q261" s="12" t="s">
        <v>2436</v>
      </c>
      <c r="R261" s="12" t="s">
        <v>1571</v>
      </c>
      <c r="S261" s="12">
        <v>2023</v>
      </c>
      <c r="T261" s="13">
        <v>44970</v>
      </c>
      <c r="U261" s="12"/>
      <c r="V261" s="12"/>
      <c r="W261" s="12" t="s">
        <v>2437</v>
      </c>
      <c r="X261" t="e">
        <f>COUNTIF(#REF!,W261)</f>
        <v>#REF!</v>
      </c>
      <c r="Y261">
        <f t="shared" si="12"/>
        <v>496</v>
      </c>
      <c r="Z261">
        <f t="shared" si="13"/>
        <v>5</v>
      </c>
      <c r="AA261">
        <f t="shared" si="14"/>
        <v>0</v>
      </c>
    </row>
    <row r="262" spans="1:27" x14ac:dyDescent="0.3">
      <c r="A262" t="s">
        <v>2654</v>
      </c>
      <c r="B262" t="s">
        <v>1351</v>
      </c>
      <c r="C262">
        <v>36638231</v>
      </c>
      <c r="D262" t="s">
        <v>1487</v>
      </c>
      <c r="E262">
        <v>0</v>
      </c>
      <c r="F262" t="s">
        <v>1482</v>
      </c>
      <c r="G262">
        <v>768</v>
      </c>
      <c r="H262">
        <v>3</v>
      </c>
      <c r="J262">
        <v>2</v>
      </c>
      <c r="K262" t="s">
        <v>2439</v>
      </c>
      <c r="L262">
        <v>2</v>
      </c>
      <c r="M262" t="s">
        <v>2440</v>
      </c>
      <c r="N262" t="s">
        <v>2441</v>
      </c>
      <c r="O262" s="12" t="s">
        <v>2442</v>
      </c>
      <c r="P262" s="12" t="s">
        <v>2443</v>
      </c>
      <c r="Q262" s="12" t="s">
        <v>2444</v>
      </c>
      <c r="R262" s="12" t="s">
        <v>1535</v>
      </c>
      <c r="S262" s="12">
        <v>2023</v>
      </c>
      <c r="T262" s="13">
        <v>44939</v>
      </c>
      <c r="U262" s="12"/>
      <c r="V262" s="12"/>
      <c r="W262" s="12" t="s">
        <v>2445</v>
      </c>
      <c r="X262" t="e">
        <f>COUNTIF(#REF!,W262)</f>
        <v>#REF!</v>
      </c>
      <c r="Y262">
        <f t="shared" si="12"/>
        <v>1536</v>
      </c>
      <c r="Z262">
        <f t="shared" si="13"/>
        <v>16</v>
      </c>
      <c r="AA262">
        <f t="shared" si="14"/>
        <v>0</v>
      </c>
    </row>
    <row r="263" spans="1:27" x14ac:dyDescent="0.3">
      <c r="A263" t="s">
        <v>2654</v>
      </c>
      <c r="B263" t="s">
        <v>1351</v>
      </c>
      <c r="C263">
        <v>36206626</v>
      </c>
      <c r="D263" t="s">
        <v>1488</v>
      </c>
      <c r="E263">
        <v>0</v>
      </c>
      <c r="F263" t="s">
        <v>44</v>
      </c>
      <c r="G263">
        <f>47+50+49+51</f>
        <v>197</v>
      </c>
      <c r="H263">
        <v>1</v>
      </c>
      <c r="K263" t="s">
        <v>2447</v>
      </c>
      <c r="L263">
        <v>1</v>
      </c>
      <c r="M263" t="s">
        <v>2448</v>
      </c>
      <c r="N263" t="s">
        <v>2449</v>
      </c>
      <c r="O263" s="12" t="s">
        <v>2450</v>
      </c>
      <c r="P263" s="12" t="s">
        <v>2451</v>
      </c>
      <c r="Q263" s="12" t="s">
        <v>2452</v>
      </c>
      <c r="R263" s="12" t="s">
        <v>2453</v>
      </c>
      <c r="S263" s="12">
        <v>2023</v>
      </c>
      <c r="T263" s="13">
        <v>44841</v>
      </c>
      <c r="U263" s="12"/>
      <c r="V263" s="12"/>
      <c r="W263" s="12" t="s">
        <v>2454</v>
      </c>
      <c r="X263" t="e">
        <f>COUNTIF(#REF!,W263)</f>
        <v>#REF!</v>
      </c>
      <c r="Y263">
        <f t="shared" si="12"/>
        <v>197</v>
      </c>
      <c r="Z263">
        <f t="shared" si="13"/>
        <v>2</v>
      </c>
      <c r="AA263">
        <f t="shared" si="14"/>
        <v>0</v>
      </c>
    </row>
    <row r="264" spans="1:27" x14ac:dyDescent="0.3">
      <c r="A264" t="s">
        <v>2654</v>
      </c>
      <c r="B264" t="s">
        <v>1351</v>
      </c>
      <c r="C264">
        <v>36443917</v>
      </c>
      <c r="D264" t="s">
        <v>1489</v>
      </c>
      <c r="E264">
        <v>0</v>
      </c>
      <c r="F264" t="s">
        <v>1441</v>
      </c>
      <c r="G264">
        <f>5*116</f>
        <v>580</v>
      </c>
      <c r="H264">
        <v>1</v>
      </c>
      <c r="J264">
        <v>1</v>
      </c>
      <c r="K264" t="s">
        <v>835</v>
      </c>
      <c r="L264">
        <v>1</v>
      </c>
      <c r="M264" t="s">
        <v>2031</v>
      </c>
      <c r="O264" s="12" t="s">
        <v>2456</v>
      </c>
      <c r="P264" s="12" t="s">
        <v>2457</v>
      </c>
      <c r="Q264" s="12" t="s">
        <v>2458</v>
      </c>
      <c r="R264" s="12" t="s">
        <v>2459</v>
      </c>
      <c r="S264" s="12">
        <v>2023</v>
      </c>
      <c r="T264" s="13">
        <v>44894</v>
      </c>
      <c r="U264" s="12"/>
      <c r="V264" s="12"/>
      <c r="W264" s="12" t="s">
        <v>2460</v>
      </c>
      <c r="X264" t="e">
        <f>COUNTIF(#REF!,W264)</f>
        <v>#REF!</v>
      </c>
      <c r="Y264">
        <f t="shared" si="12"/>
        <v>580</v>
      </c>
      <c r="Z264">
        <f t="shared" si="13"/>
        <v>6</v>
      </c>
      <c r="AA264">
        <f t="shared" si="14"/>
        <v>0</v>
      </c>
    </row>
    <row r="265" spans="1:27" x14ac:dyDescent="0.3">
      <c r="A265" t="s">
        <v>2654</v>
      </c>
      <c r="B265" t="s">
        <v>1351</v>
      </c>
      <c r="C265">
        <v>36632518</v>
      </c>
      <c r="D265" t="s">
        <v>1490</v>
      </c>
      <c r="E265">
        <v>0</v>
      </c>
      <c r="F265" t="s">
        <v>143</v>
      </c>
      <c r="G265">
        <f>2*51</f>
        <v>102</v>
      </c>
      <c r="H265">
        <v>1</v>
      </c>
      <c r="K265" t="s">
        <v>835</v>
      </c>
      <c r="L265">
        <v>1</v>
      </c>
      <c r="M265" t="s">
        <v>2031</v>
      </c>
      <c r="N265" t="s">
        <v>2462</v>
      </c>
      <c r="O265" s="12" t="s">
        <v>2463</v>
      </c>
      <c r="P265" s="12" t="s">
        <v>2464</v>
      </c>
      <c r="Q265" s="12" t="s">
        <v>2465</v>
      </c>
      <c r="R265" s="12" t="s">
        <v>2466</v>
      </c>
      <c r="S265" s="12">
        <v>2023</v>
      </c>
      <c r="T265" s="13">
        <v>44938</v>
      </c>
      <c r="U265" s="12" t="s">
        <v>2467</v>
      </c>
      <c r="V265" s="12"/>
      <c r="W265" s="12" t="s">
        <v>2468</v>
      </c>
      <c r="X265" t="e">
        <f>COUNTIF(#REF!,W265)</f>
        <v>#REF!</v>
      </c>
      <c r="Y265">
        <f t="shared" si="12"/>
        <v>102</v>
      </c>
      <c r="Z265">
        <f t="shared" si="13"/>
        <v>1</v>
      </c>
      <c r="AA265">
        <f t="shared" si="14"/>
        <v>0</v>
      </c>
    </row>
    <row r="266" spans="1:27" x14ac:dyDescent="0.3">
      <c r="A266" t="s">
        <v>2654</v>
      </c>
      <c r="B266" t="s">
        <v>1351</v>
      </c>
      <c r="C266">
        <v>36835478</v>
      </c>
      <c r="D266" t="s">
        <v>1491</v>
      </c>
      <c r="E266">
        <v>0</v>
      </c>
      <c r="F266" t="s">
        <v>1417</v>
      </c>
      <c r="G266">
        <f>14*2</f>
        <v>28</v>
      </c>
      <c r="H266">
        <v>1</v>
      </c>
      <c r="J266">
        <v>0</v>
      </c>
      <c r="K266" t="s">
        <v>835</v>
      </c>
      <c r="L266">
        <v>1</v>
      </c>
      <c r="M266" t="s">
        <v>2469</v>
      </c>
      <c r="O266" s="12" t="s">
        <v>2470</v>
      </c>
      <c r="P266" s="12" t="s">
        <v>2471</v>
      </c>
      <c r="Q266" s="12" t="s">
        <v>2472</v>
      </c>
      <c r="R266" s="12" t="s">
        <v>168</v>
      </c>
      <c r="S266" s="12">
        <v>2023</v>
      </c>
      <c r="T266" s="13">
        <v>44982</v>
      </c>
      <c r="U266" s="12" t="s">
        <v>2473</v>
      </c>
      <c r="V266" s="12"/>
      <c r="W266" s="12" t="s">
        <v>2474</v>
      </c>
      <c r="X266" t="e">
        <f>COUNTIF(#REF!,W266)</f>
        <v>#REF!</v>
      </c>
      <c r="Y266">
        <f t="shared" si="12"/>
        <v>28</v>
      </c>
      <c r="Z266">
        <f t="shared" si="13"/>
        <v>0</v>
      </c>
      <c r="AA266">
        <f t="shared" si="14"/>
        <v>0</v>
      </c>
    </row>
    <row r="267" spans="1:27" x14ac:dyDescent="0.3">
      <c r="A267" t="s">
        <v>2654</v>
      </c>
      <c r="B267" t="s">
        <v>1351</v>
      </c>
      <c r="C267">
        <v>36776057</v>
      </c>
      <c r="D267" t="s">
        <v>1492</v>
      </c>
      <c r="E267">
        <v>0</v>
      </c>
      <c r="F267" t="s">
        <v>143</v>
      </c>
      <c r="G267">
        <v>71</v>
      </c>
      <c r="H267">
        <v>2</v>
      </c>
      <c r="J267">
        <v>2</v>
      </c>
      <c r="K267" t="s">
        <v>2476</v>
      </c>
      <c r="L267">
        <v>1</v>
      </c>
      <c r="M267" t="s">
        <v>2141</v>
      </c>
      <c r="N267" t="s">
        <v>2477</v>
      </c>
      <c r="O267" s="12" t="s">
        <v>2478</v>
      </c>
      <c r="P267" s="12" t="s">
        <v>2479</v>
      </c>
      <c r="Q267" s="12" t="s">
        <v>2312</v>
      </c>
      <c r="R267" s="12" t="s">
        <v>1953</v>
      </c>
      <c r="S267" s="12">
        <v>2023</v>
      </c>
      <c r="T267" s="13">
        <v>44970</v>
      </c>
      <c r="U267" s="12" t="s">
        <v>2480</v>
      </c>
      <c r="V267" s="12"/>
      <c r="W267" s="12" t="s">
        <v>2481</v>
      </c>
      <c r="X267" t="e">
        <f>COUNTIF(#REF!,W267)</f>
        <v>#REF!</v>
      </c>
      <c r="Y267">
        <f t="shared" si="12"/>
        <v>71</v>
      </c>
      <c r="Z267">
        <f t="shared" si="13"/>
        <v>0</v>
      </c>
      <c r="AA267">
        <f t="shared" si="14"/>
        <v>1</v>
      </c>
    </row>
    <row r="268" spans="1:27" x14ac:dyDescent="0.3">
      <c r="A268" t="s">
        <v>2654</v>
      </c>
      <c r="B268" t="s">
        <v>1351</v>
      </c>
      <c r="C268">
        <v>36372867</v>
      </c>
      <c r="D268" t="s">
        <v>1493</v>
      </c>
      <c r="E268">
        <v>0</v>
      </c>
      <c r="F268" t="s">
        <v>1494</v>
      </c>
      <c r="G268">
        <v>132</v>
      </c>
      <c r="H268">
        <v>1</v>
      </c>
      <c r="J268">
        <v>1</v>
      </c>
      <c r="K268" t="s">
        <v>835</v>
      </c>
      <c r="L268">
        <v>1</v>
      </c>
      <c r="M268" t="s">
        <v>2166</v>
      </c>
      <c r="O268" s="12" t="s">
        <v>2483</v>
      </c>
      <c r="P268" s="12" t="s">
        <v>2484</v>
      </c>
      <c r="Q268" s="12" t="s">
        <v>2485</v>
      </c>
      <c r="R268" s="12" t="s">
        <v>1819</v>
      </c>
      <c r="S268" s="12">
        <v>2023</v>
      </c>
      <c r="T268" s="13">
        <v>44879</v>
      </c>
      <c r="U268" s="12" t="s">
        <v>2486</v>
      </c>
      <c r="V268" s="12"/>
      <c r="W268" s="12" t="s">
        <v>2487</v>
      </c>
      <c r="X268" t="e">
        <f>COUNTIF(#REF!,W268)</f>
        <v>#REF!</v>
      </c>
      <c r="Y268">
        <f t="shared" si="12"/>
        <v>132</v>
      </c>
      <c r="Z268">
        <f t="shared" si="13"/>
        <v>1</v>
      </c>
      <c r="AA268">
        <f t="shared" si="14"/>
        <v>0</v>
      </c>
    </row>
    <row r="269" spans="1:27" x14ac:dyDescent="0.3">
      <c r="A269" t="s">
        <v>2654</v>
      </c>
      <c r="B269" t="s">
        <v>1351</v>
      </c>
      <c r="C269">
        <v>36335586</v>
      </c>
      <c r="D269" t="s">
        <v>1495</v>
      </c>
      <c r="E269">
        <v>0</v>
      </c>
      <c r="F269" t="s">
        <v>1496</v>
      </c>
      <c r="G269">
        <f>12</f>
        <v>12</v>
      </c>
      <c r="H269">
        <v>1</v>
      </c>
      <c r="K269" t="s">
        <v>835</v>
      </c>
      <c r="L269">
        <v>1</v>
      </c>
      <c r="M269" t="s">
        <v>2166</v>
      </c>
      <c r="O269" s="12" t="s">
        <v>2488</v>
      </c>
      <c r="P269" s="12" t="s">
        <v>2489</v>
      </c>
      <c r="Q269" s="12" t="s">
        <v>2490</v>
      </c>
      <c r="R269" s="12" t="s">
        <v>2491</v>
      </c>
      <c r="S269" s="12">
        <v>2023</v>
      </c>
      <c r="T269" s="13">
        <v>44871</v>
      </c>
      <c r="U269" s="12"/>
      <c r="V269" s="12"/>
      <c r="W269" s="12" t="s">
        <v>2492</v>
      </c>
      <c r="X269" t="e">
        <f>COUNTIF(#REF!,W269)</f>
        <v>#REF!</v>
      </c>
      <c r="Y269">
        <f t="shared" si="12"/>
        <v>12</v>
      </c>
      <c r="Z269">
        <f t="shared" si="13"/>
        <v>0</v>
      </c>
      <c r="AA269">
        <f t="shared" si="14"/>
        <v>0</v>
      </c>
    </row>
    <row r="270" spans="1:27" x14ac:dyDescent="0.3">
      <c r="A270" t="s">
        <v>2654</v>
      </c>
      <c r="B270" t="s">
        <v>1351</v>
      </c>
      <c r="C270" s="4">
        <v>36927495</v>
      </c>
      <c r="D270" s="4" t="s">
        <v>1497</v>
      </c>
      <c r="E270" s="4">
        <v>0</v>
      </c>
      <c r="F270" s="4" t="s">
        <v>532</v>
      </c>
      <c r="G270" s="4">
        <f>(100*4)</f>
        <v>400</v>
      </c>
      <c r="H270" s="4">
        <v>4</v>
      </c>
      <c r="J270" s="4">
        <v>4</v>
      </c>
      <c r="K270" s="4" t="s">
        <v>2494</v>
      </c>
      <c r="L270" s="4">
        <v>1</v>
      </c>
      <c r="M270" s="4" t="s">
        <v>1778</v>
      </c>
      <c r="N270" s="4" t="s">
        <v>2495</v>
      </c>
      <c r="O270" s="14" t="s">
        <v>2496</v>
      </c>
      <c r="P270" s="14" t="s">
        <v>2497</v>
      </c>
      <c r="Q270" s="14" t="s">
        <v>2498</v>
      </c>
      <c r="R270" s="14" t="s">
        <v>2499</v>
      </c>
      <c r="S270" s="14">
        <v>2023</v>
      </c>
      <c r="T270" s="15">
        <v>45002</v>
      </c>
      <c r="U270" s="14" t="s">
        <v>2500</v>
      </c>
      <c r="V270" s="14"/>
      <c r="W270" s="14" t="s">
        <v>2501</v>
      </c>
      <c r="X270" s="4" t="e">
        <f>COUNTIF(#REF!,W270)</f>
        <v>#REF!</v>
      </c>
      <c r="Y270">
        <f t="shared" si="12"/>
        <v>400</v>
      </c>
      <c r="Z270">
        <f t="shared" si="13"/>
        <v>4</v>
      </c>
      <c r="AA270">
        <f t="shared" si="14"/>
        <v>0</v>
      </c>
    </row>
    <row r="271" spans="1:27" x14ac:dyDescent="0.3">
      <c r="A271" t="s">
        <v>2654</v>
      </c>
      <c r="B271" t="s">
        <v>1351</v>
      </c>
      <c r="C271">
        <v>36866390</v>
      </c>
      <c r="D271" t="s">
        <v>1498</v>
      </c>
      <c r="E271">
        <v>0</v>
      </c>
      <c r="F271" t="s">
        <v>153</v>
      </c>
      <c r="G271">
        <f>(135+25+21)*2</f>
        <v>362</v>
      </c>
      <c r="H271">
        <v>1</v>
      </c>
      <c r="J271">
        <v>1</v>
      </c>
      <c r="K271" t="s">
        <v>1771</v>
      </c>
      <c r="L271">
        <v>1</v>
      </c>
      <c r="M271" t="s">
        <v>2503</v>
      </c>
      <c r="N271" t="s">
        <v>2504</v>
      </c>
      <c r="O271" s="12" t="s">
        <v>2505</v>
      </c>
      <c r="P271" s="12" t="s">
        <v>2506</v>
      </c>
      <c r="Q271" s="12" t="s">
        <v>2507</v>
      </c>
      <c r="R271" s="12" t="s">
        <v>822</v>
      </c>
      <c r="S271" s="12">
        <v>2023</v>
      </c>
      <c r="T271" s="13">
        <v>44988</v>
      </c>
      <c r="U271" s="12" t="s">
        <v>2508</v>
      </c>
      <c r="V271" s="12"/>
      <c r="W271" s="12" t="s">
        <v>2509</v>
      </c>
      <c r="X271" t="e">
        <f>COUNTIF(#REF!,W271)</f>
        <v>#REF!</v>
      </c>
      <c r="Y271">
        <f t="shared" si="12"/>
        <v>362</v>
      </c>
      <c r="Z271">
        <f t="shared" si="13"/>
        <v>3</v>
      </c>
      <c r="AA271">
        <f t="shared" si="14"/>
        <v>1</v>
      </c>
    </row>
    <row r="272" spans="1:27" x14ac:dyDescent="0.3">
      <c r="A272" t="s">
        <v>2654</v>
      </c>
      <c r="B272" t="s">
        <v>1351</v>
      </c>
      <c r="C272">
        <v>36899441</v>
      </c>
      <c r="D272" t="s">
        <v>1499</v>
      </c>
      <c r="E272">
        <v>0</v>
      </c>
      <c r="F272" t="s">
        <v>143</v>
      </c>
      <c r="G272">
        <f>212+175</f>
        <v>387</v>
      </c>
      <c r="H272">
        <v>4</v>
      </c>
      <c r="J272">
        <v>1</v>
      </c>
      <c r="K272" t="s">
        <v>2511</v>
      </c>
      <c r="L272">
        <v>4</v>
      </c>
      <c r="M272" t="s">
        <v>2512</v>
      </c>
      <c r="N272" t="s">
        <v>2513</v>
      </c>
      <c r="O272" s="12" t="s">
        <v>2514</v>
      </c>
      <c r="P272" s="12" t="s">
        <v>2515</v>
      </c>
      <c r="Q272" s="12" t="s">
        <v>2516</v>
      </c>
      <c r="R272" s="12" t="s">
        <v>454</v>
      </c>
      <c r="S272" s="12">
        <v>2023</v>
      </c>
      <c r="T272" s="13">
        <v>44995</v>
      </c>
      <c r="U272" s="12" t="s">
        <v>2517</v>
      </c>
      <c r="V272" s="12"/>
      <c r="W272" s="12" t="s">
        <v>2518</v>
      </c>
      <c r="X272" t="e">
        <f>COUNTIF(#REF!,W272)</f>
        <v>#REF!</v>
      </c>
      <c r="Y272">
        <f t="shared" si="12"/>
        <v>1548</v>
      </c>
      <c r="Z272">
        <f t="shared" si="13"/>
        <v>16</v>
      </c>
      <c r="AA272">
        <f t="shared" si="14"/>
        <v>0</v>
      </c>
    </row>
    <row r="273" spans="1:27" x14ac:dyDescent="0.3">
      <c r="A273" t="s">
        <v>2654</v>
      </c>
      <c r="B273" t="s">
        <v>1351</v>
      </c>
      <c r="C273">
        <v>36880887</v>
      </c>
      <c r="D273" t="s">
        <v>1500</v>
      </c>
      <c r="E273">
        <v>0</v>
      </c>
      <c r="F273" t="s">
        <v>143</v>
      </c>
      <c r="G273">
        <v>106</v>
      </c>
      <c r="H273">
        <v>6</v>
      </c>
      <c r="K273" t="s">
        <v>2519</v>
      </c>
      <c r="L273">
        <v>3</v>
      </c>
      <c r="M273" t="s">
        <v>2520</v>
      </c>
      <c r="N273" t="s">
        <v>2521</v>
      </c>
      <c r="O273" s="12" t="s">
        <v>2522</v>
      </c>
      <c r="P273" s="12" t="s">
        <v>2523</v>
      </c>
      <c r="Q273" s="12" t="s">
        <v>2524</v>
      </c>
      <c r="R273" s="12" t="s">
        <v>1571</v>
      </c>
      <c r="S273" s="12">
        <v>2023</v>
      </c>
      <c r="T273" s="13">
        <v>44992</v>
      </c>
      <c r="U273" s="12"/>
      <c r="V273" s="12"/>
      <c r="W273" s="12" t="s">
        <v>2525</v>
      </c>
      <c r="X273" t="e">
        <f>COUNTIF(#REF!,W273)</f>
        <v>#REF!</v>
      </c>
      <c r="Y273">
        <f t="shared" si="12"/>
        <v>318</v>
      </c>
      <c r="Z273">
        <f t="shared" si="13"/>
        <v>3</v>
      </c>
      <c r="AA273">
        <f t="shared" si="14"/>
        <v>0</v>
      </c>
    </row>
    <row r="274" spans="1:27" x14ac:dyDescent="0.3">
      <c r="A274" t="s">
        <v>2654</v>
      </c>
      <c r="B274" t="s">
        <v>1351</v>
      </c>
      <c r="C274">
        <v>35734899</v>
      </c>
      <c r="D274" t="s">
        <v>1501</v>
      </c>
      <c r="E274">
        <v>0</v>
      </c>
      <c r="F274" t="s">
        <v>143</v>
      </c>
      <c r="G274">
        <f>5*64</f>
        <v>320</v>
      </c>
      <c r="H274">
        <v>2</v>
      </c>
      <c r="J274">
        <v>1</v>
      </c>
      <c r="K274" t="s">
        <v>1786</v>
      </c>
      <c r="L274">
        <v>1</v>
      </c>
      <c r="M274" t="s">
        <v>2527</v>
      </c>
      <c r="O274" s="12" t="s">
        <v>2528</v>
      </c>
      <c r="P274" s="12" t="s">
        <v>2529</v>
      </c>
      <c r="Q274" s="12" t="s">
        <v>2530</v>
      </c>
      <c r="R274" s="12" t="s">
        <v>2063</v>
      </c>
      <c r="S274" s="12">
        <v>2023</v>
      </c>
      <c r="T274" s="13">
        <v>44735</v>
      </c>
      <c r="U274" s="12"/>
      <c r="V274" s="12"/>
      <c r="W274" s="12" t="s">
        <v>2531</v>
      </c>
      <c r="X274" t="e">
        <f>COUNTIF(#REF!,W274)</f>
        <v>#REF!</v>
      </c>
      <c r="Y274">
        <f t="shared" si="12"/>
        <v>320</v>
      </c>
      <c r="Z274">
        <f t="shared" si="13"/>
        <v>3</v>
      </c>
      <c r="AA274">
        <f t="shared" si="14"/>
        <v>0</v>
      </c>
    </row>
    <row r="275" spans="1:27" x14ac:dyDescent="0.3">
      <c r="A275" t="s">
        <v>2654</v>
      </c>
      <c r="B275" t="s">
        <v>1351</v>
      </c>
      <c r="C275">
        <v>36621163</v>
      </c>
      <c r="D275" t="s">
        <v>1502</v>
      </c>
      <c r="E275">
        <v>0</v>
      </c>
      <c r="F275" t="s">
        <v>143</v>
      </c>
      <c r="G275">
        <f>55*2</f>
        <v>110</v>
      </c>
      <c r="H275">
        <v>3</v>
      </c>
      <c r="J275">
        <v>0</v>
      </c>
      <c r="K275" t="s">
        <v>2532</v>
      </c>
      <c r="L275">
        <v>3</v>
      </c>
      <c r="M275" t="s">
        <v>2533</v>
      </c>
      <c r="N275" t="s">
        <v>2534</v>
      </c>
      <c r="O275" s="12" t="s">
        <v>2535</v>
      </c>
      <c r="P275" s="12" t="s">
        <v>2536</v>
      </c>
      <c r="Q275" s="12" t="s">
        <v>2537</v>
      </c>
      <c r="R275" s="12" t="s">
        <v>1660</v>
      </c>
      <c r="S275" s="12">
        <v>2023</v>
      </c>
      <c r="T275" s="13">
        <v>44935</v>
      </c>
      <c r="U275" s="12"/>
      <c r="V275" s="12"/>
      <c r="W275" s="12" t="s">
        <v>2538</v>
      </c>
      <c r="X275" t="e">
        <f>COUNTIF(#REF!,W275)</f>
        <v>#REF!</v>
      </c>
      <c r="Y275">
        <f t="shared" si="12"/>
        <v>330</v>
      </c>
      <c r="Z275">
        <f t="shared" si="13"/>
        <v>3</v>
      </c>
      <c r="AA275">
        <f t="shared" si="14"/>
        <v>0</v>
      </c>
    </row>
    <row r="276" spans="1:27" x14ac:dyDescent="0.3">
      <c r="A276" t="s">
        <v>2654</v>
      </c>
      <c r="B276" t="s">
        <v>1351</v>
      </c>
      <c r="C276">
        <v>35901687</v>
      </c>
      <c r="D276" t="s">
        <v>1503</v>
      </c>
      <c r="E276">
        <v>0</v>
      </c>
      <c r="F276" t="s">
        <v>143</v>
      </c>
      <c r="G276">
        <v>87</v>
      </c>
      <c r="H276">
        <v>4</v>
      </c>
      <c r="J276">
        <v>2</v>
      </c>
      <c r="K276" t="s">
        <v>2254</v>
      </c>
      <c r="L276">
        <v>1</v>
      </c>
      <c r="M276" t="s">
        <v>2141</v>
      </c>
      <c r="N276" t="s">
        <v>2539</v>
      </c>
      <c r="O276" s="12" t="s">
        <v>2540</v>
      </c>
      <c r="P276" s="12" t="s">
        <v>2541</v>
      </c>
      <c r="Q276" s="12" t="s">
        <v>2542</v>
      </c>
      <c r="R276" s="12" t="s">
        <v>2543</v>
      </c>
      <c r="S276" s="12">
        <v>2022</v>
      </c>
      <c r="T276" s="13">
        <v>44770</v>
      </c>
      <c r="U276" s="12"/>
      <c r="V276" s="12"/>
      <c r="W276" s="12" t="s">
        <v>2544</v>
      </c>
      <c r="X276" t="e">
        <f>COUNTIF(#REF!,W276)</f>
        <v>#REF!</v>
      </c>
      <c r="Y276">
        <f t="shared" si="12"/>
        <v>87</v>
      </c>
      <c r="Z276">
        <f t="shared" si="13"/>
        <v>0</v>
      </c>
      <c r="AA276">
        <f t="shared" si="14"/>
        <v>1</v>
      </c>
    </row>
    <row r="277" spans="1:27" x14ac:dyDescent="0.3">
      <c r="A277" t="s">
        <v>2654</v>
      </c>
      <c r="B277" t="s">
        <v>1351</v>
      </c>
      <c r="C277">
        <v>36547971</v>
      </c>
      <c r="D277" t="s">
        <v>1504</v>
      </c>
      <c r="E277">
        <v>0</v>
      </c>
      <c r="F277" t="s">
        <v>143</v>
      </c>
      <c r="H277">
        <v>4</v>
      </c>
      <c r="J277">
        <v>2</v>
      </c>
      <c r="K277" t="s">
        <v>2546</v>
      </c>
      <c r="N277" t="s">
        <v>2547</v>
      </c>
      <c r="O277" s="12" t="s">
        <v>2548</v>
      </c>
      <c r="P277" s="12" t="s">
        <v>2549</v>
      </c>
      <c r="Q277" s="12" t="s">
        <v>2550</v>
      </c>
      <c r="R277" s="12" t="s">
        <v>2551</v>
      </c>
      <c r="S277" s="12">
        <v>2023</v>
      </c>
      <c r="T277" s="13">
        <v>44917</v>
      </c>
      <c r="U277" s="12"/>
      <c r="V277" s="12"/>
      <c r="W277" s="12" t="s">
        <v>2552</v>
      </c>
      <c r="X277" t="e">
        <f>COUNTIF(#REF!,W277)</f>
        <v>#REF!</v>
      </c>
      <c r="Y277">
        <f t="shared" si="12"/>
        <v>0</v>
      </c>
      <c r="Z277">
        <f t="shared" si="13"/>
        <v>0</v>
      </c>
      <c r="AA277">
        <f t="shared" si="14"/>
        <v>0</v>
      </c>
    </row>
    <row r="278" spans="1:27" x14ac:dyDescent="0.3">
      <c r="A278" t="s">
        <v>2654</v>
      </c>
      <c r="B278" t="s">
        <v>1351</v>
      </c>
      <c r="C278">
        <v>36800984</v>
      </c>
      <c r="D278" t="s">
        <v>1505</v>
      </c>
      <c r="E278">
        <v>0</v>
      </c>
      <c r="F278" t="s">
        <v>44</v>
      </c>
      <c r="G278">
        <v>184</v>
      </c>
      <c r="H278">
        <v>3</v>
      </c>
      <c r="K278" t="s">
        <v>2554</v>
      </c>
      <c r="L278">
        <v>1</v>
      </c>
      <c r="M278" t="s">
        <v>2555</v>
      </c>
      <c r="N278" t="s">
        <v>2556</v>
      </c>
      <c r="O278" s="12" t="s">
        <v>2557</v>
      </c>
      <c r="P278" s="12" t="s">
        <v>2558</v>
      </c>
      <c r="Q278" s="12" t="s">
        <v>2559</v>
      </c>
      <c r="R278" s="12" t="s">
        <v>454</v>
      </c>
      <c r="S278" s="12">
        <v>2023</v>
      </c>
      <c r="T278" s="13">
        <v>44978</v>
      </c>
      <c r="U278" s="12" t="s">
        <v>2560</v>
      </c>
      <c r="V278" s="12"/>
      <c r="W278" s="12" t="s">
        <v>2561</v>
      </c>
      <c r="X278" t="e">
        <f>COUNTIF(#REF!,W278)</f>
        <v>#REF!</v>
      </c>
      <c r="Y278">
        <f t="shared" si="12"/>
        <v>184</v>
      </c>
      <c r="Z278">
        <f t="shared" si="13"/>
        <v>1</v>
      </c>
      <c r="AA278">
        <f t="shared" si="14"/>
        <v>1</v>
      </c>
    </row>
    <row r="279" spans="1:27" x14ac:dyDescent="0.3">
      <c r="A279" t="s">
        <v>2654</v>
      </c>
      <c r="B279" t="s">
        <v>1351</v>
      </c>
      <c r="C279">
        <v>35980599</v>
      </c>
      <c r="D279" t="s">
        <v>1506</v>
      </c>
      <c r="E279">
        <v>0</v>
      </c>
      <c r="F279" t="s">
        <v>1409</v>
      </c>
      <c r="G279">
        <v>1328</v>
      </c>
      <c r="H279">
        <v>4</v>
      </c>
      <c r="K279" t="s">
        <v>2246</v>
      </c>
      <c r="L279">
        <v>1</v>
      </c>
      <c r="M279" t="s">
        <v>2141</v>
      </c>
      <c r="O279" s="12" t="s">
        <v>2562</v>
      </c>
      <c r="P279" s="12" t="s">
        <v>2563</v>
      </c>
      <c r="Q279" s="12" t="s">
        <v>2564</v>
      </c>
      <c r="R279" s="12" t="s">
        <v>2565</v>
      </c>
      <c r="S279" s="12">
        <v>2023</v>
      </c>
      <c r="T279" s="13">
        <v>44791</v>
      </c>
      <c r="U279" s="12" t="s">
        <v>2566</v>
      </c>
      <c r="V279" s="12"/>
      <c r="W279" s="12" t="s">
        <v>2567</v>
      </c>
      <c r="X279" t="e">
        <f>COUNTIF(#REF!,W279)</f>
        <v>#REF!</v>
      </c>
      <c r="Y279">
        <f t="shared" si="12"/>
        <v>1328</v>
      </c>
      <c r="Z279">
        <f t="shared" si="13"/>
        <v>13</v>
      </c>
      <c r="AA279">
        <f t="shared" si="14"/>
        <v>1</v>
      </c>
    </row>
    <row r="280" spans="1:27" x14ac:dyDescent="0.3">
      <c r="A280" t="s">
        <v>2654</v>
      </c>
      <c r="B280" t="s">
        <v>1351</v>
      </c>
      <c r="C280">
        <v>36959506</v>
      </c>
      <c r="D280" t="s">
        <v>1507</v>
      </c>
      <c r="E280">
        <v>0</v>
      </c>
      <c r="F280" t="s">
        <v>1508</v>
      </c>
      <c r="G280">
        <v>38</v>
      </c>
      <c r="H280">
        <v>2</v>
      </c>
      <c r="J280">
        <v>1</v>
      </c>
      <c r="K280" t="s">
        <v>1786</v>
      </c>
      <c r="L280">
        <v>1</v>
      </c>
      <c r="M280" t="s">
        <v>2568</v>
      </c>
      <c r="N280" t="s">
        <v>2569</v>
      </c>
      <c r="O280" s="12" t="s">
        <v>2570</v>
      </c>
      <c r="P280" s="12" t="s">
        <v>2571</v>
      </c>
      <c r="Q280" s="12" t="s">
        <v>2572</v>
      </c>
      <c r="R280" s="12" t="s">
        <v>2573</v>
      </c>
      <c r="S280" s="12">
        <v>2023</v>
      </c>
      <c r="T280" s="13">
        <v>45009</v>
      </c>
      <c r="U280" s="12"/>
      <c r="V280" s="12"/>
      <c r="W280" s="12" t="s">
        <v>2574</v>
      </c>
      <c r="X280" t="e">
        <f>COUNTIF(#REF!,W280)</f>
        <v>#REF!</v>
      </c>
      <c r="Y280">
        <f t="shared" si="12"/>
        <v>38</v>
      </c>
      <c r="Z280">
        <f t="shared" si="13"/>
        <v>0</v>
      </c>
      <c r="AA280">
        <f t="shared" si="14"/>
        <v>0</v>
      </c>
    </row>
    <row r="281" spans="1:27" x14ac:dyDescent="0.3">
      <c r="A281" t="s">
        <v>2654</v>
      </c>
      <c r="B281" t="s">
        <v>1351</v>
      </c>
      <c r="C281">
        <v>36604741</v>
      </c>
      <c r="D281" t="s">
        <v>1509</v>
      </c>
      <c r="E281">
        <v>0</v>
      </c>
      <c r="F281" t="s">
        <v>143</v>
      </c>
      <c r="G281">
        <f>299*2</f>
        <v>598</v>
      </c>
      <c r="H281">
        <v>1</v>
      </c>
      <c r="J281">
        <v>1</v>
      </c>
      <c r="K281" t="s">
        <v>1771</v>
      </c>
      <c r="L281">
        <v>1</v>
      </c>
      <c r="M281" t="s">
        <v>2575</v>
      </c>
      <c r="N281" t="s">
        <v>2576</v>
      </c>
      <c r="O281" s="12" t="s">
        <v>2577</v>
      </c>
      <c r="P281" s="12" t="s">
        <v>2578</v>
      </c>
      <c r="Q281" s="12" t="s">
        <v>2579</v>
      </c>
      <c r="R281" s="12" t="s">
        <v>2580</v>
      </c>
      <c r="S281" s="12">
        <v>2023</v>
      </c>
      <c r="T281" s="13">
        <v>44931</v>
      </c>
      <c r="U281" s="12" t="s">
        <v>2581</v>
      </c>
      <c r="V281" s="12"/>
      <c r="W281" s="12" t="s">
        <v>2582</v>
      </c>
      <c r="X281" t="e">
        <f>COUNTIF(#REF!,W281)</f>
        <v>#REF!</v>
      </c>
      <c r="Y281">
        <f t="shared" si="12"/>
        <v>598</v>
      </c>
      <c r="Z281">
        <f t="shared" si="13"/>
        <v>6</v>
      </c>
      <c r="AA281">
        <f t="shared" si="14"/>
        <v>0</v>
      </c>
    </row>
    <row r="282" spans="1:27" x14ac:dyDescent="0.3">
      <c r="A282" t="s">
        <v>2654</v>
      </c>
      <c r="B282" t="s">
        <v>1351</v>
      </c>
      <c r="C282">
        <v>36056929</v>
      </c>
      <c r="D282" t="s">
        <v>1510</v>
      </c>
      <c r="E282">
        <v>0</v>
      </c>
      <c r="F282" t="s">
        <v>143</v>
      </c>
      <c r="G282">
        <f>152*3*2</f>
        <v>912</v>
      </c>
      <c r="H282">
        <v>1</v>
      </c>
      <c r="J282">
        <v>1</v>
      </c>
      <c r="K282" t="s">
        <v>1771</v>
      </c>
      <c r="L282">
        <v>1</v>
      </c>
      <c r="M282" t="s">
        <v>2583</v>
      </c>
      <c r="N282" t="s">
        <v>2584</v>
      </c>
      <c r="O282" s="12" t="s">
        <v>2585</v>
      </c>
      <c r="P282" s="12" t="s">
        <v>2586</v>
      </c>
      <c r="Q282" s="12" t="s">
        <v>2587</v>
      </c>
      <c r="R282" s="12" t="s">
        <v>1819</v>
      </c>
      <c r="S282" s="12">
        <v>2023</v>
      </c>
      <c r="T282" s="13">
        <v>44807</v>
      </c>
      <c r="U282" s="12" t="s">
        <v>2588</v>
      </c>
      <c r="V282" s="12"/>
      <c r="W282" s="12" t="s">
        <v>2589</v>
      </c>
      <c r="X282" t="e">
        <f>COUNTIF(#REF!,W282)</f>
        <v>#REF!</v>
      </c>
      <c r="Y282">
        <f t="shared" si="12"/>
        <v>912</v>
      </c>
      <c r="Z282">
        <f t="shared" si="13"/>
        <v>9</v>
      </c>
      <c r="AA282">
        <f t="shared" si="14"/>
        <v>1</v>
      </c>
    </row>
    <row r="283" spans="1:27" x14ac:dyDescent="0.3">
      <c r="A283" t="s">
        <v>2654</v>
      </c>
      <c r="B283" t="s">
        <v>1351</v>
      </c>
      <c r="C283">
        <v>36964585</v>
      </c>
      <c r="D283" t="s">
        <v>1511</v>
      </c>
      <c r="E283">
        <v>0</v>
      </c>
      <c r="F283" t="s">
        <v>1405</v>
      </c>
      <c r="G283">
        <f>35+48</f>
        <v>83</v>
      </c>
      <c r="H283">
        <v>2</v>
      </c>
      <c r="J283">
        <v>1</v>
      </c>
      <c r="K283" t="s">
        <v>2591</v>
      </c>
      <c r="L283">
        <v>2</v>
      </c>
      <c r="M283" t="s">
        <v>2592</v>
      </c>
      <c r="N283" t="s">
        <v>2593</v>
      </c>
      <c r="O283" s="12" t="s">
        <v>2594</v>
      </c>
      <c r="P283" s="12" t="s">
        <v>2595</v>
      </c>
      <c r="Q283" s="12" t="s">
        <v>2596</v>
      </c>
      <c r="R283" s="12" t="s">
        <v>454</v>
      </c>
      <c r="S283" s="12">
        <v>2023</v>
      </c>
      <c r="T283" s="13">
        <v>45010</v>
      </c>
      <c r="U283" s="12" t="s">
        <v>2597</v>
      </c>
      <c r="V283" s="12"/>
      <c r="W283" s="12" t="s">
        <v>2598</v>
      </c>
      <c r="X283" t="e">
        <f>COUNTIF(#REF!,W283)</f>
        <v>#REF!</v>
      </c>
      <c r="Y283">
        <f t="shared" si="12"/>
        <v>166</v>
      </c>
      <c r="Z283">
        <f t="shared" si="13"/>
        <v>1</v>
      </c>
      <c r="AA283">
        <f t="shared" si="14"/>
        <v>1</v>
      </c>
    </row>
    <row r="284" spans="1:27" x14ac:dyDescent="0.3">
      <c r="A284" t="s">
        <v>2654</v>
      </c>
      <c r="B284" t="s">
        <v>1351</v>
      </c>
      <c r="C284">
        <v>36769380</v>
      </c>
      <c r="D284" t="s">
        <v>1512</v>
      </c>
      <c r="E284">
        <v>0</v>
      </c>
      <c r="F284" t="s">
        <v>143</v>
      </c>
      <c r="G284">
        <f>71*2</f>
        <v>142</v>
      </c>
      <c r="H284">
        <v>2</v>
      </c>
      <c r="K284" t="s">
        <v>1695</v>
      </c>
      <c r="L284">
        <v>1</v>
      </c>
      <c r="M284" t="s">
        <v>2599</v>
      </c>
      <c r="N284" t="s">
        <v>2600</v>
      </c>
      <c r="O284" s="12" t="s">
        <v>2601</v>
      </c>
      <c r="P284" s="12" t="s">
        <v>2602</v>
      </c>
      <c r="Q284" s="12" t="s">
        <v>2603</v>
      </c>
      <c r="R284" s="12" t="s">
        <v>168</v>
      </c>
      <c r="S284" s="12">
        <v>2023</v>
      </c>
      <c r="T284" s="13">
        <v>44968</v>
      </c>
      <c r="U284" s="12" t="s">
        <v>2604</v>
      </c>
      <c r="V284" s="12"/>
      <c r="W284" s="12" t="s">
        <v>2605</v>
      </c>
      <c r="X284" t="e">
        <f>COUNTIF(#REF!,W284)</f>
        <v>#REF!</v>
      </c>
      <c r="Y284">
        <f t="shared" si="12"/>
        <v>142</v>
      </c>
      <c r="Z284">
        <f t="shared" si="13"/>
        <v>1</v>
      </c>
      <c r="AA284">
        <f t="shared" si="14"/>
        <v>0</v>
      </c>
    </row>
    <row r="285" spans="1:27" x14ac:dyDescent="0.3">
      <c r="A285" t="s">
        <v>2654</v>
      </c>
      <c r="B285" t="s">
        <v>1351</v>
      </c>
      <c r="C285">
        <v>36599698</v>
      </c>
      <c r="D285" t="s">
        <v>1513</v>
      </c>
      <c r="E285">
        <v>0</v>
      </c>
      <c r="F285" t="s">
        <v>143</v>
      </c>
      <c r="G285">
        <f>113+118</f>
        <v>231</v>
      </c>
      <c r="H285">
        <v>2</v>
      </c>
      <c r="J285">
        <v>2</v>
      </c>
      <c r="K285" t="s">
        <v>1695</v>
      </c>
      <c r="L285">
        <v>2</v>
      </c>
      <c r="M285" t="s">
        <v>2607</v>
      </c>
      <c r="N285" t="s">
        <v>2608</v>
      </c>
      <c r="O285" s="12" t="s">
        <v>2609</v>
      </c>
      <c r="P285" s="12" t="s">
        <v>2610</v>
      </c>
      <c r="Q285" s="12" t="s">
        <v>2611</v>
      </c>
      <c r="R285" s="12" t="s">
        <v>143</v>
      </c>
      <c r="S285" s="12">
        <v>2023</v>
      </c>
      <c r="T285" s="13">
        <v>44930</v>
      </c>
      <c r="U285" s="12" t="s">
        <v>2612</v>
      </c>
      <c r="V285" s="12"/>
      <c r="W285" s="12" t="s">
        <v>2613</v>
      </c>
      <c r="X285" t="e">
        <f>COUNTIF(#REF!,W285)</f>
        <v>#REF!</v>
      </c>
      <c r="Y285">
        <f t="shared" si="12"/>
        <v>462</v>
      </c>
      <c r="Z285">
        <f t="shared" si="13"/>
        <v>4</v>
      </c>
      <c r="AA285">
        <f t="shared" si="14"/>
        <v>1</v>
      </c>
    </row>
    <row r="286" spans="1:27" x14ac:dyDescent="0.3">
      <c r="A286" t="s">
        <v>2654</v>
      </c>
      <c r="B286" t="s">
        <v>1351</v>
      </c>
      <c r="C286">
        <v>36130946</v>
      </c>
      <c r="D286" t="s">
        <v>1514</v>
      </c>
      <c r="E286">
        <v>0</v>
      </c>
      <c r="F286" t="s">
        <v>143</v>
      </c>
      <c r="G286">
        <v>91</v>
      </c>
      <c r="H286">
        <v>1</v>
      </c>
      <c r="K286" t="s">
        <v>1804</v>
      </c>
      <c r="L286">
        <v>1</v>
      </c>
      <c r="M286" t="s">
        <v>2614</v>
      </c>
      <c r="N286" t="s">
        <v>2615</v>
      </c>
      <c r="O286" s="12" t="s">
        <v>2616</v>
      </c>
      <c r="P286" s="12" t="s">
        <v>2617</v>
      </c>
      <c r="Q286" s="12" t="s">
        <v>2618</v>
      </c>
      <c r="R286" s="12" t="s">
        <v>2619</v>
      </c>
      <c r="S286" s="12">
        <v>2022</v>
      </c>
      <c r="T286" s="13">
        <v>44825</v>
      </c>
      <c r="U286" s="12" t="s">
        <v>2620</v>
      </c>
      <c r="V286" s="12"/>
      <c r="W286" s="12" t="s">
        <v>2621</v>
      </c>
      <c r="X286" t="e">
        <f>COUNTIF(#REF!,W286)</f>
        <v>#REF!</v>
      </c>
      <c r="Y286">
        <f t="shared" si="12"/>
        <v>91</v>
      </c>
      <c r="Z286">
        <f t="shared" si="13"/>
        <v>0</v>
      </c>
      <c r="AA286">
        <f t="shared" si="14"/>
        <v>1</v>
      </c>
    </row>
    <row r="287" spans="1:27" x14ac:dyDescent="0.3">
      <c r="A287" t="s">
        <v>2654</v>
      </c>
      <c r="B287" t="s">
        <v>1351</v>
      </c>
      <c r="C287">
        <v>36742995</v>
      </c>
      <c r="D287" t="s">
        <v>1515</v>
      </c>
      <c r="E287">
        <v>0</v>
      </c>
      <c r="F287" t="s">
        <v>143</v>
      </c>
      <c r="G287">
        <f>155*2</f>
        <v>310</v>
      </c>
      <c r="H287">
        <v>2</v>
      </c>
      <c r="J287">
        <v>1</v>
      </c>
      <c r="K287" t="s">
        <v>2622</v>
      </c>
      <c r="L287">
        <v>3</v>
      </c>
      <c r="M287" t="s">
        <v>2623</v>
      </c>
      <c r="O287" s="12" t="s">
        <v>2624</v>
      </c>
      <c r="P287" s="12" t="s">
        <v>2625</v>
      </c>
      <c r="Q287" s="12" t="s">
        <v>2626</v>
      </c>
      <c r="R287" s="12" t="s">
        <v>2627</v>
      </c>
      <c r="S287" s="12">
        <v>2023</v>
      </c>
      <c r="T287" s="13">
        <v>44963</v>
      </c>
      <c r="U287" s="12" t="s">
        <v>2628</v>
      </c>
      <c r="V287" s="12"/>
      <c r="W287" s="12" t="s">
        <v>2629</v>
      </c>
      <c r="X287" t="e">
        <f>COUNTIF(#REF!,W287)</f>
        <v>#REF!</v>
      </c>
      <c r="Y287">
        <f t="shared" si="12"/>
        <v>930</v>
      </c>
      <c r="Z287">
        <f t="shared" si="13"/>
        <v>9</v>
      </c>
      <c r="AA287">
        <f t="shared" si="14"/>
        <v>1</v>
      </c>
    </row>
    <row r="288" spans="1:27" x14ac:dyDescent="0.3">
      <c r="A288" t="s">
        <v>2654</v>
      </c>
      <c r="B288" t="s">
        <v>1351</v>
      </c>
      <c r="C288">
        <v>36915135</v>
      </c>
      <c r="D288" t="s">
        <v>1516</v>
      </c>
      <c r="E288">
        <v>0</v>
      </c>
      <c r="F288" t="s">
        <v>143</v>
      </c>
      <c r="G288">
        <v>158</v>
      </c>
      <c r="H288">
        <v>4</v>
      </c>
      <c r="J288">
        <v>0</v>
      </c>
      <c r="K288" t="s">
        <v>2630</v>
      </c>
      <c r="L288">
        <v>1</v>
      </c>
      <c r="M288" t="s">
        <v>2631</v>
      </c>
      <c r="N288" t="s">
        <v>2632</v>
      </c>
      <c r="O288" s="12" t="s">
        <v>2633</v>
      </c>
      <c r="P288" s="12" t="s">
        <v>2634</v>
      </c>
      <c r="Q288" s="12" t="s">
        <v>2635</v>
      </c>
      <c r="R288" s="12" t="s">
        <v>454</v>
      </c>
      <c r="S288" s="12">
        <v>2023</v>
      </c>
      <c r="T288" s="13">
        <v>44999</v>
      </c>
      <c r="U288" s="12" t="s">
        <v>2636</v>
      </c>
      <c r="V288" s="12"/>
      <c r="W288" s="12" t="s">
        <v>2637</v>
      </c>
      <c r="X288" t="e">
        <f>COUNTIF(#REF!,W288)</f>
        <v>#REF!</v>
      </c>
      <c r="Y288">
        <f t="shared" si="12"/>
        <v>158</v>
      </c>
      <c r="Z288">
        <f t="shared" si="13"/>
        <v>1</v>
      </c>
      <c r="AA288">
        <f t="shared" si="14"/>
        <v>1</v>
      </c>
    </row>
    <row r="289" spans="1:27" x14ac:dyDescent="0.3">
      <c r="A289" t="s">
        <v>2654</v>
      </c>
      <c r="B289" t="s">
        <v>1351</v>
      </c>
      <c r="C289">
        <v>36964594</v>
      </c>
      <c r="D289" t="s">
        <v>1517</v>
      </c>
      <c r="E289">
        <v>0</v>
      </c>
      <c r="F289" t="s">
        <v>1518</v>
      </c>
      <c r="G289">
        <v>60</v>
      </c>
      <c r="H289">
        <v>1</v>
      </c>
      <c r="J289">
        <v>1</v>
      </c>
      <c r="K289" t="s">
        <v>2638</v>
      </c>
      <c r="L289">
        <v>1</v>
      </c>
      <c r="M289" t="s">
        <v>2232</v>
      </c>
      <c r="N289" t="s">
        <v>2639</v>
      </c>
      <c r="O289" s="12" t="s">
        <v>2640</v>
      </c>
      <c r="P289" s="12" t="s">
        <v>2641</v>
      </c>
      <c r="Q289" s="12" t="s">
        <v>2642</v>
      </c>
      <c r="R289" s="12" t="s">
        <v>454</v>
      </c>
      <c r="S289" s="12">
        <v>2023</v>
      </c>
      <c r="T289" s="13">
        <v>45010</v>
      </c>
      <c r="U289" s="12" t="s">
        <v>2643</v>
      </c>
      <c r="V289" s="12"/>
      <c r="W289" s="12" t="s">
        <v>2644</v>
      </c>
      <c r="X289" t="e">
        <f>COUNTIF(#REF!,W289)</f>
        <v>#REF!</v>
      </c>
      <c r="Y289">
        <f t="shared" si="12"/>
        <v>60</v>
      </c>
      <c r="Z289">
        <f t="shared" si="13"/>
        <v>0</v>
      </c>
      <c r="AA289">
        <f t="shared" si="14"/>
        <v>1</v>
      </c>
    </row>
    <row r="290" spans="1:27" x14ac:dyDescent="0.3">
      <c r="A290" t="s">
        <v>2654</v>
      </c>
      <c r="B290" t="s">
        <v>1351</v>
      </c>
      <c r="C290">
        <v>36745446</v>
      </c>
      <c r="D290" t="s">
        <v>1519</v>
      </c>
      <c r="E290">
        <v>0</v>
      </c>
      <c r="F290" t="s">
        <v>1520</v>
      </c>
      <c r="G290">
        <f>355*2</f>
        <v>710</v>
      </c>
      <c r="H290">
        <v>2</v>
      </c>
      <c r="J290">
        <v>1</v>
      </c>
      <c r="K290" t="s">
        <v>2646</v>
      </c>
      <c r="L290">
        <v>1</v>
      </c>
      <c r="M290" t="s">
        <v>2607</v>
      </c>
      <c r="N290" t="s">
        <v>2647</v>
      </c>
      <c r="O290" s="12" t="s">
        <v>2648</v>
      </c>
      <c r="P290" s="12" t="s">
        <v>2649</v>
      </c>
      <c r="Q290" s="12" t="s">
        <v>2650</v>
      </c>
      <c r="R290" s="12" t="s">
        <v>1597</v>
      </c>
      <c r="S290" s="12">
        <v>2023</v>
      </c>
      <c r="T290" s="13">
        <v>44963</v>
      </c>
      <c r="U290" s="12" t="s">
        <v>2651</v>
      </c>
      <c r="V290" s="12"/>
      <c r="W290" s="12" t="s">
        <v>2652</v>
      </c>
      <c r="X290" t="e">
        <f>COUNTIF(#REF!,W290)</f>
        <v>#REF!</v>
      </c>
      <c r="Y290">
        <f t="shared" si="12"/>
        <v>710</v>
      </c>
      <c r="Z290">
        <f t="shared" si="13"/>
        <v>7</v>
      </c>
      <c r="AA290">
        <f t="shared" si="14"/>
        <v>0</v>
      </c>
    </row>
    <row r="291" spans="1:27" x14ac:dyDescent="0.3">
      <c r="A291" t="s">
        <v>2867</v>
      </c>
      <c r="B291" t="s">
        <v>1351</v>
      </c>
      <c r="C291" s="12">
        <v>36865568</v>
      </c>
      <c r="D291" s="12" t="s">
        <v>2655</v>
      </c>
      <c r="E291" s="12">
        <v>0</v>
      </c>
      <c r="F291" s="12" t="s">
        <v>2656</v>
      </c>
      <c r="G291" s="12">
        <v>230</v>
      </c>
      <c r="H291" s="12">
        <v>18</v>
      </c>
      <c r="J291" s="12">
        <v>7</v>
      </c>
      <c r="K291" s="12" t="s">
        <v>2657</v>
      </c>
      <c r="L291" s="12">
        <v>3</v>
      </c>
      <c r="M291" s="12" t="s">
        <v>2658</v>
      </c>
      <c r="N291" s="12" t="s">
        <v>2659</v>
      </c>
      <c r="O291" s="12" t="s">
        <v>2660</v>
      </c>
      <c r="P291" s="12" t="s">
        <v>2661</v>
      </c>
      <c r="Q291" s="12" t="s">
        <v>2662</v>
      </c>
      <c r="R291" s="12" t="s">
        <v>2663</v>
      </c>
      <c r="S291" s="12">
        <v>2023</v>
      </c>
      <c r="T291" s="13">
        <v>44988</v>
      </c>
      <c r="U291" s="12" t="s">
        <v>2664</v>
      </c>
      <c r="V291" s="12"/>
      <c r="W291" s="12" t="s">
        <v>2665</v>
      </c>
      <c r="X291" s="12">
        <v>0</v>
      </c>
      <c r="Y291">
        <f t="shared" si="12"/>
        <v>690</v>
      </c>
      <c r="Z291">
        <f t="shared" si="13"/>
        <v>7</v>
      </c>
      <c r="AA291">
        <f t="shared" si="14"/>
        <v>0</v>
      </c>
    </row>
    <row r="292" spans="1:27" x14ac:dyDescent="0.3">
      <c r="A292" t="s">
        <v>2867</v>
      </c>
      <c r="B292" t="s">
        <v>1351</v>
      </c>
      <c r="C292" s="12">
        <v>36627721</v>
      </c>
      <c r="D292" s="12" t="s">
        <v>2666</v>
      </c>
      <c r="E292" s="12">
        <v>0</v>
      </c>
      <c r="F292" s="12" t="s">
        <v>2667</v>
      </c>
      <c r="G292" s="12">
        <v>12</v>
      </c>
      <c r="H292" s="12">
        <v>10</v>
      </c>
      <c r="J292" s="12">
        <v>2</v>
      </c>
      <c r="K292" s="12" t="s">
        <v>2668</v>
      </c>
      <c r="L292" s="12">
        <v>1</v>
      </c>
      <c r="M292" s="12" t="s">
        <v>2669</v>
      </c>
      <c r="N292" s="12" t="s">
        <v>2670</v>
      </c>
      <c r="O292" s="12" t="s">
        <v>2671</v>
      </c>
      <c r="P292" s="12" t="s">
        <v>2672</v>
      </c>
      <c r="Q292" s="12" t="s">
        <v>2673</v>
      </c>
      <c r="R292" s="12" t="s">
        <v>2162</v>
      </c>
      <c r="S292" s="12">
        <v>2023</v>
      </c>
      <c r="T292" s="13">
        <v>44936</v>
      </c>
      <c r="U292" s="12" t="s">
        <v>2674</v>
      </c>
      <c r="V292" s="12"/>
      <c r="W292" s="12" t="s">
        <v>2675</v>
      </c>
      <c r="X292" s="12">
        <v>0</v>
      </c>
      <c r="Y292">
        <f t="shared" si="12"/>
        <v>12</v>
      </c>
      <c r="Z292">
        <f t="shared" si="13"/>
        <v>0</v>
      </c>
      <c r="AA292">
        <f t="shared" si="14"/>
        <v>0</v>
      </c>
    </row>
    <row r="293" spans="1:27" x14ac:dyDescent="0.3">
      <c r="A293" t="s">
        <v>2867</v>
      </c>
      <c r="B293" t="s">
        <v>1351</v>
      </c>
      <c r="C293" s="12">
        <v>35635366</v>
      </c>
      <c r="D293" s="12" t="s">
        <v>2676</v>
      </c>
      <c r="E293" s="12">
        <v>0</v>
      </c>
      <c r="F293" s="12" t="s">
        <v>2677</v>
      </c>
      <c r="G293" s="12"/>
      <c r="H293" s="12">
        <v>9</v>
      </c>
      <c r="J293" s="12">
        <v>1</v>
      </c>
      <c r="K293" s="12" t="s">
        <v>2678</v>
      </c>
      <c r="L293" s="12">
        <v>1</v>
      </c>
      <c r="M293" s="12" t="s">
        <v>2679</v>
      </c>
      <c r="N293" s="12" t="s">
        <v>2680</v>
      </c>
      <c r="O293" s="12" t="s">
        <v>2681</v>
      </c>
      <c r="P293" s="12" t="s">
        <v>2682</v>
      </c>
      <c r="Q293" s="12" t="s">
        <v>2683</v>
      </c>
      <c r="R293" s="12" t="s">
        <v>2684</v>
      </c>
      <c r="S293" s="12">
        <v>2022</v>
      </c>
      <c r="T293" s="13">
        <v>44712</v>
      </c>
      <c r="U293" s="12"/>
      <c r="V293" s="12"/>
      <c r="W293" s="12" t="s">
        <v>2685</v>
      </c>
      <c r="X293" s="12">
        <v>0</v>
      </c>
      <c r="Y293">
        <f t="shared" si="12"/>
        <v>0</v>
      </c>
      <c r="Z293">
        <f t="shared" si="13"/>
        <v>0</v>
      </c>
      <c r="AA293">
        <f t="shared" si="14"/>
        <v>0</v>
      </c>
    </row>
    <row r="294" spans="1:27" x14ac:dyDescent="0.3">
      <c r="A294" t="s">
        <v>2867</v>
      </c>
      <c r="B294" t="s">
        <v>1351</v>
      </c>
      <c r="C294" s="12">
        <v>35958027</v>
      </c>
      <c r="D294" s="12" t="s">
        <v>2686</v>
      </c>
      <c r="E294" s="12">
        <v>0</v>
      </c>
      <c r="F294" s="12" t="s">
        <v>1496</v>
      </c>
      <c r="G294" s="12"/>
      <c r="H294" s="12"/>
      <c r="J294" s="12"/>
      <c r="K294" s="12"/>
      <c r="L294" s="12"/>
      <c r="M294" s="12"/>
      <c r="N294" s="12" t="s">
        <v>2687</v>
      </c>
      <c r="O294" s="12" t="s">
        <v>2688</v>
      </c>
      <c r="P294" s="12" t="s">
        <v>2689</v>
      </c>
      <c r="Q294" s="12" t="s">
        <v>2690</v>
      </c>
      <c r="R294" s="12" t="s">
        <v>2691</v>
      </c>
      <c r="S294" s="12">
        <v>2022</v>
      </c>
      <c r="T294" s="13">
        <v>44785</v>
      </c>
      <c r="U294" s="12" t="s">
        <v>2692</v>
      </c>
      <c r="V294" s="12"/>
      <c r="W294" s="12" t="s">
        <v>2693</v>
      </c>
      <c r="X294" s="12">
        <v>0</v>
      </c>
      <c r="Y294">
        <f t="shared" si="12"/>
        <v>0</v>
      </c>
      <c r="Z294">
        <f t="shared" si="13"/>
        <v>0</v>
      </c>
      <c r="AA294">
        <f t="shared" si="14"/>
        <v>0</v>
      </c>
    </row>
    <row r="295" spans="1:27" x14ac:dyDescent="0.3">
      <c r="A295" t="s">
        <v>2867</v>
      </c>
      <c r="B295" t="s">
        <v>1351</v>
      </c>
      <c r="C295" s="12">
        <v>35887628</v>
      </c>
      <c r="D295" s="12" t="s">
        <v>2694</v>
      </c>
      <c r="E295" s="12">
        <v>0</v>
      </c>
      <c r="F295" s="12" t="s">
        <v>2695</v>
      </c>
      <c r="G295" s="12">
        <v>5001</v>
      </c>
      <c r="H295" s="12">
        <v>21</v>
      </c>
      <c r="J295" s="12">
        <v>1</v>
      </c>
      <c r="K295" s="12" t="s">
        <v>2696</v>
      </c>
      <c r="L295" s="12">
        <v>1</v>
      </c>
      <c r="M295" s="12" t="s">
        <v>2697</v>
      </c>
      <c r="N295" s="12" t="s">
        <v>2698</v>
      </c>
      <c r="O295" s="12" t="s">
        <v>2699</v>
      </c>
      <c r="P295" s="12" t="s">
        <v>2700</v>
      </c>
      <c r="Q295" s="12" t="s">
        <v>2701</v>
      </c>
      <c r="R295" s="12" t="s">
        <v>2702</v>
      </c>
      <c r="S295" s="12">
        <v>2022</v>
      </c>
      <c r="T295" s="13">
        <v>44769</v>
      </c>
      <c r="U295" s="12" t="s">
        <v>2703</v>
      </c>
      <c r="V295" s="12"/>
      <c r="W295" s="12" t="s">
        <v>2704</v>
      </c>
      <c r="X295" s="12">
        <v>0</v>
      </c>
      <c r="Y295">
        <f t="shared" si="12"/>
        <v>5001</v>
      </c>
      <c r="Z295">
        <f t="shared" si="13"/>
        <v>52</v>
      </c>
      <c r="AA295">
        <f t="shared" si="14"/>
        <v>0</v>
      </c>
    </row>
    <row r="296" spans="1:27" x14ac:dyDescent="0.3">
      <c r="A296" t="s">
        <v>2867</v>
      </c>
      <c r="B296" t="s">
        <v>1351</v>
      </c>
      <c r="C296" s="12">
        <v>36107828</v>
      </c>
      <c r="D296" s="12" t="s">
        <v>2705</v>
      </c>
      <c r="E296" s="12">
        <v>0</v>
      </c>
      <c r="F296" s="12" t="s">
        <v>1496</v>
      </c>
      <c r="G296" s="12"/>
      <c r="H296" s="12">
        <v>11</v>
      </c>
      <c r="J296" s="12">
        <v>7</v>
      </c>
      <c r="K296" s="12" t="s">
        <v>2706</v>
      </c>
      <c r="L296" s="12">
        <v>1</v>
      </c>
      <c r="M296" s="12" t="s">
        <v>2707</v>
      </c>
      <c r="N296" s="12" t="s">
        <v>2708</v>
      </c>
      <c r="O296" s="12" t="s">
        <v>2709</v>
      </c>
      <c r="P296" s="12" t="s">
        <v>2710</v>
      </c>
      <c r="Q296" s="12" t="s">
        <v>2711</v>
      </c>
      <c r="R296" s="12" t="s">
        <v>2712</v>
      </c>
      <c r="S296" s="12">
        <v>2022</v>
      </c>
      <c r="T296" s="13">
        <v>44819</v>
      </c>
      <c r="U296" s="12"/>
      <c r="V296" s="12"/>
      <c r="W296" s="12" t="s">
        <v>2713</v>
      </c>
      <c r="X296" s="12">
        <v>0</v>
      </c>
      <c r="Y296">
        <f t="shared" si="12"/>
        <v>0</v>
      </c>
      <c r="Z296">
        <f t="shared" si="13"/>
        <v>0</v>
      </c>
      <c r="AA296">
        <f t="shared" si="14"/>
        <v>0</v>
      </c>
    </row>
    <row r="297" spans="1:27" x14ac:dyDescent="0.3">
      <c r="A297" t="s">
        <v>2867</v>
      </c>
      <c r="B297" t="s">
        <v>1351</v>
      </c>
      <c r="C297" s="12">
        <v>36368950</v>
      </c>
      <c r="D297" s="12" t="s">
        <v>2714</v>
      </c>
      <c r="E297" s="12">
        <v>0</v>
      </c>
      <c r="F297" s="12" t="s">
        <v>2677</v>
      </c>
      <c r="G297" s="12">
        <v>4586</v>
      </c>
      <c r="H297" s="12">
        <v>2</v>
      </c>
      <c r="J297" s="12">
        <v>2</v>
      </c>
      <c r="K297" s="12" t="s">
        <v>2715</v>
      </c>
      <c r="L297" s="12">
        <v>1</v>
      </c>
      <c r="M297" s="12" t="s">
        <v>2716</v>
      </c>
      <c r="N297" s="12"/>
      <c r="O297" s="12" t="s">
        <v>2717</v>
      </c>
      <c r="P297" s="12" t="s">
        <v>2718</v>
      </c>
      <c r="Q297" s="12" t="s">
        <v>2719</v>
      </c>
      <c r="R297" s="12" t="s">
        <v>2720</v>
      </c>
      <c r="S297" s="12">
        <v>2022</v>
      </c>
      <c r="T297" s="13">
        <v>44876</v>
      </c>
      <c r="U297" s="12" t="s">
        <v>2721</v>
      </c>
      <c r="V297" s="12"/>
      <c r="W297" s="12" t="s">
        <v>2722</v>
      </c>
      <c r="X297" s="12">
        <v>0</v>
      </c>
      <c r="Y297">
        <f t="shared" si="12"/>
        <v>4586</v>
      </c>
      <c r="Z297">
        <f t="shared" si="13"/>
        <v>47</v>
      </c>
      <c r="AA297">
        <f t="shared" si="14"/>
        <v>1</v>
      </c>
    </row>
    <row r="298" spans="1:27" x14ac:dyDescent="0.3">
      <c r="A298" t="s">
        <v>2867</v>
      </c>
      <c r="B298" t="s">
        <v>1351</v>
      </c>
      <c r="C298" s="12">
        <v>36533509</v>
      </c>
      <c r="D298" s="12" t="s">
        <v>2723</v>
      </c>
      <c r="E298" s="12">
        <v>0</v>
      </c>
      <c r="F298" s="12" t="s">
        <v>2695</v>
      </c>
      <c r="G298" s="12">
        <v>857</v>
      </c>
      <c r="H298" s="12">
        <v>1</v>
      </c>
      <c r="J298" s="12">
        <v>1</v>
      </c>
      <c r="K298" s="12" t="s">
        <v>2724</v>
      </c>
      <c r="L298" s="12">
        <v>1</v>
      </c>
      <c r="M298" s="12" t="s">
        <v>2725</v>
      </c>
      <c r="N298" s="12" t="s">
        <v>2726</v>
      </c>
      <c r="O298" s="12" t="s">
        <v>2727</v>
      </c>
      <c r="P298" s="12" t="s">
        <v>2728</v>
      </c>
      <c r="Q298" s="12" t="s">
        <v>2729</v>
      </c>
      <c r="R298" s="12" t="s">
        <v>949</v>
      </c>
      <c r="S298" s="12">
        <v>2022</v>
      </c>
      <c r="T298" s="13">
        <v>44914</v>
      </c>
      <c r="U298" s="12"/>
      <c r="V298" s="12"/>
      <c r="W298" s="12" t="s">
        <v>2730</v>
      </c>
      <c r="X298" s="12">
        <v>0</v>
      </c>
      <c r="Y298">
        <f t="shared" si="12"/>
        <v>857</v>
      </c>
      <c r="Z298">
        <f t="shared" si="13"/>
        <v>8</v>
      </c>
      <c r="AA298">
        <f t="shared" si="14"/>
        <v>1</v>
      </c>
    </row>
    <row r="299" spans="1:27" x14ac:dyDescent="0.3">
      <c r="A299" t="s">
        <v>2867</v>
      </c>
      <c r="B299" t="s">
        <v>1351</v>
      </c>
      <c r="C299" s="12">
        <v>35937088</v>
      </c>
      <c r="D299" s="12" t="s">
        <v>2731</v>
      </c>
      <c r="E299" s="12">
        <v>1</v>
      </c>
      <c r="F299" s="12" t="s">
        <v>1480</v>
      </c>
      <c r="G299" s="12">
        <v>121</v>
      </c>
      <c r="H299" s="12">
        <v>15</v>
      </c>
      <c r="J299" s="12">
        <v>2</v>
      </c>
      <c r="K299" s="12" t="s">
        <v>6071</v>
      </c>
      <c r="L299" s="12">
        <v>5</v>
      </c>
      <c r="M299" s="12" t="s">
        <v>2732</v>
      </c>
      <c r="N299" s="12" t="s">
        <v>2733</v>
      </c>
      <c r="O299" s="12" t="s">
        <v>2734</v>
      </c>
      <c r="P299" s="12" t="s">
        <v>2735</v>
      </c>
      <c r="Q299" s="12" t="s">
        <v>2736</v>
      </c>
      <c r="R299" s="12" t="s">
        <v>2691</v>
      </c>
      <c r="S299" s="12">
        <v>2022</v>
      </c>
      <c r="T299" s="13">
        <v>44781</v>
      </c>
      <c r="U299" s="12" t="s">
        <v>2737</v>
      </c>
      <c r="V299" s="12"/>
      <c r="W299" s="12" t="s">
        <v>2738</v>
      </c>
      <c r="X299" s="12">
        <v>0</v>
      </c>
      <c r="Y299">
        <f t="shared" si="12"/>
        <v>605</v>
      </c>
      <c r="Z299">
        <f t="shared" si="13"/>
        <v>6</v>
      </c>
      <c r="AA299">
        <f t="shared" si="14"/>
        <v>0</v>
      </c>
    </row>
    <row r="300" spans="1:27" x14ac:dyDescent="0.3">
      <c r="A300" t="s">
        <v>2867</v>
      </c>
      <c r="B300" t="s">
        <v>1351</v>
      </c>
      <c r="C300" s="12">
        <v>36788117</v>
      </c>
      <c r="D300" s="12" t="s">
        <v>1380</v>
      </c>
      <c r="E300" s="12">
        <v>1</v>
      </c>
      <c r="F300" s="12" t="s">
        <v>143</v>
      </c>
      <c r="G300" s="12">
        <v>177</v>
      </c>
      <c r="H300" s="12">
        <v>1</v>
      </c>
      <c r="J300" s="12">
        <v>1</v>
      </c>
      <c r="K300" s="12" t="s">
        <v>835</v>
      </c>
      <c r="L300" s="12">
        <v>1</v>
      </c>
      <c r="M300" s="12" t="s">
        <v>2739</v>
      </c>
      <c r="N300" s="12" t="s">
        <v>2740</v>
      </c>
      <c r="O300" s="12" t="s">
        <v>1721</v>
      </c>
      <c r="P300" s="12" t="s">
        <v>1722</v>
      </c>
      <c r="Q300" s="12" t="s">
        <v>1723</v>
      </c>
      <c r="R300" s="12" t="s">
        <v>1724</v>
      </c>
      <c r="S300" s="12">
        <v>2023</v>
      </c>
      <c r="T300" s="13">
        <v>44971</v>
      </c>
      <c r="U300" s="12"/>
      <c r="V300" s="12"/>
      <c r="W300" s="12" t="s">
        <v>1725</v>
      </c>
      <c r="X300" s="12">
        <v>0</v>
      </c>
      <c r="Y300">
        <f t="shared" si="12"/>
        <v>177</v>
      </c>
      <c r="Z300">
        <f t="shared" si="13"/>
        <v>1</v>
      </c>
      <c r="AA300">
        <f t="shared" si="14"/>
        <v>1</v>
      </c>
    </row>
    <row r="301" spans="1:27" x14ac:dyDescent="0.3">
      <c r="A301" t="s">
        <v>2867</v>
      </c>
      <c r="B301" t="s">
        <v>1351</v>
      </c>
      <c r="C301" s="12">
        <v>36200629</v>
      </c>
      <c r="D301" s="12" t="s">
        <v>2741</v>
      </c>
      <c r="E301" s="12">
        <v>0</v>
      </c>
      <c r="F301" s="12" t="s">
        <v>143</v>
      </c>
      <c r="G301" s="12">
        <v>123</v>
      </c>
      <c r="H301" s="12">
        <v>2</v>
      </c>
      <c r="J301" s="12">
        <v>1</v>
      </c>
      <c r="K301" s="12" t="s">
        <v>1695</v>
      </c>
      <c r="L301" s="12">
        <v>2</v>
      </c>
      <c r="M301" s="12" t="s">
        <v>2742</v>
      </c>
      <c r="N301" s="12" t="s">
        <v>2743</v>
      </c>
      <c r="O301" s="12" t="s">
        <v>2744</v>
      </c>
      <c r="P301" s="12" t="s">
        <v>2745</v>
      </c>
      <c r="Q301" s="12" t="s">
        <v>2746</v>
      </c>
      <c r="R301" s="12" t="s">
        <v>2063</v>
      </c>
      <c r="S301" s="12">
        <v>2022</v>
      </c>
      <c r="T301" s="13">
        <v>44840</v>
      </c>
      <c r="U301" s="12"/>
      <c r="V301" s="12"/>
      <c r="W301" s="12" t="s">
        <v>2747</v>
      </c>
      <c r="X301" s="12">
        <v>0</v>
      </c>
      <c r="Y301">
        <f t="shared" si="12"/>
        <v>246</v>
      </c>
      <c r="Z301">
        <f t="shared" si="13"/>
        <v>2</v>
      </c>
      <c r="AA301">
        <f t="shared" si="14"/>
        <v>1</v>
      </c>
    </row>
    <row r="302" spans="1:27" x14ac:dyDescent="0.3">
      <c r="A302" t="s">
        <v>2867</v>
      </c>
      <c r="B302" t="s">
        <v>1351</v>
      </c>
      <c r="C302" s="12">
        <v>36179121</v>
      </c>
      <c r="D302" s="12" t="s">
        <v>2748</v>
      </c>
      <c r="E302" s="12">
        <v>0</v>
      </c>
      <c r="F302" s="12" t="s">
        <v>2677</v>
      </c>
      <c r="G302" s="12">
        <v>105</v>
      </c>
      <c r="H302" s="12">
        <v>12</v>
      </c>
      <c r="J302" s="12"/>
      <c r="K302" s="12" t="s">
        <v>2749</v>
      </c>
      <c r="L302" s="12">
        <v>2</v>
      </c>
      <c r="M302" s="12" t="s">
        <v>2750</v>
      </c>
      <c r="N302" s="12" t="s">
        <v>2751</v>
      </c>
      <c r="O302" s="12" t="s">
        <v>2752</v>
      </c>
      <c r="P302" s="12" t="s">
        <v>2753</v>
      </c>
      <c r="Q302" s="12" t="s">
        <v>2754</v>
      </c>
      <c r="R302" s="12" t="s">
        <v>2755</v>
      </c>
      <c r="S302" s="12">
        <v>2022</v>
      </c>
      <c r="T302" s="13">
        <v>44834</v>
      </c>
      <c r="U302" s="12" t="s">
        <v>2756</v>
      </c>
      <c r="V302" s="12"/>
      <c r="W302" s="12" t="s">
        <v>2757</v>
      </c>
      <c r="X302" s="12">
        <v>0</v>
      </c>
      <c r="Y302">
        <f t="shared" si="12"/>
        <v>210</v>
      </c>
      <c r="Z302">
        <f t="shared" si="13"/>
        <v>2</v>
      </c>
      <c r="AA302">
        <f t="shared" si="14"/>
        <v>0</v>
      </c>
    </row>
    <row r="303" spans="1:27" x14ac:dyDescent="0.3">
      <c r="A303" t="s">
        <v>2867</v>
      </c>
      <c r="B303" t="s">
        <v>1351</v>
      </c>
      <c r="C303" s="12">
        <v>36250225</v>
      </c>
      <c r="D303" s="12" t="s">
        <v>2758</v>
      </c>
      <c r="E303" s="12">
        <v>0</v>
      </c>
      <c r="F303" s="12" t="s">
        <v>2759</v>
      </c>
      <c r="G303" s="12">
        <v>36</v>
      </c>
      <c r="H303" s="12">
        <v>13</v>
      </c>
      <c r="J303" s="12">
        <v>2</v>
      </c>
      <c r="K303" s="12" t="s">
        <v>2760</v>
      </c>
      <c r="L303" s="12">
        <v>1</v>
      </c>
      <c r="M303" s="12" t="s">
        <v>2761</v>
      </c>
      <c r="N303" s="12" t="s">
        <v>2762</v>
      </c>
      <c r="O303" s="12" t="s">
        <v>2763</v>
      </c>
      <c r="P303" s="12" t="s">
        <v>2764</v>
      </c>
      <c r="Q303" s="12" t="s">
        <v>2765</v>
      </c>
      <c r="R303" s="12" t="s">
        <v>2766</v>
      </c>
      <c r="S303" s="12">
        <v>2022</v>
      </c>
      <c r="T303" s="13">
        <v>44851</v>
      </c>
      <c r="U303" s="12" t="s">
        <v>2767</v>
      </c>
      <c r="V303" s="12"/>
      <c r="W303" s="12" t="s">
        <v>2768</v>
      </c>
      <c r="X303" s="12">
        <v>0</v>
      </c>
      <c r="Y303">
        <f t="shared" si="12"/>
        <v>36</v>
      </c>
      <c r="Z303">
        <f t="shared" si="13"/>
        <v>0</v>
      </c>
      <c r="AA303">
        <f t="shared" si="14"/>
        <v>0</v>
      </c>
    </row>
    <row r="304" spans="1:27" x14ac:dyDescent="0.3">
      <c r="A304" t="s">
        <v>2867</v>
      </c>
      <c r="B304" t="s">
        <v>1351</v>
      </c>
      <c r="C304" s="12">
        <v>35982133</v>
      </c>
      <c r="D304" s="12" t="s">
        <v>2769</v>
      </c>
      <c r="E304" s="12">
        <v>1</v>
      </c>
      <c r="F304" s="12" t="s">
        <v>112</v>
      </c>
      <c r="G304" s="12">
        <v>121</v>
      </c>
      <c r="H304" s="12">
        <v>3</v>
      </c>
      <c r="J304" s="12"/>
      <c r="K304" s="12" t="s">
        <v>2770</v>
      </c>
      <c r="L304" s="12">
        <v>1</v>
      </c>
      <c r="M304" s="12"/>
      <c r="N304" s="12" t="s">
        <v>2771</v>
      </c>
      <c r="O304" s="12" t="s">
        <v>2772</v>
      </c>
      <c r="P304" s="12" t="s">
        <v>2773</v>
      </c>
      <c r="Q304" s="12" t="s">
        <v>2774</v>
      </c>
      <c r="R304" s="12" t="s">
        <v>246</v>
      </c>
      <c r="S304" s="12">
        <v>2022</v>
      </c>
      <c r="T304" s="13">
        <v>44791</v>
      </c>
      <c r="U304" s="12" t="s">
        <v>2775</v>
      </c>
      <c r="V304" s="12"/>
      <c r="W304" s="12" t="s">
        <v>2776</v>
      </c>
      <c r="X304" s="12">
        <v>0</v>
      </c>
      <c r="Y304">
        <f t="shared" si="12"/>
        <v>121</v>
      </c>
      <c r="Z304">
        <f t="shared" si="13"/>
        <v>1</v>
      </c>
      <c r="AA304">
        <f t="shared" si="14"/>
        <v>0</v>
      </c>
    </row>
    <row r="305" spans="1:27" x14ac:dyDescent="0.3">
      <c r="A305" t="s">
        <v>2867</v>
      </c>
      <c r="B305" t="s">
        <v>1351</v>
      </c>
      <c r="C305" s="12">
        <v>36974531</v>
      </c>
      <c r="D305" s="12" t="s">
        <v>2777</v>
      </c>
      <c r="E305" s="12">
        <v>0</v>
      </c>
      <c r="F305" s="12" t="s">
        <v>1496</v>
      </c>
      <c r="G305" s="12"/>
      <c r="H305" s="12">
        <v>4</v>
      </c>
      <c r="J305" s="12">
        <v>4</v>
      </c>
      <c r="K305" s="12"/>
      <c r="L305" s="12">
        <v>1</v>
      </c>
      <c r="M305" s="12" t="s">
        <v>2778</v>
      </c>
      <c r="N305" s="12" t="s">
        <v>2779</v>
      </c>
      <c r="O305" s="12" t="s">
        <v>2780</v>
      </c>
      <c r="P305" s="12" t="s">
        <v>2781</v>
      </c>
      <c r="Q305" s="12" t="s">
        <v>2782</v>
      </c>
      <c r="R305" s="12" t="s">
        <v>2783</v>
      </c>
      <c r="S305" s="12">
        <v>2023</v>
      </c>
      <c r="T305" s="13">
        <v>45013</v>
      </c>
      <c r="U305" s="12"/>
      <c r="V305" s="12"/>
      <c r="W305" s="12" t="s">
        <v>2784</v>
      </c>
      <c r="X305" s="12">
        <v>0</v>
      </c>
      <c r="Y305">
        <f t="shared" si="12"/>
        <v>0</v>
      </c>
      <c r="Z305">
        <f t="shared" si="13"/>
        <v>0</v>
      </c>
      <c r="AA305">
        <f t="shared" si="14"/>
        <v>0</v>
      </c>
    </row>
    <row r="306" spans="1:27" x14ac:dyDescent="0.3">
      <c r="A306" t="s">
        <v>2867</v>
      </c>
      <c r="B306" t="s">
        <v>1351</v>
      </c>
      <c r="C306" s="12">
        <v>36060461</v>
      </c>
      <c r="D306" s="12" t="s">
        <v>2785</v>
      </c>
      <c r="E306" s="12">
        <v>0</v>
      </c>
      <c r="F306" s="12" t="s">
        <v>112</v>
      </c>
      <c r="G306" s="12">
        <v>96</v>
      </c>
      <c r="H306" s="12">
        <v>9</v>
      </c>
      <c r="J306" s="12"/>
      <c r="K306" s="12" t="s">
        <v>2678</v>
      </c>
      <c r="L306" s="12">
        <v>1</v>
      </c>
      <c r="M306" s="12" t="s">
        <v>2786</v>
      </c>
      <c r="N306" s="12"/>
      <c r="O306" s="12" t="s">
        <v>2787</v>
      </c>
      <c r="P306" s="12" t="s">
        <v>2788</v>
      </c>
      <c r="Q306" s="12" t="s">
        <v>2789</v>
      </c>
      <c r="R306" s="12" t="s">
        <v>2790</v>
      </c>
      <c r="S306" s="12">
        <v>2022</v>
      </c>
      <c r="T306" s="13">
        <v>44809</v>
      </c>
      <c r="U306" s="12" t="s">
        <v>2791</v>
      </c>
      <c r="V306" s="12"/>
      <c r="W306" s="12" t="s">
        <v>2792</v>
      </c>
      <c r="X306" s="12">
        <v>0</v>
      </c>
      <c r="Y306">
        <f t="shared" si="12"/>
        <v>96</v>
      </c>
      <c r="Z306">
        <f t="shared" si="13"/>
        <v>1</v>
      </c>
      <c r="AA306">
        <f t="shared" si="14"/>
        <v>0</v>
      </c>
    </row>
    <row r="307" spans="1:27" x14ac:dyDescent="0.3">
      <c r="A307" t="s">
        <v>2867</v>
      </c>
      <c r="B307" t="s">
        <v>1351</v>
      </c>
      <c r="C307" s="12">
        <v>35608920</v>
      </c>
      <c r="D307" s="12" t="s">
        <v>2793</v>
      </c>
      <c r="E307" s="12">
        <v>1</v>
      </c>
      <c r="F307" s="12" t="s">
        <v>112</v>
      </c>
      <c r="G307" s="12">
        <v>281</v>
      </c>
      <c r="H307" s="12">
        <v>10</v>
      </c>
      <c r="J307" s="12"/>
      <c r="K307" s="12" t="s">
        <v>2794</v>
      </c>
      <c r="L307" s="12">
        <v>2</v>
      </c>
      <c r="M307" s="12" t="s">
        <v>2795</v>
      </c>
      <c r="N307" s="12"/>
      <c r="O307" s="12" t="s">
        <v>2796</v>
      </c>
      <c r="P307" s="12" t="s">
        <v>2797</v>
      </c>
      <c r="Q307" s="12" t="s">
        <v>2798</v>
      </c>
      <c r="R307" s="12" t="s">
        <v>2799</v>
      </c>
      <c r="S307" s="12">
        <v>2022</v>
      </c>
      <c r="T307" s="13">
        <v>44705</v>
      </c>
      <c r="U307" s="12" t="s">
        <v>2800</v>
      </c>
      <c r="V307" s="12"/>
      <c r="W307" s="12" t="s">
        <v>2801</v>
      </c>
      <c r="X307" s="12">
        <v>0</v>
      </c>
      <c r="Y307">
        <f t="shared" si="12"/>
        <v>562</v>
      </c>
      <c r="Z307">
        <f t="shared" si="13"/>
        <v>5</v>
      </c>
      <c r="AA307">
        <f t="shared" si="14"/>
        <v>1</v>
      </c>
    </row>
    <row r="308" spans="1:27" x14ac:dyDescent="0.3">
      <c r="A308" t="s">
        <v>2867</v>
      </c>
      <c r="B308" t="s">
        <v>1351</v>
      </c>
      <c r="C308" s="12">
        <v>36293090</v>
      </c>
      <c r="D308" s="12" t="s">
        <v>1423</v>
      </c>
      <c r="E308" s="12">
        <v>1</v>
      </c>
      <c r="F308" s="12" t="s">
        <v>2802</v>
      </c>
      <c r="G308" s="12">
        <v>37</v>
      </c>
      <c r="H308" s="12">
        <v>11</v>
      </c>
      <c r="J308" s="12"/>
      <c r="K308" s="12" t="s">
        <v>2803</v>
      </c>
      <c r="L308" s="12">
        <v>2</v>
      </c>
      <c r="M308" s="12" t="s">
        <v>2804</v>
      </c>
      <c r="N308" s="12" t="s">
        <v>2805</v>
      </c>
      <c r="O308" s="12" t="s">
        <v>2016</v>
      </c>
      <c r="P308" s="12" t="s">
        <v>2017</v>
      </c>
      <c r="Q308" s="12" t="s">
        <v>2018</v>
      </c>
      <c r="R308" s="12" t="s">
        <v>168</v>
      </c>
      <c r="S308" s="12">
        <v>2022</v>
      </c>
      <c r="T308" s="13">
        <v>44861</v>
      </c>
      <c r="U308" s="12" t="s">
        <v>2019</v>
      </c>
      <c r="V308" s="12"/>
      <c r="W308" s="12" t="s">
        <v>2020</v>
      </c>
      <c r="X308" s="12">
        <v>0</v>
      </c>
      <c r="Y308">
        <f t="shared" si="12"/>
        <v>74</v>
      </c>
      <c r="Z308">
        <f t="shared" si="13"/>
        <v>0</v>
      </c>
      <c r="AA308">
        <f t="shared" si="14"/>
        <v>1</v>
      </c>
    </row>
    <row r="309" spans="1:27" x14ac:dyDescent="0.3">
      <c r="A309" t="s">
        <v>2867</v>
      </c>
      <c r="B309" t="s">
        <v>1351</v>
      </c>
      <c r="C309" s="12">
        <v>36828081</v>
      </c>
      <c r="D309" s="12" t="s">
        <v>2806</v>
      </c>
      <c r="E309" s="12">
        <v>0</v>
      </c>
      <c r="F309" s="12" t="s">
        <v>153</v>
      </c>
      <c r="G309" s="12">
        <v>111</v>
      </c>
      <c r="H309" s="12"/>
      <c r="J309" s="12"/>
      <c r="K309" s="12"/>
      <c r="L309" s="12">
        <v>1</v>
      </c>
      <c r="M309" s="12" t="s">
        <v>2807</v>
      </c>
      <c r="N309" s="12" t="s">
        <v>2808</v>
      </c>
      <c r="O309" s="12" t="s">
        <v>2809</v>
      </c>
      <c r="P309" s="12" t="s">
        <v>2810</v>
      </c>
      <c r="Q309" s="12" t="s">
        <v>2811</v>
      </c>
      <c r="R309" s="12" t="s">
        <v>2812</v>
      </c>
      <c r="S309" s="12">
        <v>2023</v>
      </c>
      <c r="T309" s="13">
        <v>44981</v>
      </c>
      <c r="U309" s="12"/>
      <c r="V309" s="12"/>
      <c r="W309" s="12" t="s">
        <v>2813</v>
      </c>
      <c r="X309" s="12">
        <v>0</v>
      </c>
      <c r="Y309">
        <f t="shared" si="12"/>
        <v>111</v>
      </c>
      <c r="Z309">
        <f t="shared" si="13"/>
        <v>1</v>
      </c>
      <c r="AA309">
        <f t="shared" si="14"/>
        <v>0</v>
      </c>
    </row>
    <row r="310" spans="1:27" x14ac:dyDescent="0.3">
      <c r="A310" t="s">
        <v>2867</v>
      </c>
      <c r="B310" t="s">
        <v>1351</v>
      </c>
      <c r="C310" s="12">
        <v>36464435</v>
      </c>
      <c r="D310" s="12" t="s">
        <v>2814</v>
      </c>
      <c r="E310" s="12">
        <v>0</v>
      </c>
      <c r="F310" s="12" t="s">
        <v>44</v>
      </c>
      <c r="G310" s="12">
        <v>28</v>
      </c>
      <c r="H310" s="12">
        <v>1</v>
      </c>
      <c r="J310" s="12"/>
      <c r="K310" s="12" t="s">
        <v>883</v>
      </c>
      <c r="L310" s="12">
        <v>1</v>
      </c>
      <c r="M310" s="12" t="s">
        <v>2815</v>
      </c>
      <c r="N310" s="12" t="s">
        <v>2816</v>
      </c>
      <c r="O310" s="12" t="s">
        <v>2817</v>
      </c>
      <c r="P310" s="12" t="s">
        <v>2818</v>
      </c>
      <c r="Q310" s="12" t="s">
        <v>2819</v>
      </c>
      <c r="R310" s="12" t="s">
        <v>2820</v>
      </c>
      <c r="S310" s="12">
        <v>2023</v>
      </c>
      <c r="T310" s="13">
        <v>44899</v>
      </c>
      <c r="U310" s="12"/>
      <c r="V310" s="12"/>
      <c r="W310" s="12" t="s">
        <v>2821</v>
      </c>
      <c r="X310" s="12">
        <v>0</v>
      </c>
      <c r="Y310">
        <f t="shared" si="12"/>
        <v>28</v>
      </c>
      <c r="Z310">
        <f t="shared" si="13"/>
        <v>0</v>
      </c>
      <c r="AA310">
        <f t="shared" si="14"/>
        <v>0</v>
      </c>
    </row>
    <row r="311" spans="1:27" x14ac:dyDescent="0.3">
      <c r="A311" t="s">
        <v>2867</v>
      </c>
      <c r="B311" t="s">
        <v>1351</v>
      </c>
      <c r="C311" s="12">
        <v>36708444</v>
      </c>
      <c r="D311" s="12" t="s">
        <v>2822</v>
      </c>
      <c r="E311" s="12">
        <v>0</v>
      </c>
      <c r="F311" s="12" t="s">
        <v>2823</v>
      </c>
      <c r="G311" s="12">
        <v>170</v>
      </c>
      <c r="H311" s="12">
        <v>10</v>
      </c>
      <c r="J311" s="12">
        <v>3</v>
      </c>
      <c r="K311" s="12" t="s">
        <v>2824</v>
      </c>
      <c r="L311" s="12">
        <v>1</v>
      </c>
      <c r="M311" s="12" t="s">
        <v>2825</v>
      </c>
      <c r="N311" s="12"/>
      <c r="O311" s="12" t="s">
        <v>2826</v>
      </c>
      <c r="P311" s="12" t="s">
        <v>2827</v>
      </c>
      <c r="Q311" s="12" t="s">
        <v>2828</v>
      </c>
      <c r="R311" s="12" t="s">
        <v>2829</v>
      </c>
      <c r="S311" s="12">
        <v>2023</v>
      </c>
      <c r="T311" s="13">
        <v>44954</v>
      </c>
      <c r="U311" s="12" t="s">
        <v>2830</v>
      </c>
      <c r="V311" s="12"/>
      <c r="W311" s="12" t="s">
        <v>2831</v>
      </c>
      <c r="X311" s="12">
        <v>0</v>
      </c>
      <c r="Y311">
        <f t="shared" si="12"/>
        <v>170</v>
      </c>
      <c r="Z311">
        <f t="shared" si="13"/>
        <v>1</v>
      </c>
      <c r="AA311">
        <f t="shared" si="14"/>
        <v>1</v>
      </c>
    </row>
    <row r="312" spans="1:27" x14ac:dyDescent="0.3">
      <c r="A312" t="s">
        <v>2867</v>
      </c>
      <c r="B312" t="s">
        <v>1351</v>
      </c>
      <c r="C312" s="12">
        <v>36484192</v>
      </c>
      <c r="D312" s="12" t="s">
        <v>2832</v>
      </c>
      <c r="E312" s="12">
        <v>0</v>
      </c>
      <c r="F312" s="12" t="s">
        <v>2833</v>
      </c>
      <c r="G312" s="12">
        <v>84</v>
      </c>
      <c r="H312" s="12">
        <v>10</v>
      </c>
      <c r="J312" s="12">
        <v>7</v>
      </c>
      <c r="K312" s="12" t="s">
        <v>2834</v>
      </c>
      <c r="L312" s="12">
        <v>1</v>
      </c>
      <c r="M312" s="12" t="s">
        <v>2835</v>
      </c>
      <c r="N312" s="12"/>
      <c r="O312" s="12" t="s">
        <v>2836</v>
      </c>
      <c r="P312" s="12" t="s">
        <v>2837</v>
      </c>
      <c r="Q312" s="12" t="s">
        <v>2838</v>
      </c>
      <c r="R312" s="12" t="s">
        <v>2839</v>
      </c>
      <c r="S312" s="12">
        <v>2022</v>
      </c>
      <c r="T312" s="13">
        <v>44904</v>
      </c>
      <c r="U312" s="12"/>
      <c r="V312" s="12"/>
      <c r="W312" s="12" t="s">
        <v>2840</v>
      </c>
      <c r="X312" s="12">
        <v>0</v>
      </c>
      <c r="Y312">
        <f t="shared" si="12"/>
        <v>84</v>
      </c>
      <c r="Z312">
        <f t="shared" si="13"/>
        <v>0</v>
      </c>
      <c r="AA312">
        <f t="shared" si="14"/>
        <v>1</v>
      </c>
    </row>
    <row r="313" spans="1:27" x14ac:dyDescent="0.3">
      <c r="A313" t="s">
        <v>2867</v>
      </c>
      <c r="B313" t="s">
        <v>1351</v>
      </c>
      <c r="C313" s="12">
        <v>36405397</v>
      </c>
      <c r="D313" s="12" t="s">
        <v>2841</v>
      </c>
      <c r="E313" s="12">
        <v>0</v>
      </c>
      <c r="F313" s="12" t="s">
        <v>143</v>
      </c>
      <c r="G313" s="12">
        <v>22</v>
      </c>
      <c r="H313" s="12">
        <v>3</v>
      </c>
      <c r="J313" s="12"/>
      <c r="K313" s="12" t="s">
        <v>2842</v>
      </c>
      <c r="L313" s="12">
        <v>3</v>
      </c>
      <c r="M313" s="12" t="s">
        <v>2843</v>
      </c>
      <c r="N313" s="12" t="s">
        <v>2844</v>
      </c>
      <c r="O313" s="12" t="s">
        <v>2845</v>
      </c>
      <c r="P313" s="12" t="s">
        <v>2846</v>
      </c>
      <c r="Q313" s="12" t="s">
        <v>2290</v>
      </c>
      <c r="R313" s="12" t="s">
        <v>2627</v>
      </c>
      <c r="S313" s="12">
        <v>2022</v>
      </c>
      <c r="T313" s="13">
        <v>44886</v>
      </c>
      <c r="U313" s="12" t="s">
        <v>2847</v>
      </c>
      <c r="V313" s="12"/>
      <c r="W313" s="12" t="s">
        <v>2848</v>
      </c>
      <c r="X313" s="12">
        <v>0</v>
      </c>
      <c r="Y313">
        <f t="shared" si="12"/>
        <v>66</v>
      </c>
      <c r="Z313">
        <f t="shared" si="13"/>
        <v>0</v>
      </c>
      <c r="AA313">
        <f t="shared" si="14"/>
        <v>1</v>
      </c>
    </row>
    <row r="314" spans="1:27" x14ac:dyDescent="0.3">
      <c r="A314" t="s">
        <v>2867</v>
      </c>
      <c r="B314" t="s">
        <v>1351</v>
      </c>
      <c r="C314" s="12">
        <v>36936154</v>
      </c>
      <c r="D314" s="12" t="s">
        <v>2849</v>
      </c>
      <c r="E314" s="12">
        <v>0</v>
      </c>
      <c r="F314" s="12" t="s">
        <v>655</v>
      </c>
      <c r="G314" s="12">
        <v>144</v>
      </c>
      <c r="H314" s="12">
        <v>6</v>
      </c>
      <c r="J314" s="12">
        <v>2</v>
      </c>
      <c r="K314" s="12" t="s">
        <v>2850</v>
      </c>
      <c r="L314" s="12">
        <v>2</v>
      </c>
      <c r="M314" s="12" t="s">
        <v>2851</v>
      </c>
      <c r="N314" s="12"/>
      <c r="O314" s="12" t="s">
        <v>2852</v>
      </c>
      <c r="P314" s="12" t="s">
        <v>2853</v>
      </c>
      <c r="Q314" s="12" t="s">
        <v>2854</v>
      </c>
      <c r="R314" s="12" t="s">
        <v>2855</v>
      </c>
      <c r="S314" s="12">
        <v>2023</v>
      </c>
      <c r="T314" s="13">
        <v>45005</v>
      </c>
      <c r="U314" s="12" t="s">
        <v>2856</v>
      </c>
      <c r="V314" s="12"/>
      <c r="W314" s="12" t="s">
        <v>2857</v>
      </c>
      <c r="X314" s="12">
        <v>0</v>
      </c>
      <c r="Y314">
        <f t="shared" si="12"/>
        <v>288</v>
      </c>
      <c r="Z314">
        <f t="shared" si="13"/>
        <v>3</v>
      </c>
      <c r="AA314">
        <f t="shared" si="14"/>
        <v>0</v>
      </c>
    </row>
    <row r="315" spans="1:27" x14ac:dyDescent="0.3">
      <c r="A315" t="s">
        <v>2867</v>
      </c>
      <c r="B315" t="s">
        <v>1351</v>
      </c>
      <c r="C315" s="12">
        <v>36937522</v>
      </c>
      <c r="D315" s="12" t="s">
        <v>2858</v>
      </c>
      <c r="E315" s="12">
        <v>1</v>
      </c>
      <c r="F315" s="12" t="s">
        <v>143</v>
      </c>
      <c r="G315" s="12">
        <v>323</v>
      </c>
      <c r="H315" s="12">
        <v>4</v>
      </c>
      <c r="J315" s="12">
        <v>4</v>
      </c>
      <c r="K315" s="12" t="s">
        <v>2859</v>
      </c>
      <c r="L315" s="12">
        <v>4</v>
      </c>
      <c r="M315" s="12" t="s">
        <v>2860</v>
      </c>
      <c r="N315" s="12" t="s">
        <v>2861</v>
      </c>
      <c r="O315" s="12" t="s">
        <v>2862</v>
      </c>
      <c r="P315" s="12" t="s">
        <v>2863</v>
      </c>
      <c r="Q315" s="12" t="s">
        <v>2864</v>
      </c>
      <c r="R315" s="12" t="s">
        <v>1970</v>
      </c>
      <c r="S315" s="12">
        <v>2023</v>
      </c>
      <c r="T315" s="13">
        <v>45005</v>
      </c>
      <c r="U315" s="12" t="s">
        <v>2865</v>
      </c>
      <c r="V315" s="12"/>
      <c r="W315" s="12" t="s">
        <v>2866</v>
      </c>
      <c r="X315" s="12">
        <v>0</v>
      </c>
      <c r="Y315">
        <f t="shared" si="12"/>
        <v>1292</v>
      </c>
      <c r="Z315">
        <f t="shared" si="13"/>
        <v>13</v>
      </c>
      <c r="AA315">
        <f t="shared" si="14"/>
        <v>0</v>
      </c>
    </row>
    <row r="316" spans="1:27" x14ac:dyDescent="0.3">
      <c r="A316" t="s">
        <v>2878</v>
      </c>
      <c r="B316" t="s">
        <v>1351</v>
      </c>
      <c r="C316">
        <v>36672173</v>
      </c>
      <c r="D316" t="s">
        <v>2868</v>
      </c>
      <c r="E316">
        <v>0</v>
      </c>
      <c r="F316" t="s">
        <v>153</v>
      </c>
      <c r="G316">
        <f>12*2</f>
        <v>24</v>
      </c>
      <c r="H316">
        <v>2</v>
      </c>
      <c r="J316">
        <v>4</v>
      </c>
      <c r="K316" t="s">
        <v>2869</v>
      </c>
      <c r="L316">
        <v>2</v>
      </c>
      <c r="M316" t="s">
        <v>2870</v>
      </c>
      <c r="N316" t="s">
        <v>2871</v>
      </c>
      <c r="O316" t="s">
        <v>2872</v>
      </c>
      <c r="P316" t="s">
        <v>2873</v>
      </c>
      <c r="Q316" t="s">
        <v>2874</v>
      </c>
      <c r="R316" t="s">
        <v>2875</v>
      </c>
      <c r="S316">
        <v>2023</v>
      </c>
      <c r="T316" s="2">
        <v>44947</v>
      </c>
      <c r="U316" t="s">
        <v>2876</v>
      </c>
      <c r="W316" t="s">
        <v>2877</v>
      </c>
      <c r="X316" s="12"/>
      <c r="Y316">
        <f t="shared" si="12"/>
        <v>48</v>
      </c>
      <c r="Z316">
        <f t="shared" si="13"/>
        <v>0</v>
      </c>
      <c r="AA316">
        <f t="shared" si="14"/>
        <v>1</v>
      </c>
    </row>
    <row r="317" spans="1:27" x14ac:dyDescent="0.3">
      <c r="A317" t="s">
        <v>2925</v>
      </c>
      <c r="B317" t="s">
        <v>1351</v>
      </c>
      <c r="C317" s="12">
        <v>36328378</v>
      </c>
      <c r="D317" s="12" t="s">
        <v>2879</v>
      </c>
      <c r="E317" s="12">
        <v>0</v>
      </c>
      <c r="F317" s="12" t="s">
        <v>82</v>
      </c>
      <c r="G317" s="12">
        <v>2</v>
      </c>
      <c r="H317" s="12"/>
      <c r="J317" s="12">
        <v>5</v>
      </c>
      <c r="K317" s="12" t="s">
        <v>2886</v>
      </c>
      <c r="L317" s="12">
        <v>2</v>
      </c>
      <c r="M317" s="12" t="s">
        <v>2887</v>
      </c>
      <c r="N317" s="12" t="s">
        <v>2888</v>
      </c>
      <c r="O317" s="12" t="s">
        <v>2889</v>
      </c>
      <c r="P317" s="12" t="s">
        <v>2890</v>
      </c>
      <c r="Q317" s="12" t="s">
        <v>2891</v>
      </c>
      <c r="R317" s="12" t="s">
        <v>2892</v>
      </c>
      <c r="S317" s="12">
        <v>2022</v>
      </c>
      <c r="T317" s="13">
        <v>44868</v>
      </c>
      <c r="U317" s="12" t="s">
        <v>2893</v>
      </c>
      <c r="V317" s="12"/>
      <c r="W317" s="12" t="s">
        <v>2894</v>
      </c>
      <c r="Y317">
        <f t="shared" si="12"/>
        <v>4</v>
      </c>
      <c r="Z317">
        <f t="shared" si="13"/>
        <v>0</v>
      </c>
      <c r="AA317">
        <f t="shared" si="14"/>
        <v>0</v>
      </c>
    </row>
    <row r="318" spans="1:27" x14ac:dyDescent="0.3">
      <c r="A318" t="s">
        <v>2925</v>
      </c>
      <c r="B318" t="s">
        <v>1351</v>
      </c>
      <c r="C318" s="12">
        <v>36470210</v>
      </c>
      <c r="D318" s="12" t="s">
        <v>2880</v>
      </c>
      <c r="E318" s="12">
        <v>1</v>
      </c>
      <c r="F318" s="12" t="s">
        <v>153</v>
      </c>
      <c r="G318" s="12"/>
      <c r="H318" s="12"/>
      <c r="J318" s="12"/>
      <c r="K318" s="12"/>
      <c r="L318" s="12"/>
      <c r="M318" s="12"/>
      <c r="N318" s="12" t="s">
        <v>2895</v>
      </c>
      <c r="O318" s="12" t="s">
        <v>2896</v>
      </c>
      <c r="P318" s="12" t="s">
        <v>2897</v>
      </c>
      <c r="Q318" s="12" t="s">
        <v>2898</v>
      </c>
      <c r="R318" s="12" t="s">
        <v>2899</v>
      </c>
      <c r="S318" s="12">
        <v>2023</v>
      </c>
      <c r="T318" s="13">
        <v>44900</v>
      </c>
      <c r="U318" s="12"/>
      <c r="V318" s="12"/>
      <c r="W318" s="12" t="s">
        <v>2900</v>
      </c>
      <c r="Y318">
        <f t="shared" si="12"/>
        <v>0</v>
      </c>
      <c r="Z318">
        <f t="shared" si="13"/>
        <v>0</v>
      </c>
      <c r="AA318">
        <f t="shared" si="14"/>
        <v>0</v>
      </c>
    </row>
    <row r="319" spans="1:27" x14ac:dyDescent="0.3">
      <c r="A319" t="s">
        <v>2925</v>
      </c>
      <c r="B319" t="s">
        <v>1351</v>
      </c>
      <c r="C319" s="12">
        <v>36786585</v>
      </c>
      <c r="D319" s="12" t="s">
        <v>2881</v>
      </c>
      <c r="E319" s="12">
        <v>1</v>
      </c>
      <c r="F319" s="12" t="s">
        <v>2882</v>
      </c>
      <c r="G319" s="12"/>
      <c r="H319" s="12"/>
      <c r="J319" s="12"/>
      <c r="K319" s="12"/>
      <c r="L319" s="12"/>
      <c r="M319" s="12"/>
      <c r="N319" s="12" t="s">
        <v>2901</v>
      </c>
      <c r="O319" s="12" t="s">
        <v>2902</v>
      </c>
      <c r="P319" s="12" t="s">
        <v>2903</v>
      </c>
      <c r="Q319" s="12" t="s">
        <v>2904</v>
      </c>
      <c r="R319" s="12" t="s">
        <v>2905</v>
      </c>
      <c r="S319" s="12">
        <v>2023</v>
      </c>
      <c r="T319" s="13">
        <v>44971</v>
      </c>
      <c r="U319" s="12"/>
      <c r="V319" s="12"/>
      <c r="W319" s="12" t="s">
        <v>2906</v>
      </c>
      <c r="Y319">
        <f t="shared" si="12"/>
        <v>0</v>
      </c>
      <c r="Z319">
        <f t="shared" si="13"/>
        <v>0</v>
      </c>
      <c r="AA319">
        <f t="shared" si="14"/>
        <v>0</v>
      </c>
    </row>
    <row r="320" spans="1:27" x14ac:dyDescent="0.3">
      <c r="A320" t="s">
        <v>2925</v>
      </c>
      <c r="B320" t="s">
        <v>1351</v>
      </c>
      <c r="C320" s="12">
        <v>35022656</v>
      </c>
      <c r="D320" s="12" t="s">
        <v>2883</v>
      </c>
      <c r="E320" s="12">
        <v>1</v>
      </c>
      <c r="F320" s="12" t="s">
        <v>153</v>
      </c>
      <c r="G320" s="12"/>
      <c r="H320" s="12"/>
      <c r="J320" s="12"/>
      <c r="K320" s="12"/>
      <c r="L320" s="12"/>
      <c r="M320" s="12"/>
      <c r="N320" s="12" t="s">
        <v>2895</v>
      </c>
      <c r="O320" s="12" t="s">
        <v>2907</v>
      </c>
      <c r="P320" s="12" t="s">
        <v>2908</v>
      </c>
      <c r="Q320" s="12" t="s">
        <v>2909</v>
      </c>
      <c r="R320" s="12" t="s">
        <v>418</v>
      </c>
      <c r="S320" s="12">
        <v>2022</v>
      </c>
      <c r="T320" s="13">
        <v>44574</v>
      </c>
      <c r="U320" s="12" t="s">
        <v>2910</v>
      </c>
      <c r="V320" s="12"/>
      <c r="W320" s="12" t="s">
        <v>2911</v>
      </c>
      <c r="Y320">
        <f t="shared" si="12"/>
        <v>0</v>
      </c>
      <c r="Z320">
        <f t="shared" si="13"/>
        <v>0</v>
      </c>
      <c r="AA320">
        <f t="shared" si="14"/>
        <v>0</v>
      </c>
    </row>
    <row r="321" spans="1:27" x14ac:dyDescent="0.3">
      <c r="A321" t="s">
        <v>2925</v>
      </c>
      <c r="B321" t="s">
        <v>1351</v>
      </c>
      <c r="C321" s="12">
        <v>36280286</v>
      </c>
      <c r="D321" s="12" t="s">
        <v>2884</v>
      </c>
      <c r="E321" s="12">
        <v>1</v>
      </c>
      <c r="F321" s="12" t="s">
        <v>153</v>
      </c>
      <c r="G321" s="12"/>
      <c r="H321" s="12"/>
      <c r="J321" s="12"/>
      <c r="K321" s="12" t="s">
        <v>2912</v>
      </c>
      <c r="L321" s="12"/>
      <c r="M321" s="12"/>
      <c r="N321" s="12" t="s">
        <v>2913</v>
      </c>
      <c r="O321" s="12" t="s">
        <v>2914</v>
      </c>
      <c r="P321" s="12" t="s">
        <v>2915</v>
      </c>
      <c r="Q321" s="12" t="s">
        <v>2916</v>
      </c>
      <c r="R321" s="12" t="s">
        <v>2917</v>
      </c>
      <c r="S321" s="12">
        <v>2022</v>
      </c>
      <c r="T321" s="13">
        <v>44858</v>
      </c>
      <c r="U321" s="12" t="s">
        <v>2918</v>
      </c>
      <c r="V321" s="12"/>
      <c r="W321" s="12" t="s">
        <v>2919</v>
      </c>
      <c r="Y321">
        <f t="shared" si="12"/>
        <v>0</v>
      </c>
      <c r="Z321">
        <f t="shared" si="13"/>
        <v>0</v>
      </c>
      <c r="AA321">
        <f t="shared" si="14"/>
        <v>0</v>
      </c>
    </row>
    <row r="322" spans="1:27" x14ac:dyDescent="0.3">
      <c r="A322" t="s">
        <v>2925</v>
      </c>
      <c r="B322" t="s">
        <v>1351</v>
      </c>
      <c r="C322" s="12">
        <v>36800567</v>
      </c>
      <c r="D322" s="12" t="s">
        <v>2885</v>
      </c>
      <c r="E322" s="12">
        <v>1</v>
      </c>
      <c r="F322" s="12" t="s">
        <v>2882</v>
      </c>
      <c r="G322" s="12"/>
      <c r="H322" s="12"/>
      <c r="J322" s="12"/>
      <c r="K322" s="12"/>
      <c r="L322" s="12"/>
      <c r="M322" s="12"/>
      <c r="N322" s="12" t="s">
        <v>2895</v>
      </c>
      <c r="O322" s="12" t="s">
        <v>2920</v>
      </c>
      <c r="P322" s="12" t="s">
        <v>2921</v>
      </c>
      <c r="Q322" s="12" t="s">
        <v>2922</v>
      </c>
      <c r="R322" s="12" t="s">
        <v>2923</v>
      </c>
      <c r="S322" s="12">
        <v>2023</v>
      </c>
      <c r="T322" s="13">
        <v>44974</v>
      </c>
      <c r="U322" s="12"/>
      <c r="V322" s="12"/>
      <c r="W322" s="12" t="s">
        <v>2924</v>
      </c>
      <c r="Y322">
        <f t="shared" si="12"/>
        <v>0</v>
      </c>
      <c r="Z322">
        <f t="shared" si="13"/>
        <v>0</v>
      </c>
      <c r="AA322">
        <f t="shared" si="14"/>
        <v>0</v>
      </c>
    </row>
    <row r="323" spans="1:27" x14ac:dyDescent="0.3">
      <c r="A323" t="s">
        <v>2928</v>
      </c>
      <c r="B323" t="s">
        <v>1351</v>
      </c>
      <c r="C323">
        <v>36709509</v>
      </c>
      <c r="D323" t="s">
        <v>1475</v>
      </c>
      <c r="E323">
        <v>1</v>
      </c>
      <c r="F323" t="s">
        <v>2926</v>
      </c>
      <c r="G323">
        <v>94</v>
      </c>
      <c r="H323">
        <v>1</v>
      </c>
      <c r="K323" t="s">
        <v>2927</v>
      </c>
      <c r="L323">
        <v>1</v>
      </c>
      <c r="M323" t="s">
        <v>2927</v>
      </c>
      <c r="O323" t="s">
        <v>2383</v>
      </c>
      <c r="P323" t="s">
        <v>2384</v>
      </c>
      <c r="Q323" t="s">
        <v>2385</v>
      </c>
      <c r="R323" t="s">
        <v>187</v>
      </c>
      <c r="S323">
        <v>2023</v>
      </c>
      <c r="T323" s="2">
        <v>44955</v>
      </c>
      <c r="W323" t="s">
        <v>2386</v>
      </c>
      <c r="Y323">
        <f t="shared" ref="Y323:Y386" si="15">IFERROR(L323*G323,"N/A")</f>
        <v>94</v>
      </c>
      <c r="Z323">
        <f t="shared" ref="Z323:Z386" si="16">IFERROR(ROUNDDOWN(Y323/96,0),"")</f>
        <v>0</v>
      </c>
      <c r="AA323">
        <f t="shared" ref="AA323:AA386" si="17">IFERROR(ROUNDDOWN((MOD(Y323,96)/48),0),"")</f>
        <v>1</v>
      </c>
    </row>
    <row r="324" spans="1:27" x14ac:dyDescent="0.3">
      <c r="A324" t="s">
        <v>2939</v>
      </c>
      <c r="B324" t="s">
        <v>2940</v>
      </c>
      <c r="C324">
        <v>35615350</v>
      </c>
      <c r="D324" t="s">
        <v>2929</v>
      </c>
      <c r="E324">
        <v>0</v>
      </c>
      <c r="F324" t="s">
        <v>2930</v>
      </c>
      <c r="H324">
        <v>32</v>
      </c>
      <c r="K324" t="s">
        <v>2931</v>
      </c>
      <c r="L324">
        <v>1</v>
      </c>
      <c r="M324" t="s">
        <v>2932</v>
      </c>
      <c r="N324" t="s">
        <v>2938</v>
      </c>
      <c r="O324" t="s">
        <v>2933</v>
      </c>
      <c r="P324" t="s">
        <v>2934</v>
      </c>
      <c r="Q324" t="s">
        <v>2935</v>
      </c>
      <c r="R324" t="s">
        <v>99</v>
      </c>
      <c r="S324">
        <v>2022</v>
      </c>
      <c r="T324" s="2">
        <v>44707</v>
      </c>
      <c r="U324" t="s">
        <v>2936</v>
      </c>
      <c r="W324" t="s">
        <v>2937</v>
      </c>
      <c r="Y324">
        <f t="shared" si="15"/>
        <v>0</v>
      </c>
      <c r="Z324">
        <f t="shared" si="16"/>
        <v>0</v>
      </c>
      <c r="AA324">
        <f t="shared" si="17"/>
        <v>0</v>
      </c>
    </row>
    <row r="325" spans="1:27" x14ac:dyDescent="0.3">
      <c r="A325" t="s">
        <v>2867</v>
      </c>
      <c r="B325" t="s">
        <v>2940</v>
      </c>
      <c r="C325" s="16">
        <v>35745576</v>
      </c>
      <c r="D325" s="16" t="s">
        <v>2941</v>
      </c>
      <c r="E325" s="16">
        <v>0</v>
      </c>
      <c r="F325" s="16" t="s">
        <v>926</v>
      </c>
      <c r="G325" s="16">
        <v>93</v>
      </c>
      <c r="H325" s="16">
        <v>9</v>
      </c>
      <c r="J325" s="16">
        <v>5</v>
      </c>
      <c r="K325" s="16" t="s">
        <v>2942</v>
      </c>
      <c r="L325" s="16">
        <v>1</v>
      </c>
      <c r="M325" s="16" t="s">
        <v>2943</v>
      </c>
      <c r="N325" s="16" t="s">
        <v>2944</v>
      </c>
      <c r="O325" s="16" t="s">
        <v>2945</v>
      </c>
      <c r="P325" s="16" t="s">
        <v>2946</v>
      </c>
      <c r="Q325" s="16" t="s">
        <v>2947</v>
      </c>
      <c r="R325" s="16" t="s">
        <v>2948</v>
      </c>
      <c r="S325" s="16">
        <v>2022</v>
      </c>
      <c r="T325" s="18">
        <v>44736</v>
      </c>
      <c r="U325" s="16" t="s">
        <v>2949</v>
      </c>
      <c r="V325" s="16"/>
      <c r="W325" s="16" t="s">
        <v>2950</v>
      </c>
      <c r="Y325">
        <f t="shared" si="15"/>
        <v>93</v>
      </c>
      <c r="Z325">
        <f t="shared" si="16"/>
        <v>0</v>
      </c>
      <c r="AA325">
        <f t="shared" si="17"/>
        <v>1</v>
      </c>
    </row>
    <row r="326" spans="1:27" x14ac:dyDescent="0.3">
      <c r="A326" t="s">
        <v>2867</v>
      </c>
      <c r="B326" t="s">
        <v>2940</v>
      </c>
      <c r="C326">
        <v>35285218</v>
      </c>
      <c r="D326" t="s">
        <v>2951</v>
      </c>
      <c r="E326">
        <v>0</v>
      </c>
      <c r="N326" t="s">
        <v>2952</v>
      </c>
      <c r="O326" t="s">
        <v>2953</v>
      </c>
      <c r="P326" t="s">
        <v>2954</v>
      </c>
      <c r="Q326" t="s">
        <v>2955</v>
      </c>
      <c r="R326" t="s">
        <v>187</v>
      </c>
      <c r="S326">
        <v>2022</v>
      </c>
      <c r="T326" s="2">
        <v>44634</v>
      </c>
      <c r="W326" t="s">
        <v>2956</v>
      </c>
      <c r="Y326">
        <f t="shared" si="15"/>
        <v>0</v>
      </c>
      <c r="Z326">
        <f t="shared" si="16"/>
        <v>0</v>
      </c>
      <c r="AA326">
        <f t="shared" si="17"/>
        <v>0</v>
      </c>
    </row>
    <row r="327" spans="1:27" x14ac:dyDescent="0.3">
      <c r="A327" t="s">
        <v>2867</v>
      </c>
      <c r="B327" t="s">
        <v>2940</v>
      </c>
      <c r="C327">
        <v>35444213</v>
      </c>
      <c r="D327" t="s">
        <v>2957</v>
      </c>
      <c r="E327">
        <v>0</v>
      </c>
      <c r="F327" t="s">
        <v>2958</v>
      </c>
      <c r="G327">
        <v>198</v>
      </c>
      <c r="H327">
        <v>13</v>
      </c>
      <c r="J327">
        <v>2</v>
      </c>
      <c r="K327" t="s">
        <v>2959</v>
      </c>
      <c r="L327">
        <v>4</v>
      </c>
      <c r="M327" t="s">
        <v>2960</v>
      </c>
      <c r="N327" t="s">
        <v>2961</v>
      </c>
      <c r="O327" t="s">
        <v>2962</v>
      </c>
      <c r="P327" t="s">
        <v>2963</v>
      </c>
      <c r="Q327" t="s">
        <v>2964</v>
      </c>
      <c r="R327" t="s">
        <v>246</v>
      </c>
      <c r="S327">
        <v>2022</v>
      </c>
      <c r="T327" s="2">
        <v>44672</v>
      </c>
      <c r="U327" t="s">
        <v>2965</v>
      </c>
      <c r="W327" t="s">
        <v>2966</v>
      </c>
      <c r="Y327">
        <f t="shared" si="15"/>
        <v>792</v>
      </c>
      <c r="Z327">
        <f t="shared" si="16"/>
        <v>8</v>
      </c>
      <c r="AA327">
        <f t="shared" si="17"/>
        <v>0</v>
      </c>
    </row>
    <row r="328" spans="1:27" x14ac:dyDescent="0.3">
      <c r="A328" t="s">
        <v>2867</v>
      </c>
      <c r="B328" t="s">
        <v>2940</v>
      </c>
      <c r="C328">
        <v>35635366</v>
      </c>
      <c r="D328" t="s">
        <v>2676</v>
      </c>
      <c r="E328">
        <v>0</v>
      </c>
      <c r="F328" t="s">
        <v>2967</v>
      </c>
      <c r="K328" t="s">
        <v>2968</v>
      </c>
      <c r="L328">
        <v>1</v>
      </c>
      <c r="M328" t="s">
        <v>2969</v>
      </c>
      <c r="N328" t="s">
        <v>2680</v>
      </c>
      <c r="O328" t="s">
        <v>2681</v>
      </c>
      <c r="P328" t="s">
        <v>2682</v>
      </c>
      <c r="Q328" t="s">
        <v>2683</v>
      </c>
      <c r="R328" t="s">
        <v>2684</v>
      </c>
      <c r="S328">
        <v>2022</v>
      </c>
      <c r="T328" s="2">
        <v>44712</v>
      </c>
      <c r="W328" t="s">
        <v>2685</v>
      </c>
      <c r="Y328">
        <f t="shared" si="15"/>
        <v>0</v>
      </c>
      <c r="Z328">
        <f t="shared" si="16"/>
        <v>0</v>
      </c>
      <c r="AA328">
        <f t="shared" si="17"/>
        <v>0</v>
      </c>
    </row>
    <row r="329" spans="1:27" x14ac:dyDescent="0.3">
      <c r="A329" t="s">
        <v>2867</v>
      </c>
      <c r="B329" t="s">
        <v>2940</v>
      </c>
      <c r="C329">
        <v>35170269</v>
      </c>
      <c r="D329" t="s">
        <v>2970</v>
      </c>
      <c r="E329">
        <v>1</v>
      </c>
      <c r="F329" t="s">
        <v>2971</v>
      </c>
      <c r="G329">
        <v>689</v>
      </c>
      <c r="H329">
        <v>1</v>
      </c>
      <c r="K329" t="s">
        <v>2972</v>
      </c>
      <c r="L329">
        <v>1</v>
      </c>
      <c r="M329" t="s">
        <v>2973</v>
      </c>
      <c r="N329" t="s">
        <v>2974</v>
      </c>
      <c r="O329" t="s">
        <v>2975</v>
      </c>
      <c r="P329" t="s">
        <v>2976</v>
      </c>
      <c r="Q329" t="s">
        <v>2977</v>
      </c>
      <c r="R329" t="s">
        <v>187</v>
      </c>
      <c r="S329">
        <v>2022</v>
      </c>
      <c r="T329" s="2">
        <v>44608</v>
      </c>
      <c r="W329" t="s">
        <v>2978</v>
      </c>
      <c r="Y329">
        <f t="shared" si="15"/>
        <v>689</v>
      </c>
      <c r="Z329">
        <f t="shared" si="16"/>
        <v>7</v>
      </c>
      <c r="AA329">
        <f t="shared" si="17"/>
        <v>0</v>
      </c>
    </row>
    <row r="330" spans="1:27" x14ac:dyDescent="0.3">
      <c r="A330" t="s">
        <v>2867</v>
      </c>
      <c r="B330" t="s">
        <v>2940</v>
      </c>
      <c r="C330">
        <v>35449177</v>
      </c>
      <c r="D330" t="s">
        <v>2979</v>
      </c>
      <c r="E330">
        <v>0</v>
      </c>
      <c r="F330" t="s">
        <v>2971</v>
      </c>
      <c r="G330">
        <v>132</v>
      </c>
      <c r="H330">
        <v>12</v>
      </c>
      <c r="K330" t="s">
        <v>2980</v>
      </c>
      <c r="L330">
        <v>1</v>
      </c>
      <c r="M330" t="s">
        <v>2981</v>
      </c>
      <c r="O330" t="s">
        <v>2982</v>
      </c>
      <c r="P330" t="s">
        <v>2983</v>
      </c>
      <c r="Q330" t="s">
        <v>2774</v>
      </c>
      <c r="R330" t="s">
        <v>246</v>
      </c>
      <c r="S330">
        <v>2022</v>
      </c>
      <c r="T330" s="2">
        <v>44673</v>
      </c>
      <c r="U330" t="s">
        <v>2984</v>
      </c>
      <c r="W330" t="s">
        <v>2985</v>
      </c>
      <c r="Y330">
        <f t="shared" si="15"/>
        <v>132</v>
      </c>
      <c r="Z330">
        <f t="shared" si="16"/>
        <v>1</v>
      </c>
      <c r="AA330">
        <f t="shared" si="17"/>
        <v>0</v>
      </c>
    </row>
    <row r="331" spans="1:27" x14ac:dyDescent="0.3">
      <c r="A331" t="s">
        <v>2867</v>
      </c>
      <c r="B331" t="s">
        <v>2940</v>
      </c>
      <c r="C331">
        <v>35620349</v>
      </c>
      <c r="D331" t="s">
        <v>2986</v>
      </c>
      <c r="E331">
        <v>0</v>
      </c>
      <c r="F331" t="s">
        <v>532</v>
      </c>
      <c r="G331">
        <v>16</v>
      </c>
      <c r="H331">
        <v>5</v>
      </c>
      <c r="K331" t="s">
        <v>2987</v>
      </c>
      <c r="L331">
        <v>1</v>
      </c>
      <c r="N331" t="s">
        <v>2988</v>
      </c>
      <c r="O331" t="s">
        <v>2989</v>
      </c>
      <c r="P331" t="s">
        <v>2990</v>
      </c>
      <c r="Q331" t="s">
        <v>2991</v>
      </c>
      <c r="R331" t="s">
        <v>2992</v>
      </c>
      <c r="S331">
        <v>2022</v>
      </c>
      <c r="T331" s="2">
        <v>44708</v>
      </c>
      <c r="U331" t="s">
        <v>2993</v>
      </c>
      <c r="W331" t="s">
        <v>2994</v>
      </c>
      <c r="Y331">
        <f t="shared" si="15"/>
        <v>16</v>
      </c>
      <c r="Z331">
        <f t="shared" si="16"/>
        <v>0</v>
      </c>
      <c r="AA331">
        <f t="shared" si="17"/>
        <v>0</v>
      </c>
    </row>
    <row r="332" spans="1:27" x14ac:dyDescent="0.3">
      <c r="A332" t="s">
        <v>2867</v>
      </c>
      <c r="B332" t="s">
        <v>2940</v>
      </c>
      <c r="C332">
        <v>35598458</v>
      </c>
      <c r="D332" t="s">
        <v>2995</v>
      </c>
      <c r="E332">
        <v>0</v>
      </c>
      <c r="F332" t="s">
        <v>2996</v>
      </c>
      <c r="N332" t="s">
        <v>2997</v>
      </c>
      <c r="O332" t="s">
        <v>2998</v>
      </c>
      <c r="P332" t="s">
        <v>2999</v>
      </c>
      <c r="Q332" t="s">
        <v>3000</v>
      </c>
      <c r="R332" t="s">
        <v>3001</v>
      </c>
      <c r="S332">
        <v>2022</v>
      </c>
      <c r="T332" s="2">
        <v>44703</v>
      </c>
      <c r="W332" t="s">
        <v>3002</v>
      </c>
      <c r="Y332">
        <f t="shared" si="15"/>
        <v>0</v>
      </c>
      <c r="Z332">
        <f t="shared" si="16"/>
        <v>0</v>
      </c>
      <c r="AA332">
        <f t="shared" si="17"/>
        <v>0</v>
      </c>
    </row>
    <row r="333" spans="1:27" x14ac:dyDescent="0.3">
      <c r="A333" t="s">
        <v>2867</v>
      </c>
      <c r="B333" t="s">
        <v>2940</v>
      </c>
      <c r="C333">
        <v>35475723</v>
      </c>
      <c r="D333" t="s">
        <v>3003</v>
      </c>
      <c r="E333">
        <v>0</v>
      </c>
      <c r="F333" t="s">
        <v>3004</v>
      </c>
      <c r="G333">
        <f>(18*4.5)+(18*30)+59+(21*3)</f>
        <v>743</v>
      </c>
      <c r="H333">
        <v>14</v>
      </c>
      <c r="J333">
        <v>0</v>
      </c>
      <c r="K333" t="s">
        <v>3005</v>
      </c>
      <c r="L333">
        <v>2</v>
      </c>
      <c r="M333" t="s">
        <v>2761</v>
      </c>
      <c r="N333" t="s">
        <v>3006</v>
      </c>
      <c r="O333" t="s">
        <v>3007</v>
      </c>
      <c r="P333" t="s">
        <v>3008</v>
      </c>
      <c r="Q333" t="s">
        <v>1723</v>
      </c>
      <c r="R333" t="s">
        <v>187</v>
      </c>
      <c r="S333">
        <v>2022</v>
      </c>
      <c r="T333" s="2">
        <v>44678</v>
      </c>
      <c r="U333" t="s">
        <v>3009</v>
      </c>
      <c r="W333" t="s">
        <v>3010</v>
      </c>
      <c r="Y333">
        <f t="shared" si="15"/>
        <v>1486</v>
      </c>
      <c r="Z333">
        <f t="shared" si="16"/>
        <v>15</v>
      </c>
      <c r="AA333">
        <f t="shared" si="17"/>
        <v>0</v>
      </c>
    </row>
    <row r="334" spans="1:27" x14ac:dyDescent="0.3">
      <c r="A334" t="s">
        <v>2867</v>
      </c>
      <c r="B334" t="s">
        <v>2940</v>
      </c>
      <c r="C334">
        <v>35755471</v>
      </c>
      <c r="D334" t="s">
        <v>3011</v>
      </c>
      <c r="E334">
        <v>0</v>
      </c>
      <c r="F334" t="s">
        <v>3012</v>
      </c>
      <c r="H334">
        <v>37</v>
      </c>
      <c r="J334">
        <v>11</v>
      </c>
      <c r="K334" t="s">
        <v>3013</v>
      </c>
      <c r="L334">
        <v>5</v>
      </c>
      <c r="M334" t="s">
        <v>3014</v>
      </c>
      <c r="N334" t="s">
        <v>3015</v>
      </c>
      <c r="O334" t="s">
        <v>3016</v>
      </c>
      <c r="P334" t="s">
        <v>3017</v>
      </c>
      <c r="Q334" t="s">
        <v>3018</v>
      </c>
      <c r="R334" t="s">
        <v>3019</v>
      </c>
      <c r="S334">
        <v>2022</v>
      </c>
      <c r="T334" s="2">
        <v>44739</v>
      </c>
      <c r="U334" t="s">
        <v>3020</v>
      </c>
      <c r="W334" t="s">
        <v>3021</v>
      </c>
      <c r="Y334">
        <f t="shared" si="15"/>
        <v>0</v>
      </c>
      <c r="Z334">
        <f t="shared" si="16"/>
        <v>0</v>
      </c>
      <c r="AA334">
        <f t="shared" si="17"/>
        <v>0</v>
      </c>
    </row>
    <row r="335" spans="1:27" x14ac:dyDescent="0.3">
      <c r="A335" t="s">
        <v>2867</v>
      </c>
      <c r="B335" t="s">
        <v>2940</v>
      </c>
      <c r="C335">
        <v>34761559</v>
      </c>
      <c r="D335" t="s">
        <v>3022</v>
      </c>
      <c r="E335">
        <v>0</v>
      </c>
      <c r="F335" t="s">
        <v>3023</v>
      </c>
      <c r="P335" t="s">
        <v>3024</v>
      </c>
      <c r="Q335" t="s">
        <v>3025</v>
      </c>
      <c r="R335" t="s">
        <v>3026</v>
      </c>
      <c r="S335">
        <v>2022</v>
      </c>
      <c r="T335" s="2">
        <v>44511</v>
      </c>
      <c r="W335" t="s">
        <v>3027</v>
      </c>
      <c r="Y335">
        <f t="shared" si="15"/>
        <v>0</v>
      </c>
      <c r="Z335">
        <f t="shared" si="16"/>
        <v>0</v>
      </c>
      <c r="AA335">
        <f t="shared" si="17"/>
        <v>0</v>
      </c>
    </row>
    <row r="336" spans="1:27" x14ac:dyDescent="0.3">
      <c r="A336" t="s">
        <v>2867</v>
      </c>
      <c r="B336" t="s">
        <v>2940</v>
      </c>
      <c r="C336">
        <v>35085183</v>
      </c>
      <c r="D336" t="s">
        <v>3028</v>
      </c>
      <c r="E336">
        <v>0</v>
      </c>
      <c r="F336" t="s">
        <v>3029</v>
      </c>
      <c r="G336">
        <f>70+116+16</f>
        <v>202</v>
      </c>
      <c r="H336">
        <v>21</v>
      </c>
      <c r="J336">
        <v>6</v>
      </c>
      <c r="K336" t="s">
        <v>3030</v>
      </c>
      <c r="L336">
        <v>2</v>
      </c>
      <c r="M336" t="s">
        <v>3031</v>
      </c>
      <c r="N336" t="s">
        <v>3032</v>
      </c>
      <c r="O336" t="s">
        <v>3033</v>
      </c>
      <c r="P336" t="s">
        <v>3034</v>
      </c>
      <c r="Q336" t="s">
        <v>3035</v>
      </c>
      <c r="R336" t="s">
        <v>3036</v>
      </c>
      <c r="S336">
        <v>2022</v>
      </c>
      <c r="T336" s="2">
        <v>44588</v>
      </c>
      <c r="U336" t="s">
        <v>3037</v>
      </c>
      <c r="V336" t="s">
        <v>3038</v>
      </c>
      <c r="W336" t="s">
        <v>3039</v>
      </c>
      <c r="Y336">
        <f t="shared" si="15"/>
        <v>404</v>
      </c>
      <c r="Z336">
        <f t="shared" si="16"/>
        <v>4</v>
      </c>
      <c r="AA336">
        <f t="shared" si="17"/>
        <v>0</v>
      </c>
    </row>
    <row r="337" spans="1:27" x14ac:dyDescent="0.3">
      <c r="A337" t="s">
        <v>2867</v>
      </c>
      <c r="B337" t="s">
        <v>2940</v>
      </c>
      <c r="C337">
        <v>35604688</v>
      </c>
      <c r="D337" t="s">
        <v>3040</v>
      </c>
      <c r="E337">
        <v>1</v>
      </c>
      <c r="F337" t="s">
        <v>1441</v>
      </c>
      <c r="G337">
        <v>95</v>
      </c>
      <c r="H337">
        <v>2</v>
      </c>
      <c r="K337" t="s">
        <v>3041</v>
      </c>
      <c r="L337">
        <v>2</v>
      </c>
      <c r="N337" t="s">
        <v>3042</v>
      </c>
      <c r="O337" t="s">
        <v>3043</v>
      </c>
      <c r="P337" t="s">
        <v>3044</v>
      </c>
      <c r="Q337" t="s">
        <v>3045</v>
      </c>
      <c r="R337" t="s">
        <v>3046</v>
      </c>
      <c r="S337">
        <v>2022</v>
      </c>
      <c r="T337" s="2">
        <v>44704</v>
      </c>
      <c r="U337" t="s">
        <v>3047</v>
      </c>
      <c r="W337" t="s">
        <v>3048</v>
      </c>
      <c r="Y337">
        <f t="shared" si="15"/>
        <v>190</v>
      </c>
      <c r="Z337">
        <f t="shared" si="16"/>
        <v>1</v>
      </c>
      <c r="AA337">
        <f t="shared" si="17"/>
        <v>1</v>
      </c>
    </row>
    <row r="338" spans="1:27" x14ac:dyDescent="0.3">
      <c r="A338" t="s">
        <v>1350</v>
      </c>
      <c r="B338" t="s">
        <v>2940</v>
      </c>
      <c r="C338" s="16">
        <v>35734478</v>
      </c>
      <c r="D338" s="19" t="s">
        <v>3049</v>
      </c>
      <c r="E338" s="19">
        <v>0</v>
      </c>
      <c r="F338" s="19" t="s">
        <v>143</v>
      </c>
      <c r="G338" s="19">
        <v>162</v>
      </c>
      <c r="H338" s="19">
        <v>377</v>
      </c>
      <c r="I338" s="19"/>
      <c r="J338" s="19"/>
      <c r="K338" s="19"/>
      <c r="L338" s="19">
        <v>5</v>
      </c>
      <c r="M338" s="19" t="s">
        <v>3050</v>
      </c>
      <c r="N338" s="19" t="s">
        <v>3051</v>
      </c>
      <c r="O338" s="16" t="s">
        <v>3052</v>
      </c>
      <c r="P338" s="16" t="s">
        <v>3053</v>
      </c>
      <c r="Q338" s="16" t="s">
        <v>3054</v>
      </c>
      <c r="R338" s="16" t="s">
        <v>1970</v>
      </c>
      <c r="S338" s="16">
        <v>2022</v>
      </c>
      <c r="T338" s="18">
        <v>44735</v>
      </c>
      <c r="U338" s="16" t="s">
        <v>3055</v>
      </c>
      <c r="V338" s="16"/>
      <c r="W338" s="16" t="s">
        <v>3056</v>
      </c>
      <c r="Y338">
        <f t="shared" si="15"/>
        <v>810</v>
      </c>
      <c r="Z338">
        <f t="shared" si="16"/>
        <v>8</v>
      </c>
      <c r="AA338">
        <f t="shared" si="17"/>
        <v>0</v>
      </c>
    </row>
    <row r="339" spans="1:27" x14ac:dyDescent="0.3">
      <c r="A339" t="s">
        <v>1350</v>
      </c>
      <c r="B339" t="s">
        <v>2940</v>
      </c>
      <c r="C339">
        <v>35675127</v>
      </c>
      <c r="D339" s="1" t="s">
        <v>3057</v>
      </c>
      <c r="E339" s="1">
        <v>0</v>
      </c>
      <c r="F339" s="1" t="s">
        <v>153</v>
      </c>
      <c r="G339" s="1">
        <v>220</v>
      </c>
      <c r="H339" s="1">
        <v>92</v>
      </c>
      <c r="I339" s="1">
        <v>42</v>
      </c>
      <c r="J339" s="1">
        <v>4</v>
      </c>
      <c r="K339" s="1" t="s">
        <v>3058</v>
      </c>
      <c r="L339" s="1">
        <v>1</v>
      </c>
      <c r="M339" s="1" t="s">
        <v>459</v>
      </c>
      <c r="N339" s="1" t="s">
        <v>3059</v>
      </c>
      <c r="O339" t="s">
        <v>3060</v>
      </c>
      <c r="P339" t="s">
        <v>3061</v>
      </c>
      <c r="Q339" t="s">
        <v>3062</v>
      </c>
      <c r="R339" t="s">
        <v>3063</v>
      </c>
      <c r="S339">
        <v>2022</v>
      </c>
      <c r="T339" s="2">
        <v>44720</v>
      </c>
      <c r="W339" t="s">
        <v>3064</v>
      </c>
      <c r="Y339">
        <f t="shared" si="15"/>
        <v>220</v>
      </c>
      <c r="Z339">
        <f t="shared" si="16"/>
        <v>2</v>
      </c>
      <c r="AA339">
        <f t="shared" si="17"/>
        <v>0</v>
      </c>
    </row>
    <row r="340" spans="1:27" x14ac:dyDescent="0.3">
      <c r="A340" t="s">
        <v>1350</v>
      </c>
      <c r="B340" t="s">
        <v>2940</v>
      </c>
      <c r="C340">
        <v>35595912</v>
      </c>
      <c r="D340" s="1" t="s">
        <v>3065</v>
      </c>
      <c r="E340" s="1">
        <v>0</v>
      </c>
      <c r="F340" s="1" t="s">
        <v>3066</v>
      </c>
      <c r="G340" s="1">
        <v>52</v>
      </c>
      <c r="H340" s="1">
        <v>3</v>
      </c>
      <c r="I340" s="1"/>
      <c r="J340" s="1">
        <v>3</v>
      </c>
      <c r="K340" s="1" t="s">
        <v>3067</v>
      </c>
      <c r="L340" s="1">
        <v>1</v>
      </c>
      <c r="M340" s="1"/>
      <c r="N340" s="1" t="s">
        <v>3068</v>
      </c>
      <c r="O340" t="s">
        <v>3069</v>
      </c>
      <c r="P340" t="s">
        <v>3070</v>
      </c>
      <c r="Q340" t="s">
        <v>3071</v>
      </c>
      <c r="R340" t="s">
        <v>3072</v>
      </c>
      <c r="S340">
        <v>2022</v>
      </c>
      <c r="T340" s="2">
        <v>44701</v>
      </c>
      <c r="W340" t="s">
        <v>3073</v>
      </c>
      <c r="Y340">
        <f t="shared" si="15"/>
        <v>52</v>
      </c>
      <c r="Z340">
        <f t="shared" si="16"/>
        <v>0</v>
      </c>
      <c r="AA340">
        <f t="shared" si="17"/>
        <v>1</v>
      </c>
    </row>
    <row r="341" spans="1:27" x14ac:dyDescent="0.3">
      <c r="A341" t="s">
        <v>1350</v>
      </c>
      <c r="B341" t="s">
        <v>2940</v>
      </c>
      <c r="C341" s="16">
        <v>35829662</v>
      </c>
      <c r="D341" s="19" t="s">
        <v>3074</v>
      </c>
      <c r="E341" s="19">
        <v>0</v>
      </c>
      <c r="F341" s="19" t="s">
        <v>3075</v>
      </c>
      <c r="G341" s="19">
        <v>318</v>
      </c>
      <c r="H341" s="19">
        <v>92</v>
      </c>
      <c r="I341" s="19">
        <v>92</v>
      </c>
      <c r="J341" s="19">
        <v>12</v>
      </c>
      <c r="K341" s="19" t="s">
        <v>3076</v>
      </c>
      <c r="L341" s="19">
        <v>1</v>
      </c>
      <c r="M341" s="19" t="s">
        <v>3077</v>
      </c>
      <c r="N341" s="19" t="s">
        <v>3078</v>
      </c>
      <c r="O341" s="16" t="s">
        <v>3079</v>
      </c>
      <c r="P341" s="16" t="s">
        <v>3080</v>
      </c>
      <c r="Q341" s="16" t="s">
        <v>3081</v>
      </c>
      <c r="R341" s="16" t="s">
        <v>3082</v>
      </c>
      <c r="S341" s="16">
        <v>2022</v>
      </c>
      <c r="T341" s="18">
        <v>44755</v>
      </c>
      <c r="U341" s="16"/>
      <c r="V341" s="16"/>
      <c r="W341" s="16" t="s">
        <v>3083</v>
      </c>
      <c r="Y341">
        <f t="shared" si="15"/>
        <v>318</v>
      </c>
      <c r="Z341">
        <f t="shared" si="16"/>
        <v>3</v>
      </c>
      <c r="AA341">
        <f t="shared" si="17"/>
        <v>0</v>
      </c>
    </row>
    <row r="342" spans="1:27" x14ac:dyDescent="0.3">
      <c r="A342" t="s">
        <v>1350</v>
      </c>
      <c r="B342" t="s">
        <v>2940</v>
      </c>
      <c r="C342">
        <v>35752286</v>
      </c>
      <c r="D342" s="1" t="s">
        <v>3084</v>
      </c>
      <c r="E342" s="1">
        <v>0</v>
      </c>
      <c r="F342" s="1" t="s">
        <v>3085</v>
      </c>
      <c r="G342" s="1">
        <v>442</v>
      </c>
      <c r="H342" s="1">
        <v>1</v>
      </c>
      <c r="I342" s="1">
        <v>1</v>
      </c>
      <c r="J342" s="1">
        <v>1</v>
      </c>
      <c r="K342" s="1" t="s">
        <v>2724</v>
      </c>
      <c r="L342" s="1">
        <v>1</v>
      </c>
      <c r="M342" s="1" t="s">
        <v>459</v>
      </c>
      <c r="N342" s="1" t="s">
        <v>3086</v>
      </c>
      <c r="O342" t="s">
        <v>3087</v>
      </c>
      <c r="P342" t="s">
        <v>3088</v>
      </c>
      <c r="Q342" t="s">
        <v>871</v>
      </c>
      <c r="R342" t="s">
        <v>3089</v>
      </c>
      <c r="S342">
        <v>2022</v>
      </c>
      <c r="T342" s="2">
        <v>44737</v>
      </c>
      <c r="U342" t="s">
        <v>3090</v>
      </c>
      <c r="W342" t="s">
        <v>3091</v>
      </c>
      <c r="Y342">
        <f t="shared" si="15"/>
        <v>442</v>
      </c>
      <c r="Z342">
        <f t="shared" si="16"/>
        <v>4</v>
      </c>
      <c r="AA342">
        <f t="shared" si="17"/>
        <v>1</v>
      </c>
    </row>
    <row r="343" spans="1:27" x14ac:dyDescent="0.3">
      <c r="A343" t="s">
        <v>1350</v>
      </c>
      <c r="B343" t="s">
        <v>2940</v>
      </c>
      <c r="C343">
        <v>35691266</v>
      </c>
      <c r="D343" s="1" t="s">
        <v>3092</v>
      </c>
      <c r="E343" s="1">
        <v>0</v>
      </c>
      <c r="F343" s="1" t="s">
        <v>3093</v>
      </c>
      <c r="G343" s="1">
        <v>1142</v>
      </c>
      <c r="H343" s="1">
        <v>184</v>
      </c>
      <c r="I343" s="1">
        <v>48</v>
      </c>
      <c r="J343" s="1">
        <v>12</v>
      </c>
      <c r="K343" s="1" t="s">
        <v>3094</v>
      </c>
      <c r="L343" s="1">
        <v>2</v>
      </c>
      <c r="M343" s="1"/>
      <c r="N343" s="1" t="s">
        <v>3095</v>
      </c>
      <c r="O343" t="s">
        <v>3096</v>
      </c>
      <c r="P343" t="s">
        <v>3097</v>
      </c>
      <c r="Q343" t="s">
        <v>3098</v>
      </c>
      <c r="R343" t="s">
        <v>889</v>
      </c>
      <c r="S343">
        <v>2022</v>
      </c>
      <c r="T343" s="2">
        <v>44724</v>
      </c>
      <c r="W343" t="s">
        <v>3099</v>
      </c>
      <c r="Y343">
        <f t="shared" si="15"/>
        <v>2284</v>
      </c>
      <c r="Z343">
        <f t="shared" si="16"/>
        <v>23</v>
      </c>
      <c r="AA343">
        <f t="shared" si="17"/>
        <v>1</v>
      </c>
    </row>
    <row r="344" spans="1:27" x14ac:dyDescent="0.3">
      <c r="A344" t="s">
        <v>1350</v>
      </c>
      <c r="B344" t="s">
        <v>2940</v>
      </c>
      <c r="C344">
        <v>35567903</v>
      </c>
      <c r="D344" s="1" t="s">
        <v>3100</v>
      </c>
      <c r="E344" s="1">
        <v>0</v>
      </c>
      <c r="F344" s="1" t="s">
        <v>3101</v>
      </c>
      <c r="G344" s="1">
        <v>18</v>
      </c>
      <c r="H344" s="1">
        <v>92</v>
      </c>
      <c r="I344" s="1"/>
      <c r="J344" s="1">
        <v>4</v>
      </c>
      <c r="K344" s="1" t="s">
        <v>3102</v>
      </c>
      <c r="L344" s="1">
        <v>1</v>
      </c>
      <c r="M344" s="1" t="s">
        <v>3103</v>
      </c>
      <c r="N344" s="1" t="s">
        <v>3104</v>
      </c>
      <c r="O344" t="s">
        <v>1251</v>
      </c>
      <c r="P344" t="s">
        <v>3105</v>
      </c>
      <c r="Q344" t="s">
        <v>1253</v>
      </c>
      <c r="R344" t="s">
        <v>3106</v>
      </c>
      <c r="S344">
        <v>2022</v>
      </c>
      <c r="T344" s="2">
        <v>44695</v>
      </c>
      <c r="W344" t="s">
        <v>3107</v>
      </c>
      <c r="Y344">
        <f t="shared" si="15"/>
        <v>18</v>
      </c>
      <c r="Z344">
        <f t="shared" si="16"/>
        <v>0</v>
      </c>
      <c r="AA344">
        <f t="shared" si="17"/>
        <v>0</v>
      </c>
    </row>
    <row r="345" spans="1:27" x14ac:dyDescent="0.3">
      <c r="A345" t="s">
        <v>1350</v>
      </c>
      <c r="B345" t="s">
        <v>2940</v>
      </c>
      <c r="C345">
        <v>35589861</v>
      </c>
      <c r="D345" s="1" t="s">
        <v>3108</v>
      </c>
      <c r="E345" s="1">
        <v>0</v>
      </c>
      <c r="F345" s="1" t="s">
        <v>3109</v>
      </c>
      <c r="G345" s="1">
        <v>92</v>
      </c>
      <c r="H345" s="1">
        <v>644</v>
      </c>
      <c r="I345" s="1"/>
      <c r="J345" s="1">
        <v>7</v>
      </c>
      <c r="K345" s="1" t="s">
        <v>3110</v>
      </c>
      <c r="L345" s="1">
        <v>7</v>
      </c>
      <c r="M345" s="1" t="s">
        <v>3111</v>
      </c>
      <c r="N345" s="1" t="s">
        <v>3112</v>
      </c>
      <c r="O345" t="s">
        <v>3113</v>
      </c>
      <c r="P345" t="s">
        <v>3114</v>
      </c>
      <c r="Q345" t="s">
        <v>3115</v>
      </c>
      <c r="R345" t="s">
        <v>246</v>
      </c>
      <c r="S345">
        <v>2022</v>
      </c>
      <c r="T345" s="2">
        <v>44700</v>
      </c>
      <c r="U345" t="s">
        <v>3116</v>
      </c>
      <c r="W345" t="s">
        <v>3117</v>
      </c>
      <c r="Y345">
        <f t="shared" si="15"/>
        <v>644</v>
      </c>
      <c r="Z345">
        <f t="shared" si="16"/>
        <v>6</v>
      </c>
      <c r="AA345">
        <f t="shared" si="17"/>
        <v>1</v>
      </c>
    </row>
    <row r="346" spans="1:27" x14ac:dyDescent="0.3">
      <c r="A346" t="s">
        <v>1350</v>
      </c>
      <c r="B346" t="s">
        <v>2940</v>
      </c>
      <c r="C346">
        <v>35775410</v>
      </c>
      <c r="D346" s="1" t="s">
        <v>3118</v>
      </c>
      <c r="E346" s="1">
        <v>0</v>
      </c>
      <c r="F346" s="1" t="s">
        <v>3093</v>
      </c>
      <c r="G346" s="1">
        <v>586</v>
      </c>
      <c r="H346" s="1">
        <v>368</v>
      </c>
      <c r="I346" s="1">
        <v>68</v>
      </c>
      <c r="J346" s="1">
        <v>7</v>
      </c>
      <c r="K346" s="1" t="s">
        <v>3119</v>
      </c>
      <c r="L346" s="1">
        <v>4</v>
      </c>
      <c r="N346" s="1" t="s">
        <v>3120</v>
      </c>
      <c r="O346" t="s">
        <v>3121</v>
      </c>
      <c r="P346" t="s">
        <v>3122</v>
      </c>
      <c r="Q346" t="s">
        <v>3123</v>
      </c>
      <c r="R346" t="s">
        <v>3124</v>
      </c>
      <c r="S346">
        <v>2022</v>
      </c>
      <c r="T346" s="2">
        <v>44743</v>
      </c>
      <c r="W346" t="s">
        <v>3125</v>
      </c>
      <c r="Y346">
        <f t="shared" si="15"/>
        <v>2344</v>
      </c>
      <c r="Z346">
        <f t="shared" si="16"/>
        <v>24</v>
      </c>
      <c r="AA346">
        <f t="shared" si="17"/>
        <v>0</v>
      </c>
    </row>
    <row r="347" spans="1:27" x14ac:dyDescent="0.3">
      <c r="A347" t="s">
        <v>1350</v>
      </c>
      <c r="B347" t="s">
        <v>2940</v>
      </c>
      <c r="C347">
        <v>35681714</v>
      </c>
      <c r="D347" s="1" t="s">
        <v>3126</v>
      </c>
      <c r="E347" s="1">
        <v>0</v>
      </c>
      <c r="F347" s="1" t="s">
        <v>3127</v>
      </c>
      <c r="G347" s="1">
        <v>2085</v>
      </c>
      <c r="H347" s="1">
        <v>92</v>
      </c>
      <c r="I347" s="1"/>
      <c r="J347" s="1"/>
      <c r="K347" s="1" t="s">
        <v>3128</v>
      </c>
      <c r="L347" s="1">
        <v>1</v>
      </c>
      <c r="M347" s="1" t="s">
        <v>3129</v>
      </c>
      <c r="N347" s="1" t="s">
        <v>3130</v>
      </c>
      <c r="O347" t="s">
        <v>3131</v>
      </c>
      <c r="P347" t="s">
        <v>3132</v>
      </c>
      <c r="Q347" t="s">
        <v>3133</v>
      </c>
      <c r="R347" t="s">
        <v>444</v>
      </c>
      <c r="S347">
        <v>2022</v>
      </c>
      <c r="T347" s="2">
        <v>44722</v>
      </c>
      <c r="U347" t="s">
        <v>3134</v>
      </c>
      <c r="W347" t="s">
        <v>3135</v>
      </c>
      <c r="Y347">
        <f t="shared" si="15"/>
        <v>2085</v>
      </c>
      <c r="Z347">
        <f t="shared" si="16"/>
        <v>21</v>
      </c>
      <c r="AA347">
        <f t="shared" si="17"/>
        <v>1</v>
      </c>
    </row>
    <row r="348" spans="1:27" x14ac:dyDescent="0.3">
      <c r="A348" t="s">
        <v>1350</v>
      </c>
      <c r="B348" t="s">
        <v>2940</v>
      </c>
      <c r="C348">
        <v>35800899</v>
      </c>
      <c r="D348" s="1" t="s">
        <v>3136</v>
      </c>
      <c r="E348" s="1">
        <v>0</v>
      </c>
      <c r="F348" s="1" t="s">
        <v>143</v>
      </c>
      <c r="G348" s="1">
        <v>372</v>
      </c>
      <c r="H348" s="1">
        <v>460</v>
      </c>
      <c r="I348" s="1">
        <v>44</v>
      </c>
      <c r="J348" s="20">
        <v>12</v>
      </c>
      <c r="K348" s="1" t="s">
        <v>3137</v>
      </c>
      <c r="L348" s="1">
        <v>5</v>
      </c>
      <c r="M348" s="1" t="s">
        <v>3138</v>
      </c>
      <c r="N348" s="1" t="s">
        <v>3139</v>
      </c>
      <c r="O348" t="s">
        <v>3140</v>
      </c>
      <c r="P348" t="s">
        <v>3141</v>
      </c>
      <c r="Q348" t="s">
        <v>2864</v>
      </c>
      <c r="R348" t="s">
        <v>922</v>
      </c>
      <c r="S348">
        <v>2022</v>
      </c>
      <c r="T348" s="2">
        <v>44750</v>
      </c>
      <c r="U348" t="s">
        <v>3142</v>
      </c>
      <c r="W348" t="s">
        <v>3143</v>
      </c>
      <c r="Y348">
        <f t="shared" si="15"/>
        <v>1860</v>
      </c>
      <c r="Z348">
        <f t="shared" si="16"/>
        <v>19</v>
      </c>
      <c r="AA348">
        <f t="shared" si="17"/>
        <v>0</v>
      </c>
    </row>
    <row r="349" spans="1:27" x14ac:dyDescent="0.3">
      <c r="A349" t="s">
        <v>1350</v>
      </c>
      <c r="B349" t="s">
        <v>2940</v>
      </c>
      <c r="C349">
        <v>35668171</v>
      </c>
      <c r="D349" s="1" t="s">
        <v>3144</v>
      </c>
      <c r="E349" s="1">
        <v>0</v>
      </c>
      <c r="F349" s="1" t="s">
        <v>3145</v>
      </c>
      <c r="G349" s="1">
        <v>20</v>
      </c>
      <c r="H349" s="1">
        <v>1069</v>
      </c>
      <c r="I349" s="1">
        <v>47</v>
      </c>
      <c r="J349" s="1">
        <v>10</v>
      </c>
      <c r="K349" s="1" t="s">
        <v>3146</v>
      </c>
      <c r="L349" s="1">
        <v>12</v>
      </c>
      <c r="M349" s="1" t="s">
        <v>3147</v>
      </c>
      <c r="N349" s="1" t="s">
        <v>3148</v>
      </c>
      <c r="O349" t="s">
        <v>3149</v>
      </c>
      <c r="P349" t="s">
        <v>3150</v>
      </c>
      <c r="Q349" t="s">
        <v>3151</v>
      </c>
      <c r="R349" t="s">
        <v>3152</v>
      </c>
      <c r="S349">
        <v>2022</v>
      </c>
      <c r="T349" s="2">
        <v>44718</v>
      </c>
      <c r="U349" t="s">
        <v>3153</v>
      </c>
      <c r="W349" t="s">
        <v>3154</v>
      </c>
      <c r="Y349">
        <f t="shared" si="15"/>
        <v>240</v>
      </c>
      <c r="Z349">
        <f t="shared" si="16"/>
        <v>2</v>
      </c>
      <c r="AA349">
        <f t="shared" si="17"/>
        <v>1</v>
      </c>
    </row>
    <row r="350" spans="1:27" x14ac:dyDescent="0.3">
      <c r="A350" t="s">
        <v>1350</v>
      </c>
      <c r="B350" t="s">
        <v>2940</v>
      </c>
      <c r="C350">
        <v>35486078</v>
      </c>
      <c r="D350" s="1" t="s">
        <v>3155</v>
      </c>
      <c r="E350" s="1" t="s">
        <v>1367</v>
      </c>
      <c r="F350" s="1"/>
      <c r="G350" s="1"/>
      <c r="H350" s="1"/>
      <c r="I350" s="1"/>
      <c r="J350" s="1"/>
      <c r="K350" s="1"/>
      <c r="L350" s="1"/>
      <c r="M350" s="1"/>
      <c r="N350" s="1"/>
      <c r="O350" t="s">
        <v>3156</v>
      </c>
      <c r="P350" t="s">
        <v>3157</v>
      </c>
      <c r="Q350" t="s">
        <v>3158</v>
      </c>
      <c r="R350" t="s">
        <v>803</v>
      </c>
      <c r="S350">
        <v>2022</v>
      </c>
      <c r="T350" s="2">
        <v>44680</v>
      </c>
      <c r="U350" t="s">
        <v>3159</v>
      </c>
      <c r="W350" t="s">
        <v>3160</v>
      </c>
      <c r="Y350">
        <f t="shared" si="15"/>
        <v>0</v>
      </c>
      <c r="Z350">
        <f t="shared" si="16"/>
        <v>0</v>
      </c>
      <c r="AA350">
        <f t="shared" si="17"/>
        <v>0</v>
      </c>
    </row>
    <row r="351" spans="1:27" x14ac:dyDescent="0.3">
      <c r="A351" t="s">
        <v>1350</v>
      </c>
      <c r="B351" t="s">
        <v>2940</v>
      </c>
      <c r="C351">
        <v>35764820</v>
      </c>
      <c r="D351" s="1" t="s">
        <v>3161</v>
      </c>
      <c r="E351" s="1">
        <v>1</v>
      </c>
      <c r="F351" s="1" t="s">
        <v>3162</v>
      </c>
      <c r="G351" s="1"/>
      <c r="H351" s="1"/>
      <c r="I351" s="1"/>
      <c r="J351" s="1"/>
      <c r="K351" s="1"/>
      <c r="N351" s="1"/>
      <c r="O351" t="s">
        <v>3163</v>
      </c>
      <c r="P351" t="s">
        <v>3164</v>
      </c>
      <c r="Q351" t="s">
        <v>3165</v>
      </c>
      <c r="R351" t="s">
        <v>3166</v>
      </c>
      <c r="S351">
        <v>2022</v>
      </c>
      <c r="T351" s="2">
        <v>44740</v>
      </c>
      <c r="U351" t="s">
        <v>3167</v>
      </c>
      <c r="W351" t="s">
        <v>3168</v>
      </c>
      <c r="Y351">
        <f t="shared" si="15"/>
        <v>0</v>
      </c>
      <c r="Z351">
        <f t="shared" si="16"/>
        <v>0</v>
      </c>
      <c r="AA351">
        <f t="shared" si="17"/>
        <v>0</v>
      </c>
    </row>
    <row r="352" spans="1:27" x14ac:dyDescent="0.3">
      <c r="A352" t="s">
        <v>1350</v>
      </c>
      <c r="B352" t="s">
        <v>2940</v>
      </c>
      <c r="C352">
        <v>35779858</v>
      </c>
      <c r="D352" s="1" t="s">
        <v>3169</v>
      </c>
      <c r="E352" s="1">
        <v>0</v>
      </c>
      <c r="F352" s="1" t="s">
        <v>82</v>
      </c>
      <c r="G352" s="1">
        <v>311</v>
      </c>
      <c r="H352" s="1">
        <v>183</v>
      </c>
      <c r="I352" s="1"/>
      <c r="J352" s="1">
        <v>30</v>
      </c>
      <c r="K352" s="1" t="s">
        <v>3170</v>
      </c>
      <c r="L352" s="1">
        <v>2</v>
      </c>
      <c r="M352" s="1" t="s">
        <v>3171</v>
      </c>
      <c r="N352" s="1" t="s">
        <v>3172</v>
      </c>
      <c r="O352" t="s">
        <v>3173</v>
      </c>
      <c r="P352" t="s">
        <v>3174</v>
      </c>
      <c r="Q352" t="s">
        <v>3175</v>
      </c>
      <c r="R352" t="s">
        <v>3176</v>
      </c>
      <c r="S352">
        <v>2022</v>
      </c>
      <c r="T352" s="2">
        <v>44744</v>
      </c>
      <c r="W352" t="s">
        <v>3177</v>
      </c>
      <c r="Y352">
        <f t="shared" si="15"/>
        <v>622</v>
      </c>
      <c r="Z352">
        <f t="shared" si="16"/>
        <v>6</v>
      </c>
      <c r="AA352">
        <f t="shared" si="17"/>
        <v>0</v>
      </c>
    </row>
    <row r="353" spans="1:27" x14ac:dyDescent="0.3">
      <c r="A353" t="s">
        <v>1350</v>
      </c>
      <c r="B353" t="s">
        <v>2940</v>
      </c>
      <c r="C353">
        <v>35572151</v>
      </c>
      <c r="D353" s="1" t="s">
        <v>3178</v>
      </c>
      <c r="E353" s="1">
        <v>0</v>
      </c>
      <c r="F353" s="1" t="s">
        <v>1405</v>
      </c>
      <c r="G353" s="1">
        <v>88</v>
      </c>
      <c r="H353" s="1">
        <v>92</v>
      </c>
      <c r="I353" s="1">
        <v>11</v>
      </c>
      <c r="J353" s="1"/>
      <c r="K353" s="1" t="s">
        <v>3179</v>
      </c>
      <c r="L353" s="1">
        <v>1</v>
      </c>
      <c r="M353" s="1" t="s">
        <v>3180</v>
      </c>
      <c r="N353" s="1" t="s">
        <v>3181</v>
      </c>
      <c r="O353" t="s">
        <v>3182</v>
      </c>
      <c r="P353" t="s">
        <v>3183</v>
      </c>
      <c r="Q353" t="s">
        <v>3184</v>
      </c>
      <c r="R353" t="s">
        <v>1829</v>
      </c>
      <c r="S353">
        <v>2022</v>
      </c>
      <c r="T353" s="2">
        <v>44697</v>
      </c>
      <c r="U353" t="s">
        <v>3185</v>
      </c>
      <c r="W353" t="s">
        <v>3186</v>
      </c>
      <c r="Y353">
        <f t="shared" si="15"/>
        <v>88</v>
      </c>
      <c r="Z353">
        <f t="shared" si="16"/>
        <v>0</v>
      </c>
      <c r="AA353">
        <f t="shared" si="17"/>
        <v>1</v>
      </c>
    </row>
    <row r="354" spans="1:27" x14ac:dyDescent="0.3">
      <c r="A354" t="s">
        <v>1350</v>
      </c>
      <c r="B354" t="s">
        <v>2940</v>
      </c>
      <c r="C354">
        <v>35387486</v>
      </c>
      <c r="D354" s="1" t="s">
        <v>3187</v>
      </c>
      <c r="E354" s="1">
        <v>0</v>
      </c>
      <c r="F354" s="1" t="s">
        <v>112</v>
      </c>
      <c r="G354" s="1"/>
      <c r="H354" s="1">
        <v>1</v>
      </c>
      <c r="I354" s="1"/>
      <c r="J354" s="3" t="s">
        <v>72</v>
      </c>
      <c r="K354" s="1" t="s">
        <v>3188</v>
      </c>
      <c r="L354" s="1"/>
      <c r="M354" s="1"/>
      <c r="N354" s="1" t="s">
        <v>3189</v>
      </c>
      <c r="O354" t="s">
        <v>3190</v>
      </c>
      <c r="P354" t="s">
        <v>3191</v>
      </c>
      <c r="Q354" t="s">
        <v>3192</v>
      </c>
      <c r="R354" t="s">
        <v>3193</v>
      </c>
      <c r="S354">
        <v>2022</v>
      </c>
      <c r="T354" s="2">
        <v>44658</v>
      </c>
      <c r="U354" t="s">
        <v>3194</v>
      </c>
      <c r="W354" t="s">
        <v>3195</v>
      </c>
      <c r="Y354">
        <f t="shared" si="15"/>
        <v>0</v>
      </c>
      <c r="Z354">
        <f t="shared" si="16"/>
        <v>0</v>
      </c>
      <c r="AA354">
        <f t="shared" si="17"/>
        <v>0</v>
      </c>
    </row>
    <row r="355" spans="1:27" x14ac:dyDescent="0.3">
      <c r="A355" t="s">
        <v>1350</v>
      </c>
      <c r="B355" t="s">
        <v>2940</v>
      </c>
      <c r="C355" s="16">
        <v>35565275</v>
      </c>
      <c r="D355" s="19" t="s">
        <v>3196</v>
      </c>
      <c r="E355" s="19">
        <v>0</v>
      </c>
      <c r="F355" s="19" t="s">
        <v>82</v>
      </c>
      <c r="G355" s="19">
        <v>457</v>
      </c>
      <c r="H355" s="19">
        <v>92</v>
      </c>
      <c r="I355" s="19">
        <v>11</v>
      </c>
      <c r="J355" s="19">
        <v>3</v>
      </c>
      <c r="K355" s="19" t="s">
        <v>3197</v>
      </c>
      <c r="L355" s="19">
        <v>1</v>
      </c>
      <c r="M355" s="19" t="s">
        <v>459</v>
      </c>
      <c r="N355" s="19" t="s">
        <v>3198</v>
      </c>
      <c r="O355" s="16" t="s">
        <v>3199</v>
      </c>
      <c r="P355" s="16" t="s">
        <v>3200</v>
      </c>
      <c r="Q355" s="16" t="s">
        <v>3201</v>
      </c>
      <c r="R355" s="16" t="s">
        <v>444</v>
      </c>
      <c r="S355" s="16">
        <v>2022</v>
      </c>
      <c r="T355" s="18">
        <v>44695</v>
      </c>
      <c r="U355" s="16" t="s">
        <v>3202</v>
      </c>
      <c r="V355" s="16"/>
      <c r="W355" s="16" t="s">
        <v>3203</v>
      </c>
      <c r="Y355">
        <f t="shared" si="15"/>
        <v>457</v>
      </c>
      <c r="Z355">
        <f t="shared" si="16"/>
        <v>4</v>
      </c>
      <c r="AA355">
        <f t="shared" si="17"/>
        <v>1</v>
      </c>
    </row>
    <row r="356" spans="1:27" x14ac:dyDescent="0.3">
      <c r="A356" t="s">
        <v>1350</v>
      </c>
      <c r="B356" t="s">
        <v>2940</v>
      </c>
      <c r="C356">
        <v>35745254</v>
      </c>
      <c r="D356" s="1" t="s">
        <v>3204</v>
      </c>
      <c r="E356" s="1">
        <v>0</v>
      </c>
      <c r="F356" s="1" t="s">
        <v>3205</v>
      </c>
      <c r="G356" s="1">
        <v>453</v>
      </c>
      <c r="H356" s="1">
        <v>92</v>
      </c>
      <c r="I356" s="1">
        <v>11</v>
      </c>
      <c r="J356" s="1"/>
      <c r="K356" s="1" t="s">
        <v>3206</v>
      </c>
      <c r="L356" s="1">
        <v>1</v>
      </c>
      <c r="M356" s="1" t="s">
        <v>459</v>
      </c>
      <c r="N356" s="1" t="s">
        <v>3207</v>
      </c>
      <c r="O356" t="s">
        <v>3208</v>
      </c>
      <c r="P356" t="s">
        <v>3209</v>
      </c>
      <c r="Q356" t="s">
        <v>3210</v>
      </c>
      <c r="R356" t="s">
        <v>1337</v>
      </c>
      <c r="S356">
        <v>2022</v>
      </c>
      <c r="T356" s="2">
        <v>44736</v>
      </c>
      <c r="U356" t="s">
        <v>3211</v>
      </c>
      <c r="W356" t="s">
        <v>3212</v>
      </c>
      <c r="Y356">
        <f t="shared" si="15"/>
        <v>453</v>
      </c>
      <c r="Z356">
        <f t="shared" si="16"/>
        <v>4</v>
      </c>
      <c r="AA356">
        <f t="shared" si="17"/>
        <v>1</v>
      </c>
    </row>
    <row r="357" spans="1:27" x14ac:dyDescent="0.3">
      <c r="A357" t="s">
        <v>1350</v>
      </c>
      <c r="B357" t="s">
        <v>2940</v>
      </c>
      <c r="C357">
        <v>35598103</v>
      </c>
      <c r="D357" s="1" t="s">
        <v>3213</v>
      </c>
      <c r="E357" s="1">
        <v>0</v>
      </c>
      <c r="F357" s="1" t="s">
        <v>3214</v>
      </c>
      <c r="G357" s="1">
        <v>122</v>
      </c>
      <c r="H357" s="1">
        <v>962</v>
      </c>
      <c r="I357" s="1"/>
      <c r="J357" s="1"/>
      <c r="K357" s="1"/>
      <c r="L357" s="1">
        <v>1</v>
      </c>
      <c r="M357" s="1" t="s">
        <v>3215</v>
      </c>
      <c r="N357" s="1" t="s">
        <v>3216</v>
      </c>
      <c r="O357" t="s">
        <v>3217</v>
      </c>
      <c r="P357" t="s">
        <v>3218</v>
      </c>
      <c r="Q357" t="s">
        <v>3219</v>
      </c>
      <c r="R357" t="s">
        <v>2905</v>
      </c>
      <c r="S357">
        <v>2022</v>
      </c>
      <c r="T357" s="2">
        <v>44703</v>
      </c>
      <c r="W357" t="s">
        <v>3220</v>
      </c>
      <c r="Y357">
        <f t="shared" si="15"/>
        <v>122</v>
      </c>
      <c r="Z357">
        <f t="shared" si="16"/>
        <v>1</v>
      </c>
      <c r="AA357">
        <f t="shared" si="17"/>
        <v>0</v>
      </c>
    </row>
    <row r="358" spans="1:27" x14ac:dyDescent="0.3">
      <c r="A358" t="s">
        <v>1350</v>
      </c>
      <c r="B358" t="s">
        <v>2940</v>
      </c>
      <c r="C358">
        <v>35589331</v>
      </c>
      <c r="D358" s="1" t="s">
        <v>3221</v>
      </c>
      <c r="E358" s="1">
        <v>0</v>
      </c>
      <c r="F358" s="1" t="s">
        <v>3222</v>
      </c>
      <c r="G358" s="1">
        <v>113</v>
      </c>
      <c r="H358" s="1">
        <v>184</v>
      </c>
      <c r="I358" s="1">
        <v>20</v>
      </c>
      <c r="J358" s="1"/>
      <c r="K358" s="1"/>
      <c r="L358" s="1">
        <v>2</v>
      </c>
      <c r="M358" s="1" t="s">
        <v>3223</v>
      </c>
      <c r="N358" s="1" t="s">
        <v>3224</v>
      </c>
      <c r="O358" t="s">
        <v>3225</v>
      </c>
      <c r="P358" t="s">
        <v>3226</v>
      </c>
      <c r="Q358" t="s">
        <v>3227</v>
      </c>
      <c r="R358" t="s">
        <v>3228</v>
      </c>
      <c r="S358">
        <v>2022</v>
      </c>
      <c r="T358" s="2">
        <v>44700</v>
      </c>
      <c r="U358" t="s">
        <v>3229</v>
      </c>
      <c r="W358" t="s">
        <v>3230</v>
      </c>
      <c r="Y358">
        <f t="shared" si="15"/>
        <v>226</v>
      </c>
      <c r="Z358">
        <f t="shared" si="16"/>
        <v>2</v>
      </c>
      <c r="AA358">
        <f t="shared" si="17"/>
        <v>0</v>
      </c>
    </row>
    <row r="359" spans="1:27" x14ac:dyDescent="0.3">
      <c r="A359" t="s">
        <v>1350</v>
      </c>
      <c r="B359" t="s">
        <v>2940</v>
      </c>
      <c r="C359" s="16">
        <v>35689489</v>
      </c>
      <c r="D359" s="19" t="s">
        <v>3231</v>
      </c>
      <c r="E359" s="19">
        <v>0</v>
      </c>
      <c r="F359" s="19" t="s">
        <v>3232</v>
      </c>
      <c r="G359" s="19">
        <v>25</v>
      </c>
      <c r="H359" s="19">
        <v>1000</v>
      </c>
      <c r="I359" s="19"/>
      <c r="J359" s="19">
        <v>7</v>
      </c>
      <c r="K359" s="19" t="s">
        <v>3233</v>
      </c>
      <c r="L359" s="19">
        <v>1</v>
      </c>
      <c r="M359" s="19" t="s">
        <v>3215</v>
      </c>
      <c r="N359" s="19" t="s">
        <v>3234</v>
      </c>
      <c r="O359" s="16" t="s">
        <v>3235</v>
      </c>
      <c r="P359" s="16" t="s">
        <v>3236</v>
      </c>
      <c r="Q359" s="16" t="s">
        <v>3237</v>
      </c>
      <c r="R359" s="16" t="s">
        <v>3238</v>
      </c>
      <c r="S359" s="16">
        <v>2022</v>
      </c>
      <c r="T359" s="18">
        <v>44723</v>
      </c>
      <c r="U359" s="16"/>
      <c r="V359" s="16"/>
      <c r="W359" s="16" t="s">
        <v>3239</v>
      </c>
      <c r="Y359">
        <f t="shared" si="15"/>
        <v>25</v>
      </c>
      <c r="Z359">
        <f t="shared" si="16"/>
        <v>0</v>
      </c>
      <c r="AA359">
        <f t="shared" si="17"/>
        <v>0</v>
      </c>
    </row>
    <row r="360" spans="1:27" x14ac:dyDescent="0.3">
      <c r="A360" t="s">
        <v>1350</v>
      </c>
      <c r="B360" t="s">
        <v>2940</v>
      </c>
      <c r="C360">
        <v>35474520</v>
      </c>
      <c r="D360" s="1" t="s">
        <v>3240</v>
      </c>
      <c r="E360" s="1">
        <v>0</v>
      </c>
      <c r="F360" s="1" t="s">
        <v>3241</v>
      </c>
      <c r="G360" s="1">
        <v>38</v>
      </c>
      <c r="H360" s="1">
        <v>276</v>
      </c>
      <c r="I360" s="1">
        <v>43</v>
      </c>
      <c r="J360" s="1">
        <v>8</v>
      </c>
      <c r="K360" s="1" t="s">
        <v>3242</v>
      </c>
      <c r="L360" s="1">
        <v>3</v>
      </c>
      <c r="M360" s="1" t="s">
        <v>3243</v>
      </c>
      <c r="N360" s="1" t="s">
        <v>3244</v>
      </c>
      <c r="O360" t="s">
        <v>3245</v>
      </c>
      <c r="P360" t="s">
        <v>3246</v>
      </c>
      <c r="Q360" t="s">
        <v>3247</v>
      </c>
      <c r="R360" t="s">
        <v>3248</v>
      </c>
      <c r="S360">
        <v>2022</v>
      </c>
      <c r="T360" s="2">
        <v>44678</v>
      </c>
      <c r="W360" t="s">
        <v>3249</v>
      </c>
      <c r="Y360">
        <f t="shared" si="15"/>
        <v>114</v>
      </c>
      <c r="Z360">
        <f t="shared" si="16"/>
        <v>1</v>
      </c>
      <c r="AA360">
        <f t="shared" si="17"/>
        <v>0</v>
      </c>
    </row>
    <row r="361" spans="1:27" x14ac:dyDescent="0.3">
      <c r="A361" t="s">
        <v>1350</v>
      </c>
      <c r="B361" t="s">
        <v>2940</v>
      </c>
      <c r="C361">
        <v>35738253</v>
      </c>
      <c r="D361" s="1" t="s">
        <v>3250</v>
      </c>
      <c r="E361" s="1">
        <v>0</v>
      </c>
      <c r="F361" s="1" t="s">
        <v>3251</v>
      </c>
      <c r="G361" s="1">
        <v>186</v>
      </c>
      <c r="H361" s="1">
        <v>184</v>
      </c>
      <c r="I361" s="1"/>
      <c r="J361" s="1">
        <v>9</v>
      </c>
      <c r="K361" s="1" t="s">
        <v>3252</v>
      </c>
      <c r="L361" s="1">
        <v>2</v>
      </c>
      <c r="M361" s="1" t="s">
        <v>3253</v>
      </c>
      <c r="N361" s="1"/>
      <c r="O361" t="s">
        <v>3254</v>
      </c>
      <c r="P361" t="s">
        <v>3255</v>
      </c>
      <c r="Q361" t="s">
        <v>3256</v>
      </c>
      <c r="R361" t="s">
        <v>1554</v>
      </c>
      <c r="S361">
        <v>2022</v>
      </c>
      <c r="T361" s="2">
        <v>44735</v>
      </c>
      <c r="U361" t="s">
        <v>3257</v>
      </c>
      <c r="W361" t="s">
        <v>3258</v>
      </c>
      <c r="Y361">
        <f t="shared" si="15"/>
        <v>372</v>
      </c>
      <c r="Z361">
        <f t="shared" si="16"/>
        <v>3</v>
      </c>
      <c r="AA361">
        <f t="shared" si="17"/>
        <v>1</v>
      </c>
    </row>
    <row r="362" spans="1:27" x14ac:dyDescent="0.3">
      <c r="A362" t="s">
        <v>1350</v>
      </c>
      <c r="B362" t="s">
        <v>2940</v>
      </c>
      <c r="C362">
        <v>35834914</v>
      </c>
      <c r="D362" s="1" t="s">
        <v>231</v>
      </c>
      <c r="E362" s="1">
        <v>0</v>
      </c>
      <c r="F362" s="1" t="s">
        <v>3259</v>
      </c>
      <c r="G362" s="1">
        <v>1484</v>
      </c>
      <c r="H362" s="1">
        <v>276</v>
      </c>
      <c r="I362" s="1"/>
      <c r="J362" s="1"/>
      <c r="K362" s="1" t="s">
        <v>51</v>
      </c>
      <c r="L362" s="1">
        <v>3</v>
      </c>
      <c r="M362" s="1" t="s">
        <v>3260</v>
      </c>
      <c r="N362" s="1" t="s">
        <v>234</v>
      </c>
      <c r="O362" t="s">
        <v>235</v>
      </c>
      <c r="P362" t="s">
        <v>3261</v>
      </c>
      <c r="Q362" t="s">
        <v>237</v>
      </c>
      <c r="R362" t="s">
        <v>238</v>
      </c>
      <c r="S362">
        <v>2022</v>
      </c>
      <c r="T362" s="2">
        <v>44756</v>
      </c>
      <c r="W362" t="s">
        <v>239</v>
      </c>
      <c r="Y362">
        <f t="shared" si="15"/>
        <v>4452</v>
      </c>
      <c r="Z362">
        <f t="shared" si="16"/>
        <v>46</v>
      </c>
      <c r="AA362">
        <f t="shared" si="17"/>
        <v>0</v>
      </c>
    </row>
    <row r="363" spans="1:27" x14ac:dyDescent="0.3">
      <c r="A363" t="s">
        <v>1350</v>
      </c>
      <c r="B363" t="s">
        <v>2940</v>
      </c>
      <c r="C363">
        <v>35552514</v>
      </c>
      <c r="D363" s="1" t="s">
        <v>3262</v>
      </c>
      <c r="E363" s="1">
        <v>0</v>
      </c>
      <c r="F363" s="1" t="s">
        <v>3263</v>
      </c>
      <c r="G363" s="1">
        <v>19</v>
      </c>
      <c r="H363" s="1">
        <v>92</v>
      </c>
      <c r="J363" s="1">
        <v>8</v>
      </c>
      <c r="K363" s="1" t="s">
        <v>3264</v>
      </c>
      <c r="L363" s="1">
        <v>1</v>
      </c>
      <c r="M363" s="1" t="s">
        <v>53</v>
      </c>
      <c r="N363" s="1" t="s">
        <v>3265</v>
      </c>
      <c r="O363" t="s">
        <v>3266</v>
      </c>
      <c r="P363" t="s">
        <v>3267</v>
      </c>
      <c r="Q363" t="s">
        <v>3268</v>
      </c>
      <c r="R363" t="s">
        <v>246</v>
      </c>
      <c r="S363">
        <v>2022</v>
      </c>
      <c r="T363" s="2">
        <v>44694</v>
      </c>
      <c r="U363" t="s">
        <v>3269</v>
      </c>
      <c r="W363" t="s">
        <v>3270</v>
      </c>
      <c r="Y363">
        <f t="shared" si="15"/>
        <v>19</v>
      </c>
      <c r="Z363">
        <f t="shared" si="16"/>
        <v>0</v>
      </c>
      <c r="AA363">
        <f t="shared" si="17"/>
        <v>0</v>
      </c>
    </row>
    <row r="364" spans="1:27" x14ac:dyDescent="0.3">
      <c r="A364" t="s">
        <v>1350</v>
      </c>
      <c r="B364" t="s">
        <v>2940</v>
      </c>
      <c r="C364">
        <v>35609978</v>
      </c>
      <c r="D364" s="1" t="s">
        <v>3271</v>
      </c>
      <c r="E364" s="1">
        <v>0</v>
      </c>
      <c r="F364" s="1" t="s">
        <v>3272</v>
      </c>
      <c r="G364" s="1">
        <v>576</v>
      </c>
      <c r="H364" s="1">
        <v>92</v>
      </c>
      <c r="I364" s="1"/>
      <c r="J364" s="1">
        <v>9</v>
      </c>
      <c r="K364" s="1" t="s">
        <v>3273</v>
      </c>
      <c r="L364" s="1">
        <v>1</v>
      </c>
      <c r="M364" s="1" t="s">
        <v>459</v>
      </c>
      <c r="N364" s="1" t="s">
        <v>3274</v>
      </c>
      <c r="O364" t="s">
        <v>3275</v>
      </c>
      <c r="P364" t="s">
        <v>3276</v>
      </c>
      <c r="Q364" t="s">
        <v>3277</v>
      </c>
      <c r="R364" t="s">
        <v>1237</v>
      </c>
      <c r="S364">
        <v>2022</v>
      </c>
      <c r="T364" s="2">
        <v>44705</v>
      </c>
      <c r="W364" t="s">
        <v>3278</v>
      </c>
      <c r="Y364">
        <f t="shared" si="15"/>
        <v>576</v>
      </c>
      <c r="Z364">
        <f t="shared" si="16"/>
        <v>6</v>
      </c>
      <c r="AA364">
        <f t="shared" si="17"/>
        <v>0</v>
      </c>
    </row>
    <row r="365" spans="1:27" x14ac:dyDescent="0.3">
      <c r="A365" t="s">
        <v>1350</v>
      </c>
      <c r="B365" t="s">
        <v>2940</v>
      </c>
      <c r="C365" s="16">
        <v>35567697</v>
      </c>
      <c r="D365" s="19" t="s">
        <v>3279</v>
      </c>
      <c r="E365" s="19">
        <v>0</v>
      </c>
      <c r="F365" s="19" t="s">
        <v>3280</v>
      </c>
      <c r="G365" s="19">
        <v>4637</v>
      </c>
      <c r="H365" s="19"/>
      <c r="I365" s="19"/>
      <c r="J365" s="19"/>
      <c r="K365" s="19" t="s">
        <v>3281</v>
      </c>
      <c r="L365" s="19">
        <v>1</v>
      </c>
      <c r="M365" s="19" t="s">
        <v>3282</v>
      </c>
      <c r="N365" s="19" t="s">
        <v>3283</v>
      </c>
      <c r="O365" s="16" t="s">
        <v>3284</v>
      </c>
      <c r="P365" s="16" t="s">
        <v>3285</v>
      </c>
      <c r="Q365" s="16" t="s">
        <v>3286</v>
      </c>
      <c r="R365" s="16" t="s">
        <v>3287</v>
      </c>
      <c r="S365" s="16">
        <v>2022</v>
      </c>
      <c r="T365" s="18">
        <v>44695</v>
      </c>
      <c r="U365" s="16" t="s">
        <v>3288</v>
      </c>
      <c r="V365" s="16"/>
      <c r="W365" s="16" t="s">
        <v>3289</v>
      </c>
      <c r="Y365">
        <f t="shared" si="15"/>
        <v>4637</v>
      </c>
      <c r="Z365">
        <f t="shared" si="16"/>
        <v>48</v>
      </c>
      <c r="AA365">
        <f t="shared" si="17"/>
        <v>0</v>
      </c>
    </row>
    <row r="366" spans="1:27" x14ac:dyDescent="0.3">
      <c r="A366" t="s">
        <v>1350</v>
      </c>
      <c r="B366" t="s">
        <v>2940</v>
      </c>
      <c r="C366">
        <v>35697739</v>
      </c>
      <c r="D366" s="1" t="s">
        <v>3290</v>
      </c>
      <c r="E366" s="1">
        <v>0</v>
      </c>
      <c r="F366" s="1" t="s">
        <v>3291</v>
      </c>
      <c r="G366" s="1">
        <v>187</v>
      </c>
      <c r="H366" s="1">
        <v>444</v>
      </c>
      <c r="I366" s="1">
        <v>87</v>
      </c>
      <c r="J366" s="1">
        <v>7</v>
      </c>
      <c r="K366" s="1" t="s">
        <v>3292</v>
      </c>
      <c r="L366" s="1">
        <v>5</v>
      </c>
      <c r="M366" s="1">
        <v>0</v>
      </c>
      <c r="N366" s="1" t="s">
        <v>3293</v>
      </c>
      <c r="O366" t="s">
        <v>3294</v>
      </c>
      <c r="P366" t="s">
        <v>3295</v>
      </c>
      <c r="Q366" t="s">
        <v>3296</v>
      </c>
      <c r="R366" t="s">
        <v>246</v>
      </c>
      <c r="S366">
        <v>2022</v>
      </c>
      <c r="T366" s="2">
        <v>44725</v>
      </c>
      <c r="U366" t="s">
        <v>3297</v>
      </c>
      <c r="W366" t="s">
        <v>3298</v>
      </c>
      <c r="Y366">
        <f t="shared" si="15"/>
        <v>935</v>
      </c>
      <c r="Z366">
        <f t="shared" si="16"/>
        <v>9</v>
      </c>
      <c r="AA366">
        <f t="shared" si="17"/>
        <v>1</v>
      </c>
    </row>
    <row r="367" spans="1:27" x14ac:dyDescent="0.3">
      <c r="A367" t="s">
        <v>1350</v>
      </c>
      <c r="B367" t="s">
        <v>2940</v>
      </c>
      <c r="C367">
        <v>35680977</v>
      </c>
      <c r="D367" s="1" t="s">
        <v>3299</v>
      </c>
      <c r="E367" s="1">
        <v>0</v>
      </c>
      <c r="F367" s="1" t="s">
        <v>3300</v>
      </c>
      <c r="G367" s="1">
        <v>934</v>
      </c>
      <c r="H367" s="1">
        <v>182</v>
      </c>
      <c r="I367" s="1">
        <v>39</v>
      </c>
      <c r="J367" s="1">
        <v>8</v>
      </c>
      <c r="K367" s="1"/>
      <c r="L367" s="1">
        <v>2</v>
      </c>
      <c r="M367" s="1" t="s">
        <v>3301</v>
      </c>
      <c r="N367" s="1" t="s">
        <v>3302</v>
      </c>
      <c r="O367" t="s">
        <v>3303</v>
      </c>
      <c r="P367" t="s">
        <v>3304</v>
      </c>
      <c r="Q367" t="s">
        <v>3305</v>
      </c>
      <c r="R367" t="s">
        <v>246</v>
      </c>
      <c r="S367">
        <v>2022</v>
      </c>
      <c r="T367" s="2">
        <v>44722</v>
      </c>
      <c r="U367" t="s">
        <v>3306</v>
      </c>
      <c r="W367" t="s">
        <v>3307</v>
      </c>
      <c r="Y367">
        <f t="shared" si="15"/>
        <v>1868</v>
      </c>
      <c r="Z367">
        <f t="shared" si="16"/>
        <v>19</v>
      </c>
      <c r="AA367">
        <f t="shared" si="17"/>
        <v>0</v>
      </c>
    </row>
    <row r="368" spans="1:27" x14ac:dyDescent="0.3">
      <c r="A368" t="s">
        <v>1350</v>
      </c>
      <c r="B368" t="s">
        <v>2940</v>
      </c>
      <c r="C368" s="16">
        <v>35804849</v>
      </c>
      <c r="D368" s="19" t="s">
        <v>3308</v>
      </c>
      <c r="E368" s="19">
        <v>0</v>
      </c>
      <c r="F368" s="19" t="s">
        <v>3309</v>
      </c>
      <c r="G368" s="19">
        <v>1111</v>
      </c>
      <c r="H368" s="19">
        <v>92</v>
      </c>
      <c r="I368" s="19"/>
      <c r="J368" s="19">
        <v>4</v>
      </c>
      <c r="K368" s="19" t="s">
        <v>3310</v>
      </c>
      <c r="L368" s="19">
        <v>1</v>
      </c>
      <c r="M368" s="19" t="s">
        <v>3077</v>
      </c>
      <c r="N368" s="19" t="s">
        <v>3311</v>
      </c>
      <c r="O368" s="16" t="s">
        <v>3312</v>
      </c>
      <c r="P368" s="16" t="s">
        <v>3313</v>
      </c>
      <c r="Q368" s="16" t="s">
        <v>3314</v>
      </c>
      <c r="R368" s="16" t="s">
        <v>444</v>
      </c>
      <c r="S368" s="16">
        <v>2022</v>
      </c>
      <c r="T368" s="18">
        <v>44751</v>
      </c>
      <c r="U368" s="16" t="s">
        <v>3315</v>
      </c>
      <c r="V368" s="16"/>
      <c r="W368" s="16" t="s">
        <v>3316</v>
      </c>
      <c r="Y368">
        <f t="shared" si="15"/>
        <v>1111</v>
      </c>
      <c r="Z368">
        <f t="shared" si="16"/>
        <v>11</v>
      </c>
      <c r="AA368">
        <f t="shared" si="17"/>
        <v>1</v>
      </c>
    </row>
    <row r="369" spans="1:27" x14ac:dyDescent="0.3">
      <c r="A369" t="s">
        <v>1350</v>
      </c>
      <c r="B369" t="s">
        <v>2940</v>
      </c>
      <c r="C369" s="16">
        <v>35805022</v>
      </c>
      <c r="D369" s="19" t="s">
        <v>3317</v>
      </c>
      <c r="E369" s="19">
        <v>0</v>
      </c>
      <c r="F369" s="19" t="s">
        <v>3318</v>
      </c>
      <c r="G369" s="19">
        <v>737</v>
      </c>
      <c r="H369" s="19">
        <v>92</v>
      </c>
      <c r="I369" s="19"/>
      <c r="J369" s="19">
        <v>10</v>
      </c>
      <c r="K369" s="19" t="s">
        <v>3319</v>
      </c>
      <c r="L369" s="19">
        <v>1</v>
      </c>
      <c r="M369" s="19" t="s">
        <v>3320</v>
      </c>
      <c r="N369" s="19" t="s">
        <v>3321</v>
      </c>
      <c r="O369" s="16" t="s">
        <v>3322</v>
      </c>
      <c r="P369" s="16" t="s">
        <v>3323</v>
      </c>
      <c r="Q369" s="16" t="s">
        <v>771</v>
      </c>
      <c r="R369" s="16" t="s">
        <v>444</v>
      </c>
      <c r="S369" s="16">
        <v>2022</v>
      </c>
      <c r="T369" s="18">
        <v>44751</v>
      </c>
      <c r="U369" s="16" t="s">
        <v>3324</v>
      </c>
      <c r="V369" s="16"/>
      <c r="W369" s="16" t="s">
        <v>3325</v>
      </c>
      <c r="Y369">
        <f t="shared" si="15"/>
        <v>737</v>
      </c>
      <c r="Z369">
        <f t="shared" si="16"/>
        <v>7</v>
      </c>
      <c r="AA369">
        <f t="shared" si="17"/>
        <v>1</v>
      </c>
    </row>
    <row r="370" spans="1:27" x14ac:dyDescent="0.3">
      <c r="A370" t="s">
        <v>1350</v>
      </c>
      <c r="B370" t="s">
        <v>2940</v>
      </c>
      <c r="C370">
        <v>35547588</v>
      </c>
      <c r="D370" s="1" t="s">
        <v>3326</v>
      </c>
      <c r="E370" s="1">
        <v>0</v>
      </c>
      <c r="F370" s="1" t="s">
        <v>3327</v>
      </c>
      <c r="G370" s="1">
        <v>87</v>
      </c>
      <c r="H370" s="1">
        <v>92</v>
      </c>
      <c r="I370" s="1">
        <v>19</v>
      </c>
      <c r="J370" s="1">
        <v>1</v>
      </c>
      <c r="K370" s="1" t="s">
        <v>3328</v>
      </c>
      <c r="L370" s="1">
        <v>1</v>
      </c>
      <c r="M370" s="1" t="s">
        <v>3329</v>
      </c>
      <c r="N370" s="1" t="s">
        <v>3330</v>
      </c>
      <c r="O370" t="s">
        <v>3331</v>
      </c>
      <c r="P370" t="s">
        <v>3332</v>
      </c>
      <c r="Q370" t="s">
        <v>3333</v>
      </c>
      <c r="R370" t="s">
        <v>3334</v>
      </c>
      <c r="S370">
        <v>2022</v>
      </c>
      <c r="T370" s="2">
        <v>44694</v>
      </c>
      <c r="U370" t="s">
        <v>3335</v>
      </c>
      <c r="W370" t="s">
        <v>3336</v>
      </c>
      <c r="Y370">
        <f t="shared" si="15"/>
        <v>87</v>
      </c>
      <c r="Z370">
        <f t="shared" si="16"/>
        <v>0</v>
      </c>
      <c r="AA370">
        <f t="shared" si="17"/>
        <v>1</v>
      </c>
    </row>
    <row r="371" spans="1:27" x14ac:dyDescent="0.3">
      <c r="A371" t="s">
        <v>1350</v>
      </c>
      <c r="B371" t="s">
        <v>2940</v>
      </c>
      <c r="C371">
        <v>35566411</v>
      </c>
      <c r="D371" s="1" t="s">
        <v>3337</v>
      </c>
      <c r="E371" s="1">
        <v>0</v>
      </c>
      <c r="F371" s="1" t="s">
        <v>3338</v>
      </c>
      <c r="G371" s="1">
        <v>156</v>
      </c>
      <c r="H371" s="1">
        <v>92</v>
      </c>
      <c r="I371" s="1">
        <v>2</v>
      </c>
      <c r="J371" s="1"/>
      <c r="K371" s="1" t="s">
        <v>3339</v>
      </c>
      <c r="L371" s="1">
        <v>1</v>
      </c>
      <c r="M371" s="1" t="s">
        <v>459</v>
      </c>
      <c r="N371" s="1" t="s">
        <v>3340</v>
      </c>
      <c r="O371" t="s">
        <v>3341</v>
      </c>
      <c r="P371" t="s">
        <v>3342</v>
      </c>
      <c r="Q371" t="s">
        <v>1109</v>
      </c>
      <c r="R371" t="s">
        <v>3343</v>
      </c>
      <c r="S371">
        <v>2022</v>
      </c>
      <c r="T371" s="2">
        <v>44695</v>
      </c>
      <c r="U371" t="s">
        <v>3344</v>
      </c>
      <c r="W371" t="s">
        <v>3345</v>
      </c>
      <c r="Y371">
        <f t="shared" si="15"/>
        <v>156</v>
      </c>
      <c r="Z371">
        <f t="shared" si="16"/>
        <v>1</v>
      </c>
      <c r="AA371">
        <f t="shared" si="17"/>
        <v>1</v>
      </c>
    </row>
    <row r="372" spans="1:27" x14ac:dyDescent="0.3">
      <c r="A372" t="s">
        <v>1350</v>
      </c>
      <c r="B372" t="s">
        <v>2940</v>
      </c>
      <c r="C372">
        <v>34933097</v>
      </c>
      <c r="D372" s="1" t="s">
        <v>3346</v>
      </c>
      <c r="E372" s="1">
        <v>0</v>
      </c>
      <c r="F372" s="1" t="s">
        <v>3093</v>
      </c>
      <c r="G372" s="1">
        <v>1530</v>
      </c>
      <c r="H372" s="1">
        <v>276</v>
      </c>
      <c r="I372" s="1">
        <v>12</v>
      </c>
      <c r="J372" s="1"/>
      <c r="K372" s="1" t="s">
        <v>6072</v>
      </c>
      <c r="L372" s="1">
        <v>3</v>
      </c>
      <c r="M372" s="1" t="s">
        <v>3260</v>
      </c>
      <c r="N372" s="1" t="s">
        <v>3347</v>
      </c>
      <c r="O372" t="s">
        <v>3348</v>
      </c>
      <c r="P372" t="s">
        <v>3349</v>
      </c>
      <c r="Q372" t="s">
        <v>3350</v>
      </c>
      <c r="R372" t="s">
        <v>3351</v>
      </c>
      <c r="S372">
        <v>2022</v>
      </c>
      <c r="T372" s="2">
        <v>44551</v>
      </c>
      <c r="W372" t="s">
        <v>3352</v>
      </c>
      <c r="Y372">
        <f t="shared" si="15"/>
        <v>4590</v>
      </c>
      <c r="Z372">
        <f t="shared" si="16"/>
        <v>47</v>
      </c>
      <c r="AA372">
        <f t="shared" si="17"/>
        <v>1</v>
      </c>
    </row>
    <row r="373" spans="1:27" x14ac:dyDescent="0.3">
      <c r="A373" t="s">
        <v>1350</v>
      </c>
      <c r="B373" t="s">
        <v>2940</v>
      </c>
      <c r="C373">
        <v>35839768</v>
      </c>
      <c r="D373" s="1" t="s">
        <v>3353</v>
      </c>
      <c r="E373" s="1">
        <v>0</v>
      </c>
      <c r="F373" s="1" t="s">
        <v>112</v>
      </c>
      <c r="G373">
        <v>137</v>
      </c>
      <c r="H373" s="1">
        <v>1400</v>
      </c>
      <c r="I373" s="1">
        <v>1400</v>
      </c>
      <c r="J373" s="1"/>
      <c r="K373" s="1"/>
      <c r="L373" s="1">
        <v>1</v>
      </c>
      <c r="M373" s="1" t="s">
        <v>3215</v>
      </c>
      <c r="N373" s="1" t="s">
        <v>3354</v>
      </c>
      <c r="O373" t="s">
        <v>3355</v>
      </c>
      <c r="P373" t="s">
        <v>3356</v>
      </c>
      <c r="Q373" t="s">
        <v>3357</v>
      </c>
      <c r="R373" t="s">
        <v>3358</v>
      </c>
      <c r="S373">
        <v>2022</v>
      </c>
      <c r="T373" s="2">
        <v>44757</v>
      </c>
      <c r="U373" t="s">
        <v>3359</v>
      </c>
      <c r="W373" t="s">
        <v>3360</v>
      </c>
      <c r="Y373">
        <f t="shared" si="15"/>
        <v>137</v>
      </c>
      <c r="Z373">
        <f t="shared" si="16"/>
        <v>1</v>
      </c>
      <c r="AA373">
        <f t="shared" si="17"/>
        <v>0</v>
      </c>
    </row>
    <row r="374" spans="1:27" x14ac:dyDescent="0.3">
      <c r="A374" t="s">
        <v>1350</v>
      </c>
      <c r="B374" t="s">
        <v>2940</v>
      </c>
      <c r="C374">
        <v>35454853</v>
      </c>
      <c r="D374" s="1" t="s">
        <v>3361</v>
      </c>
      <c r="E374" s="1">
        <v>0</v>
      </c>
      <c r="F374" s="1" t="s">
        <v>3362</v>
      </c>
      <c r="G374" s="1">
        <v>22</v>
      </c>
      <c r="H374" s="1">
        <v>1</v>
      </c>
      <c r="I374" s="1">
        <v>1</v>
      </c>
      <c r="J374" s="1">
        <v>1</v>
      </c>
      <c r="K374" s="1" t="s">
        <v>3363</v>
      </c>
      <c r="L374" s="1">
        <v>1</v>
      </c>
      <c r="M374" s="1" t="s">
        <v>3364</v>
      </c>
      <c r="N374" s="1" t="s">
        <v>3365</v>
      </c>
      <c r="O374" t="s">
        <v>3366</v>
      </c>
      <c r="P374" t="s">
        <v>3367</v>
      </c>
      <c r="Q374" t="s">
        <v>3368</v>
      </c>
      <c r="R374" t="s">
        <v>444</v>
      </c>
      <c r="S374">
        <v>2022</v>
      </c>
      <c r="T374" s="2">
        <v>44674</v>
      </c>
      <c r="U374" t="s">
        <v>3369</v>
      </c>
      <c r="W374" t="s">
        <v>3370</v>
      </c>
      <c r="Y374">
        <f t="shared" si="15"/>
        <v>22</v>
      </c>
      <c r="Z374">
        <f t="shared" si="16"/>
        <v>0</v>
      </c>
      <c r="AA374">
        <f t="shared" si="17"/>
        <v>0</v>
      </c>
    </row>
    <row r="375" spans="1:27" x14ac:dyDescent="0.3">
      <c r="A375" t="s">
        <v>1350</v>
      </c>
      <c r="B375" t="s">
        <v>2940</v>
      </c>
      <c r="C375">
        <v>35393409</v>
      </c>
      <c r="D375" s="1" t="s">
        <v>3371</v>
      </c>
      <c r="E375" s="1">
        <v>0</v>
      </c>
      <c r="F375" s="1" t="s">
        <v>3372</v>
      </c>
      <c r="G375" s="1">
        <v>33</v>
      </c>
      <c r="H375" s="1">
        <v>92</v>
      </c>
      <c r="I375" s="1">
        <v>31</v>
      </c>
      <c r="J375" s="1">
        <v>12</v>
      </c>
      <c r="K375" s="1" t="s">
        <v>3373</v>
      </c>
      <c r="L375" s="1">
        <v>1</v>
      </c>
      <c r="M375" s="1" t="s">
        <v>459</v>
      </c>
      <c r="N375" s="1" t="s">
        <v>3374</v>
      </c>
      <c r="O375" t="s">
        <v>3375</v>
      </c>
      <c r="P375" t="s">
        <v>3376</v>
      </c>
      <c r="Q375" t="s">
        <v>3377</v>
      </c>
      <c r="R375" t="s">
        <v>3378</v>
      </c>
      <c r="S375">
        <v>2022</v>
      </c>
      <c r="T375" s="2">
        <v>44659</v>
      </c>
      <c r="U375" t="s">
        <v>3379</v>
      </c>
      <c r="W375" t="s">
        <v>3380</v>
      </c>
      <c r="Y375">
        <f t="shared" si="15"/>
        <v>33</v>
      </c>
      <c r="Z375">
        <f t="shared" si="16"/>
        <v>0</v>
      </c>
      <c r="AA375">
        <f t="shared" si="17"/>
        <v>0</v>
      </c>
    </row>
    <row r="376" spans="1:27" x14ac:dyDescent="0.3">
      <c r="A376" t="s">
        <v>1350</v>
      </c>
      <c r="B376" t="s">
        <v>2940</v>
      </c>
      <c r="C376">
        <v>35723762</v>
      </c>
      <c r="D376" s="1" t="s">
        <v>739</v>
      </c>
      <c r="E376" s="1">
        <v>0</v>
      </c>
      <c r="F376" s="1" t="s">
        <v>3381</v>
      </c>
      <c r="G376" s="1">
        <v>75</v>
      </c>
      <c r="H376" s="1">
        <v>184</v>
      </c>
      <c r="I376" s="1"/>
      <c r="J376" s="1">
        <v>7</v>
      </c>
      <c r="K376" s="1" t="s">
        <v>3382</v>
      </c>
      <c r="L376" s="1">
        <v>2</v>
      </c>
      <c r="M376" s="1" t="s">
        <v>3383</v>
      </c>
      <c r="N376" s="1" t="s">
        <v>3384</v>
      </c>
      <c r="O376" t="s">
        <v>743</v>
      </c>
      <c r="P376" t="s">
        <v>3385</v>
      </c>
      <c r="Q376" t="s">
        <v>745</v>
      </c>
      <c r="R376" t="s">
        <v>746</v>
      </c>
      <c r="S376">
        <v>2022</v>
      </c>
      <c r="T376" s="2">
        <v>44732</v>
      </c>
      <c r="U376" t="s">
        <v>747</v>
      </c>
      <c r="W376" t="s">
        <v>748</v>
      </c>
      <c r="Y376">
        <f t="shared" si="15"/>
        <v>150</v>
      </c>
      <c r="Z376">
        <f t="shared" si="16"/>
        <v>1</v>
      </c>
      <c r="AA376">
        <f t="shared" si="17"/>
        <v>1</v>
      </c>
    </row>
    <row r="377" spans="1:27" x14ac:dyDescent="0.3">
      <c r="A377" t="s">
        <v>1350</v>
      </c>
      <c r="B377" t="s">
        <v>2940</v>
      </c>
      <c r="C377">
        <v>35682983</v>
      </c>
      <c r="D377" s="1" t="s">
        <v>3386</v>
      </c>
      <c r="E377" s="1">
        <v>0</v>
      </c>
      <c r="F377" s="1" t="s">
        <v>3387</v>
      </c>
      <c r="G377">
        <v>720</v>
      </c>
      <c r="H377" s="1">
        <v>83</v>
      </c>
      <c r="I377" s="1"/>
      <c r="J377" s="1">
        <v>14</v>
      </c>
      <c r="K377" s="1" t="s">
        <v>3388</v>
      </c>
      <c r="L377" s="1">
        <v>1</v>
      </c>
      <c r="M377" s="1" t="s">
        <v>3129</v>
      </c>
      <c r="N377" s="1" t="s">
        <v>3389</v>
      </c>
      <c r="O377" t="s">
        <v>3390</v>
      </c>
      <c r="P377" t="s">
        <v>3391</v>
      </c>
      <c r="Q377" t="s">
        <v>3392</v>
      </c>
      <c r="R377" t="s">
        <v>168</v>
      </c>
      <c r="S377">
        <v>2022</v>
      </c>
      <c r="T377" s="2">
        <v>44722</v>
      </c>
      <c r="U377" t="s">
        <v>3393</v>
      </c>
      <c r="W377" t="s">
        <v>3394</v>
      </c>
      <c r="Y377">
        <f t="shared" si="15"/>
        <v>720</v>
      </c>
      <c r="Z377">
        <f t="shared" si="16"/>
        <v>7</v>
      </c>
      <c r="AA377">
        <f t="shared" si="17"/>
        <v>1</v>
      </c>
    </row>
    <row r="378" spans="1:27" x14ac:dyDescent="0.3">
      <c r="A378" t="s">
        <v>1350</v>
      </c>
      <c r="B378" t="s">
        <v>2940</v>
      </c>
      <c r="C378">
        <v>35714717</v>
      </c>
      <c r="D378" s="1" t="s">
        <v>3395</v>
      </c>
      <c r="E378" s="1" t="s">
        <v>1367</v>
      </c>
      <c r="F378" s="1"/>
      <c r="G378" s="1">
        <v>511</v>
      </c>
      <c r="H378" s="1">
        <v>92</v>
      </c>
      <c r="I378" s="1"/>
      <c r="J378" s="1"/>
      <c r="K378" s="1"/>
      <c r="L378" s="1">
        <v>1</v>
      </c>
      <c r="M378" s="1" t="s">
        <v>3396</v>
      </c>
      <c r="N378" s="1" t="s">
        <v>3397</v>
      </c>
      <c r="O378" t="s">
        <v>3398</v>
      </c>
      <c r="P378" t="s">
        <v>3399</v>
      </c>
      <c r="Q378" t="s">
        <v>3400</v>
      </c>
      <c r="R378" t="s">
        <v>318</v>
      </c>
      <c r="S378">
        <v>2022</v>
      </c>
      <c r="T378" s="2">
        <v>44729</v>
      </c>
      <c r="W378" t="s">
        <v>3401</v>
      </c>
      <c r="Y378">
        <f t="shared" si="15"/>
        <v>511</v>
      </c>
      <c r="Z378">
        <f t="shared" si="16"/>
        <v>5</v>
      </c>
      <c r="AA378">
        <f t="shared" si="17"/>
        <v>0</v>
      </c>
    </row>
    <row r="379" spans="1:27" x14ac:dyDescent="0.3">
      <c r="A379" t="s">
        <v>2654</v>
      </c>
      <c r="B379" t="s">
        <v>2940</v>
      </c>
      <c r="C379">
        <v>35614113</v>
      </c>
      <c r="D379" t="s">
        <v>3414</v>
      </c>
      <c r="E379">
        <v>0</v>
      </c>
      <c r="F379" t="s">
        <v>3415</v>
      </c>
      <c r="G379">
        <v>40</v>
      </c>
      <c r="H379">
        <v>2</v>
      </c>
      <c r="K379" t="s">
        <v>3440</v>
      </c>
      <c r="L379">
        <v>1</v>
      </c>
      <c r="M379" t="s">
        <v>3441</v>
      </c>
      <c r="N379" t="s">
        <v>3442</v>
      </c>
      <c r="O379" t="s">
        <v>3443</v>
      </c>
      <c r="P379" t="s">
        <v>3444</v>
      </c>
      <c r="Q379" t="s">
        <v>3445</v>
      </c>
      <c r="R379" t="s">
        <v>246</v>
      </c>
      <c r="S379">
        <v>2022</v>
      </c>
      <c r="T379" s="2">
        <v>44706</v>
      </c>
      <c r="U379" t="s">
        <v>3446</v>
      </c>
      <c r="W379" t="s">
        <v>3447</v>
      </c>
      <c r="Y379">
        <f t="shared" si="15"/>
        <v>40</v>
      </c>
      <c r="Z379">
        <f t="shared" si="16"/>
        <v>0</v>
      </c>
      <c r="AA379">
        <f t="shared" si="17"/>
        <v>0</v>
      </c>
    </row>
    <row r="380" spans="1:27" x14ac:dyDescent="0.3">
      <c r="A380" t="s">
        <v>2654</v>
      </c>
      <c r="B380" t="s">
        <v>2940</v>
      </c>
      <c r="C380">
        <v>35659284</v>
      </c>
      <c r="D380" t="s">
        <v>3416</v>
      </c>
      <c r="E380">
        <v>1</v>
      </c>
      <c r="F380" t="s">
        <v>3417</v>
      </c>
      <c r="G380">
        <v>32</v>
      </c>
      <c r="H380">
        <v>1</v>
      </c>
      <c r="K380" t="s">
        <v>3448</v>
      </c>
      <c r="L380">
        <v>1</v>
      </c>
      <c r="M380" t="s">
        <v>3449</v>
      </c>
      <c r="N380" t="s">
        <v>3450</v>
      </c>
      <c r="O380" t="s">
        <v>3451</v>
      </c>
      <c r="P380" t="s">
        <v>3452</v>
      </c>
      <c r="Q380" t="s">
        <v>3453</v>
      </c>
      <c r="R380" t="s">
        <v>454</v>
      </c>
      <c r="S380">
        <v>2022</v>
      </c>
      <c r="T380" s="2">
        <v>44718</v>
      </c>
      <c r="U380" t="s">
        <v>3454</v>
      </c>
      <c r="W380" t="s">
        <v>2475</v>
      </c>
      <c r="Y380">
        <f t="shared" si="15"/>
        <v>32</v>
      </c>
      <c r="Z380">
        <f t="shared" si="16"/>
        <v>0</v>
      </c>
      <c r="AA380">
        <f t="shared" si="17"/>
        <v>0</v>
      </c>
    </row>
    <row r="381" spans="1:27" x14ac:dyDescent="0.3">
      <c r="A381" t="s">
        <v>2654</v>
      </c>
      <c r="B381" t="s">
        <v>2940</v>
      </c>
      <c r="C381">
        <v>35750478</v>
      </c>
      <c r="D381" t="s">
        <v>3418</v>
      </c>
      <c r="E381">
        <v>0</v>
      </c>
      <c r="F381" t="s">
        <v>3419</v>
      </c>
      <c r="G381">
        <v>118</v>
      </c>
      <c r="H381">
        <v>1</v>
      </c>
      <c r="K381" t="s">
        <v>835</v>
      </c>
      <c r="L381">
        <v>1</v>
      </c>
      <c r="M381" t="s">
        <v>3455</v>
      </c>
      <c r="N381" t="s">
        <v>3456</v>
      </c>
      <c r="O381" t="s">
        <v>3457</v>
      </c>
      <c r="P381" t="s">
        <v>3458</v>
      </c>
      <c r="Q381" t="s">
        <v>3459</v>
      </c>
      <c r="R381" t="s">
        <v>3460</v>
      </c>
      <c r="S381">
        <v>2022</v>
      </c>
      <c r="T381" s="2">
        <v>44736</v>
      </c>
      <c r="W381" t="s">
        <v>2482</v>
      </c>
      <c r="Y381">
        <f t="shared" si="15"/>
        <v>118</v>
      </c>
      <c r="Z381">
        <f t="shared" si="16"/>
        <v>1</v>
      </c>
      <c r="AA381">
        <f t="shared" si="17"/>
        <v>0</v>
      </c>
    </row>
    <row r="382" spans="1:27" x14ac:dyDescent="0.3">
      <c r="A382" t="s">
        <v>2654</v>
      </c>
      <c r="B382" t="s">
        <v>2940</v>
      </c>
      <c r="C382">
        <v>34158138</v>
      </c>
      <c r="D382" t="s">
        <v>1391</v>
      </c>
      <c r="E382">
        <v>0</v>
      </c>
      <c r="F382" t="s">
        <v>143</v>
      </c>
      <c r="G382">
        <v>360</v>
      </c>
      <c r="H382">
        <v>2</v>
      </c>
      <c r="J382">
        <v>1</v>
      </c>
      <c r="K382" t="s">
        <v>1786</v>
      </c>
      <c r="L382">
        <v>1</v>
      </c>
      <c r="M382" t="s">
        <v>3461</v>
      </c>
      <c r="N382" t="s">
        <v>3462</v>
      </c>
      <c r="O382" t="s">
        <v>1789</v>
      </c>
      <c r="P382" t="s">
        <v>1790</v>
      </c>
      <c r="Q382" t="s">
        <v>1791</v>
      </c>
      <c r="R382" t="s">
        <v>1792</v>
      </c>
      <c r="S382">
        <v>2022</v>
      </c>
      <c r="T382" s="2">
        <v>44370</v>
      </c>
      <c r="U382" t="s">
        <v>1793</v>
      </c>
      <c r="V382" t="s">
        <v>1794</v>
      </c>
      <c r="W382" t="s">
        <v>1795</v>
      </c>
      <c r="Y382">
        <f t="shared" si="15"/>
        <v>360</v>
      </c>
      <c r="Z382">
        <f t="shared" si="16"/>
        <v>3</v>
      </c>
      <c r="AA382">
        <f t="shared" si="17"/>
        <v>1</v>
      </c>
    </row>
    <row r="383" spans="1:27" x14ac:dyDescent="0.3">
      <c r="A383" t="s">
        <v>2654</v>
      </c>
      <c r="B383" t="s">
        <v>2940</v>
      </c>
      <c r="C383" s="21">
        <v>35787394</v>
      </c>
      <c r="D383" s="21" t="s">
        <v>3420</v>
      </c>
      <c r="E383" s="21">
        <v>1</v>
      </c>
      <c r="F383" s="21" t="s">
        <v>3421</v>
      </c>
      <c r="G383" s="21"/>
      <c r="H383" s="21"/>
      <c r="J383" s="21">
        <v>1</v>
      </c>
      <c r="K383" s="21"/>
      <c r="L383" s="21">
        <v>1</v>
      </c>
      <c r="M383" s="21" t="s">
        <v>3463</v>
      </c>
      <c r="N383" s="21" t="s">
        <v>3464</v>
      </c>
      <c r="O383" s="21" t="s">
        <v>3465</v>
      </c>
      <c r="P383" s="21" t="s">
        <v>3466</v>
      </c>
      <c r="Q383" s="21" t="s">
        <v>3467</v>
      </c>
      <c r="R383" s="21" t="s">
        <v>3468</v>
      </c>
      <c r="S383" s="21">
        <v>2022</v>
      </c>
      <c r="T383" s="22">
        <v>44747</v>
      </c>
      <c r="U383" s="21"/>
      <c r="V383" s="21"/>
      <c r="W383" s="21" t="s">
        <v>2493</v>
      </c>
      <c r="Y383">
        <f t="shared" si="15"/>
        <v>0</v>
      </c>
      <c r="Z383">
        <f t="shared" si="16"/>
        <v>0</v>
      </c>
      <c r="AA383">
        <f t="shared" si="17"/>
        <v>0</v>
      </c>
    </row>
    <row r="384" spans="1:27" x14ac:dyDescent="0.3">
      <c r="A384" t="s">
        <v>2654</v>
      </c>
      <c r="B384" t="s">
        <v>2940</v>
      </c>
      <c r="C384">
        <v>35545792</v>
      </c>
      <c r="D384" t="s">
        <v>3422</v>
      </c>
      <c r="E384">
        <v>0</v>
      </c>
      <c r="F384" t="s">
        <v>3403</v>
      </c>
      <c r="G384">
        <v>596</v>
      </c>
      <c r="H384">
        <v>2</v>
      </c>
      <c r="K384" t="s">
        <v>3469</v>
      </c>
      <c r="L384">
        <v>1</v>
      </c>
      <c r="M384" t="s">
        <v>3470</v>
      </c>
      <c r="N384" t="s">
        <v>3471</v>
      </c>
      <c r="O384" t="s">
        <v>3472</v>
      </c>
      <c r="P384" t="s">
        <v>3473</v>
      </c>
      <c r="Q384" t="s">
        <v>3474</v>
      </c>
      <c r="R384" t="s">
        <v>454</v>
      </c>
      <c r="S384">
        <v>2022</v>
      </c>
      <c r="T384" s="2">
        <v>44692</v>
      </c>
      <c r="U384" t="s">
        <v>3475</v>
      </c>
      <c r="W384" t="s">
        <v>2510</v>
      </c>
      <c r="Y384">
        <f t="shared" si="15"/>
        <v>596</v>
      </c>
      <c r="Z384">
        <f t="shared" si="16"/>
        <v>6</v>
      </c>
      <c r="AA384">
        <f t="shared" si="17"/>
        <v>0</v>
      </c>
    </row>
    <row r="385" spans="1:27" x14ac:dyDescent="0.3">
      <c r="A385" t="s">
        <v>2654</v>
      </c>
      <c r="B385" t="s">
        <v>2940</v>
      </c>
      <c r="C385">
        <v>35477892</v>
      </c>
      <c r="D385" t="s">
        <v>3423</v>
      </c>
      <c r="E385">
        <v>0</v>
      </c>
      <c r="F385" t="s">
        <v>143</v>
      </c>
      <c r="G385">
        <v>610</v>
      </c>
      <c r="H385">
        <v>3</v>
      </c>
      <c r="K385" t="s">
        <v>3476</v>
      </c>
      <c r="L385">
        <v>1</v>
      </c>
      <c r="N385" t="s">
        <v>3477</v>
      </c>
      <c r="O385" t="s">
        <v>3478</v>
      </c>
      <c r="P385" t="s">
        <v>3479</v>
      </c>
      <c r="Q385" t="s">
        <v>1667</v>
      </c>
      <c r="R385" t="s">
        <v>1625</v>
      </c>
      <c r="S385">
        <v>2022</v>
      </c>
      <c r="T385" s="2">
        <v>44679</v>
      </c>
      <c r="W385" t="s">
        <v>2526</v>
      </c>
      <c r="Y385">
        <f t="shared" si="15"/>
        <v>610</v>
      </c>
      <c r="Z385">
        <f t="shared" si="16"/>
        <v>6</v>
      </c>
      <c r="AA385">
        <f t="shared" si="17"/>
        <v>0</v>
      </c>
    </row>
    <row r="386" spans="1:27" x14ac:dyDescent="0.3">
      <c r="A386" t="s">
        <v>2654</v>
      </c>
      <c r="B386" t="s">
        <v>2940</v>
      </c>
      <c r="C386">
        <v>35367771</v>
      </c>
      <c r="D386" t="s">
        <v>3424</v>
      </c>
      <c r="E386">
        <v>0</v>
      </c>
      <c r="F386" t="s">
        <v>143</v>
      </c>
      <c r="G386">
        <v>1422</v>
      </c>
      <c r="H386">
        <v>2</v>
      </c>
      <c r="K386" t="s">
        <v>2591</v>
      </c>
      <c r="L386">
        <v>1</v>
      </c>
      <c r="M386" t="s">
        <v>3480</v>
      </c>
      <c r="N386" t="s">
        <v>3481</v>
      </c>
      <c r="O386" t="s">
        <v>3482</v>
      </c>
      <c r="P386" t="s">
        <v>3483</v>
      </c>
      <c r="Q386" t="s">
        <v>3484</v>
      </c>
      <c r="R386" t="s">
        <v>782</v>
      </c>
      <c r="S386">
        <v>2022</v>
      </c>
      <c r="T386" s="2">
        <v>44654</v>
      </c>
      <c r="U386" t="s">
        <v>3485</v>
      </c>
      <c r="W386" t="s">
        <v>2545</v>
      </c>
      <c r="Y386">
        <f t="shared" si="15"/>
        <v>1422</v>
      </c>
      <c r="Z386">
        <f t="shared" si="16"/>
        <v>14</v>
      </c>
      <c r="AA386">
        <f t="shared" si="17"/>
        <v>1</v>
      </c>
    </row>
    <row r="387" spans="1:27" x14ac:dyDescent="0.3">
      <c r="A387" t="s">
        <v>2654</v>
      </c>
      <c r="B387" t="s">
        <v>2940</v>
      </c>
      <c r="C387">
        <v>35384057</v>
      </c>
      <c r="D387" t="s">
        <v>3425</v>
      </c>
      <c r="E387">
        <v>0</v>
      </c>
      <c r="F387" t="s">
        <v>3426</v>
      </c>
      <c r="G387">
        <v>195</v>
      </c>
      <c r="H387">
        <v>1</v>
      </c>
      <c r="K387" t="s">
        <v>835</v>
      </c>
      <c r="L387">
        <v>1</v>
      </c>
      <c r="M387" t="s">
        <v>2223</v>
      </c>
      <c r="N387" t="s">
        <v>3486</v>
      </c>
      <c r="O387" t="s">
        <v>3487</v>
      </c>
      <c r="P387" t="s">
        <v>3488</v>
      </c>
      <c r="Q387" t="s">
        <v>3489</v>
      </c>
      <c r="R387" t="s">
        <v>681</v>
      </c>
      <c r="S387">
        <v>2022</v>
      </c>
      <c r="T387" s="2">
        <v>44657</v>
      </c>
      <c r="W387" t="s">
        <v>2553</v>
      </c>
      <c r="Y387">
        <f t="shared" ref="Y387:Y450" si="18">IFERROR(L387*G387,"N/A")</f>
        <v>195</v>
      </c>
      <c r="Z387">
        <f t="shared" ref="Z387:Z450" si="19">IFERROR(ROUNDDOWN(Y387/96,0),"")</f>
        <v>2</v>
      </c>
      <c r="AA387">
        <f t="shared" ref="AA387:AA450" si="20">IFERROR(ROUNDDOWN((MOD(Y387,96)/48),0),"")</f>
        <v>0</v>
      </c>
    </row>
    <row r="388" spans="1:27" x14ac:dyDescent="0.3">
      <c r="A388" t="s">
        <v>2654</v>
      </c>
      <c r="B388" t="s">
        <v>2940</v>
      </c>
      <c r="C388">
        <v>35383826</v>
      </c>
      <c r="D388" t="s">
        <v>1355</v>
      </c>
      <c r="E388">
        <v>0</v>
      </c>
      <c r="F388" t="s">
        <v>143</v>
      </c>
      <c r="G388">
        <v>1947</v>
      </c>
      <c r="H388">
        <v>5</v>
      </c>
      <c r="J388">
        <v>5</v>
      </c>
      <c r="K388" t="s">
        <v>3490</v>
      </c>
      <c r="L388">
        <v>2</v>
      </c>
      <c r="M388" t="s">
        <v>3491</v>
      </c>
      <c r="N388" t="s">
        <v>3492</v>
      </c>
      <c r="O388" t="s">
        <v>1543</v>
      </c>
      <c r="P388" t="s">
        <v>3493</v>
      </c>
      <c r="Q388" t="s">
        <v>1545</v>
      </c>
      <c r="R388" t="s">
        <v>1526</v>
      </c>
      <c r="S388">
        <v>2022</v>
      </c>
      <c r="T388" s="2">
        <v>44657</v>
      </c>
      <c r="W388" t="s">
        <v>1547</v>
      </c>
      <c r="Y388">
        <f t="shared" si="18"/>
        <v>3894</v>
      </c>
      <c r="Z388">
        <f t="shared" si="19"/>
        <v>40</v>
      </c>
      <c r="AA388">
        <f t="shared" si="20"/>
        <v>1</v>
      </c>
    </row>
    <row r="389" spans="1:27" x14ac:dyDescent="0.3">
      <c r="A389" t="s">
        <v>2654</v>
      </c>
      <c r="B389" t="s">
        <v>2940</v>
      </c>
      <c r="C389">
        <v>35624411</v>
      </c>
      <c r="D389" t="s">
        <v>3427</v>
      </c>
      <c r="E389">
        <v>0</v>
      </c>
      <c r="F389" t="s">
        <v>3428</v>
      </c>
      <c r="G389">
        <v>456</v>
      </c>
      <c r="H389">
        <v>4</v>
      </c>
      <c r="J389">
        <v>4</v>
      </c>
      <c r="K389" t="s">
        <v>3494</v>
      </c>
      <c r="L389">
        <v>1</v>
      </c>
      <c r="M389" t="s">
        <v>3495</v>
      </c>
      <c r="N389" t="s">
        <v>3496</v>
      </c>
      <c r="O389" t="s">
        <v>3497</v>
      </c>
      <c r="P389" t="s">
        <v>3498</v>
      </c>
      <c r="Q389" t="s">
        <v>3499</v>
      </c>
      <c r="R389" t="s">
        <v>3500</v>
      </c>
      <c r="S389">
        <v>2022</v>
      </c>
      <c r="T389" s="2">
        <v>44708</v>
      </c>
      <c r="U389" t="s">
        <v>3501</v>
      </c>
      <c r="W389" t="s">
        <v>2590</v>
      </c>
      <c r="Y389">
        <f t="shared" si="18"/>
        <v>456</v>
      </c>
      <c r="Z389">
        <f t="shared" si="19"/>
        <v>4</v>
      </c>
      <c r="AA389">
        <f t="shared" si="20"/>
        <v>1</v>
      </c>
    </row>
    <row r="390" spans="1:27" x14ac:dyDescent="0.3">
      <c r="A390" t="s">
        <v>2654</v>
      </c>
      <c r="B390" t="s">
        <v>2940</v>
      </c>
      <c r="C390">
        <v>35502634</v>
      </c>
      <c r="D390" t="s">
        <v>3429</v>
      </c>
      <c r="E390">
        <v>0</v>
      </c>
      <c r="F390" t="s">
        <v>143</v>
      </c>
      <c r="G390">
        <v>382</v>
      </c>
      <c r="H390">
        <v>2</v>
      </c>
      <c r="K390" t="s">
        <v>3469</v>
      </c>
      <c r="L390">
        <v>2</v>
      </c>
      <c r="M390" t="s">
        <v>3502</v>
      </c>
      <c r="N390" t="s">
        <v>3503</v>
      </c>
      <c r="O390" t="s">
        <v>3504</v>
      </c>
      <c r="P390" t="s">
        <v>3505</v>
      </c>
      <c r="Q390" t="s">
        <v>3506</v>
      </c>
      <c r="R390" t="s">
        <v>1707</v>
      </c>
      <c r="S390">
        <v>2022</v>
      </c>
      <c r="T390" s="2">
        <v>44684</v>
      </c>
      <c r="U390" t="s">
        <v>3507</v>
      </c>
      <c r="W390" t="s">
        <v>2606</v>
      </c>
      <c r="Y390">
        <f t="shared" si="18"/>
        <v>764</v>
      </c>
      <c r="Z390">
        <f t="shared" si="19"/>
        <v>7</v>
      </c>
      <c r="AA390">
        <f t="shared" si="20"/>
        <v>1</v>
      </c>
    </row>
    <row r="391" spans="1:27" x14ac:dyDescent="0.3">
      <c r="A391" t="s">
        <v>2654</v>
      </c>
      <c r="B391" t="s">
        <v>2940</v>
      </c>
      <c r="C391">
        <v>35369719</v>
      </c>
      <c r="D391" t="s">
        <v>1429</v>
      </c>
      <c r="E391">
        <v>0</v>
      </c>
      <c r="F391" t="s">
        <v>143</v>
      </c>
      <c r="G391">
        <v>84</v>
      </c>
      <c r="H391">
        <v>2</v>
      </c>
      <c r="K391" t="s">
        <v>1695</v>
      </c>
      <c r="L391">
        <v>1</v>
      </c>
      <c r="N391" t="s">
        <v>3508</v>
      </c>
      <c r="O391" t="s">
        <v>2060</v>
      </c>
      <c r="P391" t="s">
        <v>2061</v>
      </c>
      <c r="Q391" t="s">
        <v>2062</v>
      </c>
      <c r="R391" t="s">
        <v>2063</v>
      </c>
      <c r="S391">
        <v>2022</v>
      </c>
      <c r="T391" s="2">
        <v>44655</v>
      </c>
      <c r="W391" t="s">
        <v>2065</v>
      </c>
      <c r="Y391">
        <f t="shared" si="18"/>
        <v>84</v>
      </c>
      <c r="Z391">
        <f t="shared" si="19"/>
        <v>0</v>
      </c>
      <c r="AA391">
        <f t="shared" si="20"/>
        <v>1</v>
      </c>
    </row>
    <row r="392" spans="1:27" x14ac:dyDescent="0.3">
      <c r="A392" t="s">
        <v>2654</v>
      </c>
      <c r="B392" t="s">
        <v>2940</v>
      </c>
      <c r="C392">
        <v>35478426</v>
      </c>
      <c r="D392" t="s">
        <v>1358</v>
      </c>
      <c r="E392">
        <v>0</v>
      </c>
      <c r="F392" t="s">
        <v>143</v>
      </c>
      <c r="G392">
        <v>630</v>
      </c>
      <c r="H392">
        <v>4</v>
      </c>
      <c r="J392">
        <v>1</v>
      </c>
      <c r="K392" t="s">
        <v>3509</v>
      </c>
      <c r="L392">
        <v>1</v>
      </c>
      <c r="M392" t="s">
        <v>3510</v>
      </c>
      <c r="N392" t="s">
        <v>3511</v>
      </c>
      <c r="O392" t="s">
        <v>1568</v>
      </c>
      <c r="P392" t="s">
        <v>1569</v>
      </c>
      <c r="Q392" t="s">
        <v>1570</v>
      </c>
      <c r="R392" t="s">
        <v>1571</v>
      </c>
      <c r="S392">
        <v>2022</v>
      </c>
      <c r="T392" s="2">
        <v>44679</v>
      </c>
      <c r="W392" t="s">
        <v>1574</v>
      </c>
      <c r="Y392">
        <f t="shared" si="18"/>
        <v>630</v>
      </c>
      <c r="Z392">
        <f t="shared" si="19"/>
        <v>6</v>
      </c>
      <c r="AA392">
        <f t="shared" si="20"/>
        <v>1</v>
      </c>
    </row>
    <row r="393" spans="1:27" x14ac:dyDescent="0.3">
      <c r="A393" t="s">
        <v>2654</v>
      </c>
      <c r="B393" t="s">
        <v>2940</v>
      </c>
      <c r="C393">
        <v>35603139</v>
      </c>
      <c r="D393" t="s">
        <v>3430</v>
      </c>
      <c r="E393">
        <v>1</v>
      </c>
      <c r="F393" t="s">
        <v>3403</v>
      </c>
      <c r="G393">
        <v>312</v>
      </c>
      <c r="H393">
        <v>5</v>
      </c>
      <c r="K393" t="s">
        <v>3512</v>
      </c>
      <c r="L393">
        <v>1</v>
      </c>
      <c r="M393" t="s">
        <v>3513</v>
      </c>
      <c r="N393" t="s">
        <v>3514</v>
      </c>
      <c r="O393" t="s">
        <v>3515</v>
      </c>
      <c r="P393" t="s">
        <v>3516</v>
      </c>
      <c r="Q393" t="s">
        <v>3517</v>
      </c>
      <c r="R393" t="s">
        <v>1869</v>
      </c>
      <c r="S393">
        <v>2022</v>
      </c>
      <c r="T393" s="2">
        <v>44704</v>
      </c>
      <c r="U393" t="s">
        <v>3518</v>
      </c>
      <c r="W393" t="s">
        <v>2645</v>
      </c>
      <c r="Y393">
        <f t="shared" si="18"/>
        <v>312</v>
      </c>
      <c r="Z393">
        <f t="shared" si="19"/>
        <v>3</v>
      </c>
      <c r="AA393">
        <f t="shared" si="20"/>
        <v>0</v>
      </c>
    </row>
    <row r="394" spans="1:27" x14ac:dyDescent="0.3">
      <c r="A394" t="s">
        <v>2654</v>
      </c>
      <c r="B394" t="s">
        <v>2940</v>
      </c>
      <c r="C394">
        <v>35289122</v>
      </c>
      <c r="D394" t="s">
        <v>3431</v>
      </c>
      <c r="E394">
        <v>0</v>
      </c>
      <c r="F394" t="s">
        <v>3432</v>
      </c>
      <c r="K394" t="s">
        <v>3519</v>
      </c>
      <c r="L394">
        <v>1</v>
      </c>
      <c r="M394" t="s">
        <v>1874</v>
      </c>
      <c r="N394" t="s">
        <v>3520</v>
      </c>
      <c r="O394" t="s">
        <v>3521</v>
      </c>
      <c r="P394" t="s">
        <v>3522</v>
      </c>
      <c r="Q394" t="s">
        <v>3523</v>
      </c>
      <c r="R394" t="s">
        <v>3524</v>
      </c>
      <c r="S394">
        <v>2022</v>
      </c>
      <c r="T394" s="2">
        <v>44635</v>
      </c>
      <c r="U394" t="s">
        <v>3525</v>
      </c>
      <c r="W394" t="s">
        <v>2653</v>
      </c>
      <c r="Y394">
        <f t="shared" si="18"/>
        <v>0</v>
      </c>
      <c r="Z394">
        <f t="shared" si="19"/>
        <v>0</v>
      </c>
      <c r="AA394">
        <f t="shared" si="20"/>
        <v>0</v>
      </c>
    </row>
    <row r="395" spans="1:27" x14ac:dyDescent="0.3">
      <c r="A395" t="s">
        <v>2654</v>
      </c>
      <c r="B395" t="s">
        <v>2940</v>
      </c>
      <c r="C395">
        <v>35476397</v>
      </c>
      <c r="D395" t="s">
        <v>3433</v>
      </c>
      <c r="E395">
        <v>0</v>
      </c>
      <c r="F395" t="s">
        <v>143</v>
      </c>
      <c r="H395">
        <v>4</v>
      </c>
      <c r="K395" t="s">
        <v>3526</v>
      </c>
      <c r="N395" t="s">
        <v>3527</v>
      </c>
      <c r="O395" t="s">
        <v>3528</v>
      </c>
      <c r="P395" t="s">
        <v>3529</v>
      </c>
      <c r="Q395" t="s">
        <v>3530</v>
      </c>
      <c r="R395" t="s">
        <v>2551</v>
      </c>
      <c r="S395">
        <v>2022</v>
      </c>
      <c r="T395" s="2">
        <v>44678</v>
      </c>
      <c r="W395" t="s">
        <v>3531</v>
      </c>
      <c r="Y395">
        <f t="shared" si="18"/>
        <v>0</v>
      </c>
      <c r="Z395">
        <f t="shared" si="19"/>
        <v>0</v>
      </c>
      <c r="AA395">
        <f t="shared" si="20"/>
        <v>0</v>
      </c>
    </row>
    <row r="396" spans="1:27" x14ac:dyDescent="0.3">
      <c r="A396" t="s">
        <v>2654</v>
      </c>
      <c r="B396" t="s">
        <v>2940</v>
      </c>
      <c r="C396">
        <v>35563859</v>
      </c>
      <c r="D396" t="s">
        <v>3434</v>
      </c>
      <c r="E396">
        <v>0</v>
      </c>
      <c r="F396" t="s">
        <v>3404</v>
      </c>
      <c r="G396">
        <v>28</v>
      </c>
      <c r="H396">
        <v>1</v>
      </c>
      <c r="K396" t="s">
        <v>835</v>
      </c>
      <c r="L396">
        <v>1</v>
      </c>
      <c r="M396" t="s">
        <v>3532</v>
      </c>
      <c r="N396" t="s">
        <v>3533</v>
      </c>
      <c r="O396" t="s">
        <v>3534</v>
      </c>
      <c r="P396" t="s">
        <v>3535</v>
      </c>
      <c r="Q396" t="s">
        <v>3536</v>
      </c>
      <c r="R396" t="s">
        <v>2875</v>
      </c>
      <c r="S396">
        <v>2022</v>
      </c>
      <c r="T396" s="2">
        <v>44695</v>
      </c>
      <c r="U396" t="s">
        <v>3537</v>
      </c>
      <c r="W396" t="s">
        <v>3538</v>
      </c>
      <c r="Y396">
        <f t="shared" si="18"/>
        <v>28</v>
      </c>
      <c r="Z396">
        <f t="shared" si="19"/>
        <v>0</v>
      </c>
      <c r="AA396">
        <f t="shared" si="20"/>
        <v>0</v>
      </c>
    </row>
    <row r="397" spans="1:27" x14ac:dyDescent="0.3">
      <c r="A397" t="s">
        <v>2654</v>
      </c>
      <c r="B397" t="s">
        <v>2940</v>
      </c>
      <c r="C397">
        <v>35450967</v>
      </c>
      <c r="D397" t="s">
        <v>1445</v>
      </c>
      <c r="E397">
        <v>0</v>
      </c>
      <c r="F397" t="s">
        <v>3435</v>
      </c>
      <c r="G397">
        <v>152</v>
      </c>
      <c r="K397" t="s">
        <v>3539</v>
      </c>
      <c r="L397">
        <v>1</v>
      </c>
      <c r="M397">
        <v>2</v>
      </c>
      <c r="N397" t="s">
        <v>3540</v>
      </c>
      <c r="O397" t="s">
        <v>2177</v>
      </c>
      <c r="P397" t="s">
        <v>2178</v>
      </c>
      <c r="Q397" t="s">
        <v>2179</v>
      </c>
      <c r="R397" t="s">
        <v>143</v>
      </c>
      <c r="S397">
        <v>2022</v>
      </c>
      <c r="T397" s="2">
        <v>44673</v>
      </c>
      <c r="W397" t="s">
        <v>2181</v>
      </c>
      <c r="Y397">
        <f t="shared" si="18"/>
        <v>152</v>
      </c>
      <c r="Z397">
        <f t="shared" si="19"/>
        <v>1</v>
      </c>
      <c r="AA397">
        <f t="shared" si="20"/>
        <v>1</v>
      </c>
    </row>
    <row r="398" spans="1:27" x14ac:dyDescent="0.3">
      <c r="A398" t="s">
        <v>2654</v>
      </c>
      <c r="B398" t="s">
        <v>2940</v>
      </c>
      <c r="C398">
        <v>35751632</v>
      </c>
      <c r="D398" t="s">
        <v>1421</v>
      </c>
      <c r="E398">
        <v>0</v>
      </c>
      <c r="F398" t="s">
        <v>3404</v>
      </c>
      <c r="G398">
        <v>348</v>
      </c>
      <c r="H398">
        <v>1</v>
      </c>
      <c r="J398">
        <v>1</v>
      </c>
      <c r="K398" t="s">
        <v>835</v>
      </c>
      <c r="L398">
        <v>1</v>
      </c>
      <c r="M398" t="s">
        <v>1734</v>
      </c>
      <c r="N398" t="s">
        <v>3541</v>
      </c>
      <c r="O398" t="s">
        <v>1996</v>
      </c>
      <c r="P398" t="s">
        <v>3542</v>
      </c>
      <c r="Q398" t="s">
        <v>1998</v>
      </c>
      <c r="R398" t="s">
        <v>1999</v>
      </c>
      <c r="S398">
        <v>2022</v>
      </c>
      <c r="T398" s="2">
        <v>44737</v>
      </c>
      <c r="W398" t="s">
        <v>2001</v>
      </c>
      <c r="Y398">
        <f t="shared" si="18"/>
        <v>348</v>
      </c>
      <c r="Z398">
        <f t="shared" si="19"/>
        <v>3</v>
      </c>
      <c r="AA398">
        <f t="shared" si="20"/>
        <v>1</v>
      </c>
    </row>
    <row r="399" spans="1:27" x14ac:dyDescent="0.3">
      <c r="A399" t="s">
        <v>2654</v>
      </c>
      <c r="B399" t="s">
        <v>2940</v>
      </c>
      <c r="C399">
        <v>35772194</v>
      </c>
      <c r="D399" t="s">
        <v>3436</v>
      </c>
      <c r="E399">
        <v>0</v>
      </c>
      <c r="F399" t="s">
        <v>143</v>
      </c>
      <c r="G399">
        <v>613</v>
      </c>
      <c r="H399">
        <v>1</v>
      </c>
      <c r="J399">
        <v>1</v>
      </c>
      <c r="K399" t="s">
        <v>835</v>
      </c>
      <c r="L399">
        <v>1</v>
      </c>
      <c r="N399" t="s">
        <v>3543</v>
      </c>
      <c r="O399" t="s">
        <v>3544</v>
      </c>
      <c r="P399" t="s">
        <v>3545</v>
      </c>
      <c r="Q399" t="s">
        <v>3546</v>
      </c>
      <c r="R399" t="s">
        <v>3547</v>
      </c>
      <c r="S399">
        <v>2022</v>
      </c>
      <c r="T399" s="2">
        <v>44742</v>
      </c>
      <c r="U399" t="s">
        <v>3548</v>
      </c>
      <c r="W399" t="s">
        <v>3549</v>
      </c>
      <c r="Y399">
        <f t="shared" si="18"/>
        <v>613</v>
      </c>
      <c r="Z399">
        <f t="shared" si="19"/>
        <v>6</v>
      </c>
      <c r="AA399">
        <f t="shared" si="20"/>
        <v>0</v>
      </c>
    </row>
    <row r="400" spans="1:27" x14ac:dyDescent="0.3">
      <c r="A400" t="s">
        <v>2654</v>
      </c>
      <c r="B400" t="s">
        <v>2940</v>
      </c>
      <c r="C400">
        <v>35533500</v>
      </c>
      <c r="D400" t="s">
        <v>3437</v>
      </c>
      <c r="E400">
        <v>0</v>
      </c>
      <c r="F400" t="s">
        <v>143</v>
      </c>
      <c r="G400">
        <v>1420</v>
      </c>
      <c r="H400">
        <v>1</v>
      </c>
      <c r="K400" t="s">
        <v>835</v>
      </c>
      <c r="L400">
        <v>1</v>
      </c>
      <c r="M400" t="s">
        <v>2366</v>
      </c>
      <c r="N400" t="s">
        <v>3550</v>
      </c>
      <c r="O400" t="s">
        <v>3551</v>
      </c>
      <c r="P400" t="s">
        <v>3552</v>
      </c>
      <c r="Q400" t="s">
        <v>3553</v>
      </c>
      <c r="R400" t="s">
        <v>782</v>
      </c>
      <c r="S400">
        <v>2022</v>
      </c>
      <c r="T400" s="2">
        <v>44690</v>
      </c>
      <c r="U400" t="s">
        <v>3554</v>
      </c>
      <c r="W400" t="s">
        <v>3555</v>
      </c>
      <c r="Y400">
        <f t="shared" si="18"/>
        <v>1420</v>
      </c>
      <c r="Z400">
        <f t="shared" si="19"/>
        <v>14</v>
      </c>
      <c r="AA400">
        <f t="shared" si="20"/>
        <v>1</v>
      </c>
    </row>
    <row r="401" spans="1:27" x14ac:dyDescent="0.3">
      <c r="A401" t="s">
        <v>2654</v>
      </c>
      <c r="B401" t="s">
        <v>2940</v>
      </c>
      <c r="C401">
        <v>35379762</v>
      </c>
      <c r="D401" t="s">
        <v>3438</v>
      </c>
      <c r="E401">
        <v>0</v>
      </c>
      <c r="F401" t="s">
        <v>3404</v>
      </c>
      <c r="G401">
        <v>5357</v>
      </c>
      <c r="H401">
        <v>1</v>
      </c>
      <c r="J401">
        <v>1</v>
      </c>
      <c r="K401" t="s">
        <v>835</v>
      </c>
      <c r="L401">
        <v>1</v>
      </c>
      <c r="M401" t="s">
        <v>3556</v>
      </c>
      <c r="N401" t="s">
        <v>3557</v>
      </c>
      <c r="O401" t="s">
        <v>3558</v>
      </c>
      <c r="P401" t="s">
        <v>3559</v>
      </c>
      <c r="Q401" t="s">
        <v>3560</v>
      </c>
      <c r="R401" t="s">
        <v>143</v>
      </c>
      <c r="S401">
        <v>2022</v>
      </c>
      <c r="T401" s="2">
        <v>44656</v>
      </c>
      <c r="W401" t="s">
        <v>3561</v>
      </c>
      <c r="Y401">
        <f t="shared" si="18"/>
        <v>5357</v>
      </c>
      <c r="Z401">
        <f t="shared" si="19"/>
        <v>55</v>
      </c>
      <c r="AA401">
        <f t="shared" si="20"/>
        <v>1</v>
      </c>
    </row>
    <row r="402" spans="1:27" x14ac:dyDescent="0.3">
      <c r="A402" t="s">
        <v>2654</v>
      </c>
      <c r="B402" t="s">
        <v>2940</v>
      </c>
      <c r="C402">
        <v>35618438</v>
      </c>
      <c r="D402" t="s">
        <v>3439</v>
      </c>
      <c r="E402">
        <v>0</v>
      </c>
      <c r="F402" t="s">
        <v>3404</v>
      </c>
      <c r="G402">
        <v>533</v>
      </c>
      <c r="H402">
        <v>1</v>
      </c>
      <c r="J402">
        <v>1</v>
      </c>
      <c r="K402" t="s">
        <v>835</v>
      </c>
      <c r="L402">
        <v>1</v>
      </c>
      <c r="M402" t="s">
        <v>2166</v>
      </c>
      <c r="N402" t="s">
        <v>3562</v>
      </c>
      <c r="O402" t="s">
        <v>3563</v>
      </c>
      <c r="P402" t="s">
        <v>3564</v>
      </c>
      <c r="Q402" t="s">
        <v>3565</v>
      </c>
      <c r="R402" t="s">
        <v>143</v>
      </c>
      <c r="S402">
        <v>2022</v>
      </c>
      <c r="T402" s="2">
        <v>44707</v>
      </c>
      <c r="W402" t="s">
        <v>3566</v>
      </c>
      <c r="Y402">
        <f t="shared" si="18"/>
        <v>533</v>
      </c>
      <c r="Z402">
        <f t="shared" si="19"/>
        <v>5</v>
      </c>
      <c r="AA402">
        <f t="shared" si="20"/>
        <v>1</v>
      </c>
    </row>
    <row r="403" spans="1:27" x14ac:dyDescent="0.3">
      <c r="A403" t="s">
        <v>2654</v>
      </c>
      <c r="B403" t="s">
        <v>2940</v>
      </c>
      <c r="C403">
        <v>35474598</v>
      </c>
      <c r="D403" t="s">
        <v>1428</v>
      </c>
      <c r="E403">
        <v>0</v>
      </c>
      <c r="F403" t="s">
        <v>3404</v>
      </c>
      <c r="G403">
        <v>137</v>
      </c>
      <c r="H403">
        <v>1</v>
      </c>
      <c r="K403" t="s">
        <v>835</v>
      </c>
      <c r="L403">
        <v>1</v>
      </c>
      <c r="N403" t="s">
        <v>3567</v>
      </c>
      <c r="O403" t="s">
        <v>2054</v>
      </c>
      <c r="P403" t="s">
        <v>2055</v>
      </c>
      <c r="Q403" t="s">
        <v>2056</v>
      </c>
      <c r="R403" t="s">
        <v>1571</v>
      </c>
      <c r="S403">
        <v>2022</v>
      </c>
      <c r="T403" s="2">
        <v>44678</v>
      </c>
      <c r="W403" t="s">
        <v>2057</v>
      </c>
      <c r="Y403">
        <f t="shared" si="18"/>
        <v>137</v>
      </c>
      <c r="Z403">
        <f t="shared" si="19"/>
        <v>1</v>
      </c>
      <c r="AA403">
        <f t="shared" si="20"/>
        <v>0</v>
      </c>
    </row>
    <row r="404" spans="1:27" x14ac:dyDescent="0.3">
      <c r="A404" t="s">
        <v>2654</v>
      </c>
      <c r="B404" t="s">
        <v>2940</v>
      </c>
      <c r="C404">
        <v>35716271</v>
      </c>
      <c r="D404" t="s">
        <v>1418</v>
      </c>
      <c r="E404">
        <v>0</v>
      </c>
      <c r="F404" t="s">
        <v>143</v>
      </c>
      <c r="H404">
        <v>1</v>
      </c>
      <c r="K404" t="s">
        <v>835</v>
      </c>
      <c r="L404">
        <v>1</v>
      </c>
      <c r="N404" t="s">
        <v>3568</v>
      </c>
      <c r="O404" t="s">
        <v>1982</v>
      </c>
      <c r="P404" t="s">
        <v>3569</v>
      </c>
      <c r="Q404" t="s">
        <v>1984</v>
      </c>
      <c r="R404" t="s">
        <v>1985</v>
      </c>
      <c r="S404">
        <v>2022</v>
      </c>
      <c r="T404" s="2">
        <v>44730</v>
      </c>
      <c r="W404" t="s">
        <v>1986</v>
      </c>
      <c r="Y404">
        <f t="shared" si="18"/>
        <v>0</v>
      </c>
      <c r="Z404">
        <f t="shared" si="19"/>
        <v>0</v>
      </c>
      <c r="AA404">
        <f t="shared" si="20"/>
        <v>0</v>
      </c>
    </row>
    <row r="405" spans="1:27" x14ac:dyDescent="0.3">
      <c r="A405" t="s">
        <v>2654</v>
      </c>
      <c r="B405" t="s">
        <v>2940</v>
      </c>
      <c r="C405">
        <v>35775045</v>
      </c>
      <c r="D405" t="s">
        <v>3402</v>
      </c>
      <c r="E405">
        <v>0</v>
      </c>
      <c r="F405" t="s">
        <v>3403</v>
      </c>
      <c r="G405">
        <v>1662</v>
      </c>
      <c r="H405">
        <v>1</v>
      </c>
      <c r="K405" t="s">
        <v>835</v>
      </c>
      <c r="L405">
        <v>1</v>
      </c>
      <c r="M405" t="s">
        <v>3570</v>
      </c>
      <c r="N405" t="s">
        <v>3571</v>
      </c>
      <c r="O405" t="s">
        <v>3572</v>
      </c>
      <c r="P405" t="s">
        <v>3573</v>
      </c>
      <c r="Q405" t="s">
        <v>3574</v>
      </c>
      <c r="R405" t="s">
        <v>1970</v>
      </c>
      <c r="S405">
        <v>2022</v>
      </c>
      <c r="T405" s="2">
        <v>44743</v>
      </c>
      <c r="U405" t="s">
        <v>3575</v>
      </c>
      <c r="W405" t="s">
        <v>3576</v>
      </c>
      <c r="Y405">
        <f t="shared" si="18"/>
        <v>1662</v>
      </c>
      <c r="Z405">
        <f t="shared" si="19"/>
        <v>17</v>
      </c>
      <c r="AA405">
        <f t="shared" si="20"/>
        <v>0</v>
      </c>
    </row>
    <row r="406" spans="1:27" x14ac:dyDescent="0.3">
      <c r="A406" t="s">
        <v>2654</v>
      </c>
      <c r="B406" t="s">
        <v>2940</v>
      </c>
      <c r="C406">
        <v>35504173</v>
      </c>
      <c r="D406" t="s">
        <v>1437</v>
      </c>
      <c r="E406">
        <v>0</v>
      </c>
      <c r="F406" t="s">
        <v>3404</v>
      </c>
      <c r="G406">
        <v>94</v>
      </c>
      <c r="H406">
        <v>2</v>
      </c>
      <c r="K406" t="s">
        <v>2119</v>
      </c>
      <c r="L406">
        <v>2</v>
      </c>
      <c r="N406" t="s">
        <v>3577</v>
      </c>
      <c r="O406" t="s">
        <v>2121</v>
      </c>
      <c r="P406" t="s">
        <v>2122</v>
      </c>
      <c r="Q406" t="s">
        <v>2123</v>
      </c>
      <c r="R406" t="s">
        <v>1660</v>
      </c>
      <c r="S406">
        <v>2022</v>
      </c>
      <c r="T406" s="2">
        <v>44684</v>
      </c>
      <c r="W406" t="s">
        <v>2124</v>
      </c>
      <c r="Y406">
        <f t="shared" si="18"/>
        <v>188</v>
      </c>
      <c r="Z406">
        <f t="shared" si="19"/>
        <v>1</v>
      </c>
      <c r="AA406">
        <f t="shared" si="20"/>
        <v>1</v>
      </c>
    </row>
    <row r="407" spans="1:27" x14ac:dyDescent="0.3">
      <c r="A407" t="s">
        <v>2654</v>
      </c>
      <c r="B407" t="s">
        <v>2940</v>
      </c>
      <c r="C407">
        <v>35557872</v>
      </c>
      <c r="D407" t="s">
        <v>3405</v>
      </c>
      <c r="E407">
        <v>0</v>
      </c>
      <c r="F407" t="s">
        <v>143</v>
      </c>
      <c r="G407">
        <v>110</v>
      </c>
      <c r="H407">
        <v>1</v>
      </c>
      <c r="K407" t="s">
        <v>835</v>
      </c>
      <c r="L407">
        <v>1</v>
      </c>
      <c r="M407" t="s">
        <v>3578</v>
      </c>
      <c r="N407" t="s">
        <v>3579</v>
      </c>
      <c r="O407" t="s">
        <v>3580</v>
      </c>
      <c r="P407" t="s">
        <v>3581</v>
      </c>
      <c r="Q407" t="s">
        <v>3582</v>
      </c>
      <c r="R407" t="s">
        <v>3583</v>
      </c>
      <c r="S407">
        <v>2022</v>
      </c>
      <c r="T407" s="2">
        <v>44694</v>
      </c>
      <c r="U407" t="s">
        <v>3584</v>
      </c>
      <c r="W407" t="s">
        <v>3585</v>
      </c>
      <c r="Y407">
        <f t="shared" si="18"/>
        <v>110</v>
      </c>
      <c r="Z407">
        <f t="shared" si="19"/>
        <v>1</v>
      </c>
      <c r="AA407">
        <f t="shared" si="20"/>
        <v>0</v>
      </c>
    </row>
    <row r="408" spans="1:27" x14ac:dyDescent="0.3">
      <c r="A408" t="s">
        <v>2654</v>
      </c>
      <c r="B408" t="s">
        <v>2940</v>
      </c>
      <c r="C408">
        <v>35795150</v>
      </c>
      <c r="D408" t="s">
        <v>3406</v>
      </c>
      <c r="E408">
        <v>0</v>
      </c>
      <c r="F408" t="s">
        <v>532</v>
      </c>
      <c r="G408">
        <v>214</v>
      </c>
      <c r="H408">
        <v>1</v>
      </c>
      <c r="K408" t="s">
        <v>835</v>
      </c>
      <c r="L408">
        <v>1</v>
      </c>
      <c r="N408" t="s">
        <v>3586</v>
      </c>
      <c r="O408" t="s">
        <v>3587</v>
      </c>
      <c r="P408" t="s">
        <v>3588</v>
      </c>
      <c r="Q408" t="s">
        <v>3589</v>
      </c>
      <c r="R408" t="s">
        <v>2855</v>
      </c>
      <c r="S408">
        <v>2022</v>
      </c>
      <c r="T408" s="2">
        <v>44749</v>
      </c>
      <c r="U408" t="s">
        <v>3590</v>
      </c>
      <c r="W408" t="s">
        <v>3591</v>
      </c>
      <c r="Y408">
        <f t="shared" si="18"/>
        <v>214</v>
      </c>
      <c r="Z408">
        <f t="shared" si="19"/>
        <v>2</v>
      </c>
      <c r="AA408">
        <f t="shared" si="20"/>
        <v>0</v>
      </c>
    </row>
    <row r="409" spans="1:27" x14ac:dyDescent="0.3">
      <c r="A409" t="s">
        <v>2654</v>
      </c>
      <c r="B409" t="s">
        <v>2940</v>
      </c>
      <c r="C409">
        <v>35783126</v>
      </c>
      <c r="D409" t="s">
        <v>3407</v>
      </c>
      <c r="E409">
        <v>0</v>
      </c>
      <c r="F409" t="s">
        <v>143</v>
      </c>
      <c r="G409">
        <v>81</v>
      </c>
      <c r="H409">
        <v>2</v>
      </c>
      <c r="K409" t="s">
        <v>3592</v>
      </c>
      <c r="L409">
        <v>2</v>
      </c>
      <c r="M409" t="s">
        <v>3593</v>
      </c>
      <c r="N409" t="s">
        <v>3594</v>
      </c>
      <c r="O409" t="s">
        <v>3595</v>
      </c>
      <c r="P409" t="s">
        <v>3596</v>
      </c>
      <c r="Q409" t="s">
        <v>3597</v>
      </c>
      <c r="R409" t="s">
        <v>1829</v>
      </c>
      <c r="S409">
        <v>2022</v>
      </c>
      <c r="T409" s="2">
        <v>44747</v>
      </c>
      <c r="U409" t="s">
        <v>3598</v>
      </c>
      <c r="W409" t="s">
        <v>3599</v>
      </c>
      <c r="Y409">
        <f t="shared" si="18"/>
        <v>162</v>
      </c>
      <c r="Z409">
        <f t="shared" si="19"/>
        <v>1</v>
      </c>
      <c r="AA409">
        <f t="shared" si="20"/>
        <v>1</v>
      </c>
    </row>
    <row r="410" spans="1:27" x14ac:dyDescent="0.3">
      <c r="A410" t="s">
        <v>2654</v>
      </c>
      <c r="B410" t="s">
        <v>2940</v>
      </c>
      <c r="C410">
        <v>35649699</v>
      </c>
      <c r="D410" t="s">
        <v>3408</v>
      </c>
      <c r="E410">
        <v>0</v>
      </c>
      <c r="F410" t="s">
        <v>3404</v>
      </c>
      <c r="G410">
        <v>510</v>
      </c>
      <c r="H410">
        <v>1</v>
      </c>
      <c r="K410" t="s">
        <v>835</v>
      </c>
      <c r="L410">
        <v>1</v>
      </c>
      <c r="N410" t="s">
        <v>3600</v>
      </c>
      <c r="O410" t="s">
        <v>3601</v>
      </c>
      <c r="P410" t="s">
        <v>3602</v>
      </c>
      <c r="Q410" t="s">
        <v>3603</v>
      </c>
      <c r="R410" t="s">
        <v>1625</v>
      </c>
      <c r="S410">
        <v>2022</v>
      </c>
      <c r="T410" s="2">
        <v>44713</v>
      </c>
      <c r="W410" t="s">
        <v>3604</v>
      </c>
      <c r="Y410">
        <f t="shared" si="18"/>
        <v>510</v>
      </c>
      <c r="Z410">
        <f t="shared" si="19"/>
        <v>5</v>
      </c>
      <c r="AA410">
        <f t="shared" si="20"/>
        <v>0</v>
      </c>
    </row>
    <row r="411" spans="1:27" x14ac:dyDescent="0.3">
      <c r="A411" t="s">
        <v>2654</v>
      </c>
      <c r="B411" t="s">
        <v>2940</v>
      </c>
      <c r="C411">
        <v>35384143</v>
      </c>
      <c r="D411" t="s">
        <v>3409</v>
      </c>
      <c r="E411">
        <v>0</v>
      </c>
      <c r="F411" t="s">
        <v>3410</v>
      </c>
      <c r="G411">
        <v>236</v>
      </c>
      <c r="H411">
        <v>1</v>
      </c>
      <c r="K411" t="s">
        <v>835</v>
      </c>
      <c r="L411">
        <v>1</v>
      </c>
      <c r="N411" t="s">
        <v>3605</v>
      </c>
      <c r="O411" t="s">
        <v>3606</v>
      </c>
      <c r="P411" t="s">
        <v>3607</v>
      </c>
      <c r="Q411" t="s">
        <v>3608</v>
      </c>
      <c r="R411" t="s">
        <v>2491</v>
      </c>
      <c r="S411">
        <v>2022</v>
      </c>
      <c r="T411" s="2">
        <v>44657</v>
      </c>
      <c r="W411" t="s">
        <v>3609</v>
      </c>
      <c r="Y411">
        <f t="shared" si="18"/>
        <v>236</v>
      </c>
      <c r="Z411">
        <f t="shared" si="19"/>
        <v>2</v>
      </c>
      <c r="AA411">
        <f t="shared" si="20"/>
        <v>0</v>
      </c>
    </row>
    <row r="412" spans="1:27" x14ac:dyDescent="0.3">
      <c r="A412" t="s">
        <v>2654</v>
      </c>
      <c r="B412" t="s">
        <v>2940</v>
      </c>
      <c r="C412">
        <v>35461266</v>
      </c>
      <c r="D412" t="s">
        <v>3411</v>
      </c>
      <c r="E412">
        <v>0</v>
      </c>
      <c r="F412" t="s">
        <v>143</v>
      </c>
      <c r="G412">
        <v>343</v>
      </c>
      <c r="H412">
        <v>2</v>
      </c>
      <c r="K412" t="s">
        <v>3610</v>
      </c>
      <c r="L412">
        <v>2</v>
      </c>
      <c r="M412" t="s">
        <v>3611</v>
      </c>
      <c r="N412" t="s">
        <v>3612</v>
      </c>
      <c r="O412" t="s">
        <v>3613</v>
      </c>
      <c r="P412" t="s">
        <v>3614</v>
      </c>
      <c r="Q412" t="s">
        <v>2864</v>
      </c>
      <c r="R412" t="s">
        <v>454</v>
      </c>
      <c r="S412">
        <v>2022</v>
      </c>
      <c r="T412" s="2">
        <v>44675</v>
      </c>
      <c r="U412" t="s">
        <v>3615</v>
      </c>
      <c r="W412" t="s">
        <v>3616</v>
      </c>
      <c r="Y412">
        <f t="shared" si="18"/>
        <v>686</v>
      </c>
      <c r="Z412">
        <f t="shared" si="19"/>
        <v>7</v>
      </c>
      <c r="AA412">
        <f t="shared" si="20"/>
        <v>0</v>
      </c>
    </row>
    <row r="413" spans="1:27" x14ac:dyDescent="0.3">
      <c r="A413" t="s">
        <v>2654</v>
      </c>
      <c r="B413" t="s">
        <v>2940</v>
      </c>
      <c r="C413">
        <v>35490364</v>
      </c>
      <c r="D413" t="s">
        <v>1459</v>
      </c>
      <c r="E413">
        <v>0</v>
      </c>
      <c r="F413" t="s">
        <v>3404</v>
      </c>
      <c r="G413">
        <v>38</v>
      </c>
      <c r="H413">
        <v>1</v>
      </c>
      <c r="K413" t="s">
        <v>835</v>
      </c>
      <c r="L413">
        <v>2</v>
      </c>
      <c r="M413" t="s">
        <v>3617</v>
      </c>
      <c r="N413" t="s">
        <v>3618</v>
      </c>
      <c r="O413" t="s">
        <v>2263</v>
      </c>
      <c r="P413" t="s">
        <v>3619</v>
      </c>
      <c r="Q413" t="s">
        <v>2265</v>
      </c>
      <c r="R413" t="s">
        <v>2266</v>
      </c>
      <c r="S413">
        <v>2022</v>
      </c>
      <c r="T413" s="2">
        <v>44682</v>
      </c>
      <c r="W413" t="s">
        <v>2268</v>
      </c>
      <c r="Y413">
        <f t="shared" si="18"/>
        <v>76</v>
      </c>
      <c r="Z413">
        <f t="shared" si="19"/>
        <v>0</v>
      </c>
      <c r="AA413">
        <f t="shared" si="20"/>
        <v>1</v>
      </c>
    </row>
    <row r="414" spans="1:27" x14ac:dyDescent="0.3">
      <c r="A414" t="s">
        <v>2654</v>
      </c>
      <c r="B414" t="s">
        <v>2940</v>
      </c>
      <c r="C414">
        <v>35379698</v>
      </c>
      <c r="D414" t="s">
        <v>1365</v>
      </c>
      <c r="E414">
        <v>0</v>
      </c>
      <c r="F414" t="s">
        <v>3412</v>
      </c>
      <c r="G414">
        <v>23</v>
      </c>
      <c r="H414">
        <v>1</v>
      </c>
      <c r="K414" t="s">
        <v>835</v>
      </c>
      <c r="L414">
        <v>1</v>
      </c>
      <c r="M414" t="s">
        <v>3620</v>
      </c>
      <c r="N414" t="s">
        <v>3621</v>
      </c>
      <c r="O414" t="s">
        <v>1622</v>
      </c>
      <c r="P414" t="s">
        <v>1623</v>
      </c>
      <c r="Q414" t="s">
        <v>1624</v>
      </c>
      <c r="R414" t="s">
        <v>1625</v>
      </c>
      <c r="S414">
        <v>2022</v>
      </c>
      <c r="T414" s="2">
        <v>44656</v>
      </c>
      <c r="W414" t="s">
        <v>1627</v>
      </c>
      <c r="Y414">
        <f t="shared" si="18"/>
        <v>23</v>
      </c>
      <c r="Z414">
        <f t="shared" si="19"/>
        <v>0</v>
      </c>
      <c r="AA414">
        <f t="shared" si="20"/>
        <v>0</v>
      </c>
    </row>
    <row r="415" spans="1:27" x14ac:dyDescent="0.3">
      <c r="A415" t="s">
        <v>2654</v>
      </c>
      <c r="B415" t="s">
        <v>2940</v>
      </c>
      <c r="C415">
        <v>35734899</v>
      </c>
      <c r="D415" t="s">
        <v>1501</v>
      </c>
      <c r="E415">
        <v>1</v>
      </c>
      <c r="F415" t="s">
        <v>143</v>
      </c>
      <c r="G415">
        <v>320</v>
      </c>
      <c r="H415">
        <v>3</v>
      </c>
      <c r="K415" t="s">
        <v>3622</v>
      </c>
      <c r="L415">
        <v>1</v>
      </c>
      <c r="M415" t="s">
        <v>3623</v>
      </c>
      <c r="N415" t="s">
        <v>3624</v>
      </c>
      <c r="O415" t="s">
        <v>2528</v>
      </c>
      <c r="P415" t="s">
        <v>3625</v>
      </c>
      <c r="Q415" t="s">
        <v>2530</v>
      </c>
      <c r="R415" t="s">
        <v>2063</v>
      </c>
      <c r="S415">
        <v>2022</v>
      </c>
      <c r="T415" s="2">
        <v>44735</v>
      </c>
      <c r="W415" t="s">
        <v>2531</v>
      </c>
      <c r="Y415">
        <f t="shared" si="18"/>
        <v>320</v>
      </c>
      <c r="Z415">
        <f t="shared" si="19"/>
        <v>3</v>
      </c>
      <c r="AA415">
        <f t="shared" si="20"/>
        <v>0</v>
      </c>
    </row>
    <row r="416" spans="1:27" x14ac:dyDescent="0.3">
      <c r="A416" t="s">
        <v>2654</v>
      </c>
      <c r="B416" t="s">
        <v>2940</v>
      </c>
      <c r="C416">
        <v>35755205</v>
      </c>
      <c r="D416" t="s">
        <v>3413</v>
      </c>
      <c r="E416" t="s">
        <v>1367</v>
      </c>
      <c r="F416" t="s">
        <v>143</v>
      </c>
      <c r="G416">
        <v>320</v>
      </c>
      <c r="H416">
        <v>3</v>
      </c>
      <c r="K416" t="s">
        <v>3626</v>
      </c>
      <c r="L416">
        <v>1</v>
      </c>
      <c r="M416" t="s">
        <v>3627</v>
      </c>
      <c r="N416" t="s">
        <v>3628</v>
      </c>
      <c r="O416" t="s">
        <v>3629</v>
      </c>
      <c r="P416" t="s">
        <v>3630</v>
      </c>
      <c r="Q416" t="s">
        <v>3631</v>
      </c>
      <c r="R416" t="s">
        <v>3632</v>
      </c>
      <c r="S416">
        <v>2022</v>
      </c>
      <c r="T416" s="2">
        <v>44739</v>
      </c>
      <c r="U416" t="s">
        <v>3633</v>
      </c>
      <c r="W416" t="s">
        <v>3634</v>
      </c>
      <c r="Y416">
        <f t="shared" si="18"/>
        <v>320</v>
      </c>
      <c r="Z416">
        <f t="shared" si="19"/>
        <v>3</v>
      </c>
      <c r="AA416">
        <f t="shared" si="20"/>
        <v>0</v>
      </c>
    </row>
    <row r="417" spans="1:27" x14ac:dyDescent="0.3">
      <c r="A417" t="s">
        <v>3822</v>
      </c>
      <c r="B417" t="s">
        <v>2940</v>
      </c>
      <c r="C417" s="12">
        <v>35177862</v>
      </c>
      <c r="D417" s="12" t="s">
        <v>3635</v>
      </c>
      <c r="E417" s="12">
        <v>0</v>
      </c>
      <c r="F417" s="12" t="s">
        <v>3636</v>
      </c>
      <c r="G417" s="12">
        <v>14</v>
      </c>
      <c r="H417" s="12">
        <v>1305</v>
      </c>
      <c r="I417" s="12">
        <v>51</v>
      </c>
      <c r="J417" s="13"/>
      <c r="K417" s="12" t="s">
        <v>3637</v>
      </c>
      <c r="L417" s="12">
        <v>1</v>
      </c>
      <c r="M417" s="12" t="s">
        <v>3638</v>
      </c>
      <c r="N417" s="12" t="s">
        <v>3639</v>
      </c>
      <c r="O417" s="12" t="s">
        <v>3640</v>
      </c>
      <c r="P417" s="12" t="s">
        <v>3641</v>
      </c>
      <c r="Q417" s="12" t="s">
        <v>3642</v>
      </c>
      <c r="R417" s="12" t="s">
        <v>3643</v>
      </c>
      <c r="S417" s="12">
        <v>2022</v>
      </c>
      <c r="T417" s="13">
        <v>44610</v>
      </c>
      <c r="U417" s="12" t="s">
        <v>3644</v>
      </c>
      <c r="V417" s="12" t="s">
        <v>3645</v>
      </c>
      <c r="W417" s="12" t="s">
        <v>3646</v>
      </c>
      <c r="Y417">
        <f t="shared" si="18"/>
        <v>14</v>
      </c>
      <c r="Z417">
        <f t="shared" si="19"/>
        <v>0</v>
      </c>
      <c r="AA417">
        <f t="shared" si="20"/>
        <v>0</v>
      </c>
    </row>
    <row r="418" spans="1:27" x14ac:dyDescent="0.3">
      <c r="A418" t="s">
        <v>3822</v>
      </c>
      <c r="B418" t="s">
        <v>2940</v>
      </c>
      <c r="C418" s="12">
        <v>35081018</v>
      </c>
      <c r="D418" s="12" t="s">
        <v>3647</v>
      </c>
      <c r="E418" s="12">
        <v>0</v>
      </c>
      <c r="F418" s="12" t="s">
        <v>23</v>
      </c>
      <c r="G418" s="12">
        <v>436</v>
      </c>
      <c r="H418" s="12">
        <v>4152</v>
      </c>
      <c r="I418" s="12">
        <v>31</v>
      </c>
      <c r="J418" s="23">
        <v>6</v>
      </c>
      <c r="K418" s="12"/>
      <c r="L418" s="12">
        <v>1</v>
      </c>
      <c r="M418" s="12"/>
      <c r="N418" s="12" t="s">
        <v>3648</v>
      </c>
      <c r="O418" s="12" t="s">
        <v>3649</v>
      </c>
      <c r="P418" s="12" t="s">
        <v>3650</v>
      </c>
      <c r="Q418" s="12" t="s">
        <v>3651</v>
      </c>
      <c r="R418" s="12" t="s">
        <v>3652</v>
      </c>
      <c r="S418" s="12">
        <v>2022</v>
      </c>
      <c r="T418" s="13">
        <v>44587</v>
      </c>
      <c r="U418" s="12"/>
      <c r="V418" s="12"/>
      <c r="W418" s="12" t="s">
        <v>3653</v>
      </c>
      <c r="Y418">
        <f t="shared" si="18"/>
        <v>436</v>
      </c>
      <c r="Z418">
        <f t="shared" si="19"/>
        <v>4</v>
      </c>
      <c r="AA418">
        <f t="shared" si="20"/>
        <v>1</v>
      </c>
    </row>
    <row r="419" spans="1:27" x14ac:dyDescent="0.3">
      <c r="A419" t="s">
        <v>3822</v>
      </c>
      <c r="B419" t="s">
        <v>2940</v>
      </c>
      <c r="C419" s="12">
        <v>35595912</v>
      </c>
      <c r="D419" s="12" t="s">
        <v>3065</v>
      </c>
      <c r="E419" s="12">
        <v>0</v>
      </c>
      <c r="F419" s="12" t="s">
        <v>3654</v>
      </c>
      <c r="G419" s="12">
        <v>36</v>
      </c>
      <c r="H419" s="12">
        <v>1129</v>
      </c>
      <c r="I419" s="12"/>
      <c r="J419" s="23">
        <v>3</v>
      </c>
      <c r="K419" s="12" t="s">
        <v>3655</v>
      </c>
      <c r="L419" s="12">
        <v>1</v>
      </c>
      <c r="M419" s="12"/>
      <c r="N419" s="12" t="s">
        <v>3656</v>
      </c>
      <c r="O419" s="12" t="s">
        <v>3069</v>
      </c>
      <c r="P419" s="12" t="s">
        <v>3070</v>
      </c>
      <c r="Q419" s="12" t="s">
        <v>3071</v>
      </c>
      <c r="R419" s="12" t="s">
        <v>3072</v>
      </c>
      <c r="S419" s="12">
        <v>2022</v>
      </c>
      <c r="T419" s="13">
        <v>44701</v>
      </c>
      <c r="U419" s="12"/>
      <c r="V419" s="12"/>
      <c r="W419" s="12" t="s">
        <v>3073</v>
      </c>
      <c r="Y419">
        <f t="shared" si="18"/>
        <v>36</v>
      </c>
      <c r="Z419">
        <f t="shared" si="19"/>
        <v>0</v>
      </c>
      <c r="AA419">
        <f t="shared" si="20"/>
        <v>0</v>
      </c>
    </row>
    <row r="420" spans="1:27" x14ac:dyDescent="0.3">
      <c r="A420" t="s">
        <v>3822</v>
      </c>
      <c r="B420" t="s">
        <v>2940</v>
      </c>
      <c r="C420" s="12">
        <v>35073400</v>
      </c>
      <c r="D420" s="12" t="s">
        <v>3657</v>
      </c>
      <c r="E420" s="12">
        <v>0</v>
      </c>
      <c r="F420" s="12" t="s">
        <v>3658</v>
      </c>
      <c r="G420" s="12"/>
      <c r="H420" s="12">
        <v>1310</v>
      </c>
      <c r="I420" s="12"/>
      <c r="J420" s="23"/>
      <c r="K420" s="12"/>
      <c r="L420" s="12">
        <v>1</v>
      </c>
      <c r="M420" s="12"/>
      <c r="N420" s="12" t="s">
        <v>3659</v>
      </c>
      <c r="O420" s="12" t="s">
        <v>3660</v>
      </c>
      <c r="P420" s="12" t="s">
        <v>3661</v>
      </c>
      <c r="Q420" s="12" t="s">
        <v>3662</v>
      </c>
      <c r="R420" s="12" t="s">
        <v>3663</v>
      </c>
      <c r="S420" s="12">
        <v>2022</v>
      </c>
      <c r="T420" s="13">
        <v>44585</v>
      </c>
      <c r="U420" s="12" t="s">
        <v>3664</v>
      </c>
      <c r="V420" s="12" t="s">
        <v>3665</v>
      </c>
      <c r="W420" s="12" t="s">
        <v>3666</v>
      </c>
      <c r="Y420">
        <f t="shared" si="18"/>
        <v>0</v>
      </c>
      <c r="Z420">
        <f t="shared" si="19"/>
        <v>0</v>
      </c>
      <c r="AA420">
        <f t="shared" si="20"/>
        <v>0</v>
      </c>
    </row>
    <row r="421" spans="1:27" x14ac:dyDescent="0.3">
      <c r="A421" t="s">
        <v>3822</v>
      </c>
      <c r="B421" t="s">
        <v>2940</v>
      </c>
      <c r="C421" s="12">
        <v>35668386</v>
      </c>
      <c r="D421" s="12" t="s">
        <v>3667</v>
      </c>
      <c r="E421" s="12">
        <v>0</v>
      </c>
      <c r="F421" s="12" t="s">
        <v>3668</v>
      </c>
      <c r="G421" s="12">
        <v>30</v>
      </c>
      <c r="H421" s="12">
        <v>1100</v>
      </c>
      <c r="I421" s="12">
        <v>207</v>
      </c>
      <c r="J421" s="23">
        <v>9</v>
      </c>
      <c r="K421" s="12" t="s">
        <v>3669</v>
      </c>
      <c r="L421" s="12">
        <v>1</v>
      </c>
      <c r="M421" s="12"/>
      <c r="N421" s="12" t="s">
        <v>3670</v>
      </c>
      <c r="O421" s="12" t="s">
        <v>3671</v>
      </c>
      <c r="P421" s="12" t="s">
        <v>3672</v>
      </c>
      <c r="Q421" s="12" t="s">
        <v>3673</v>
      </c>
      <c r="R421" s="12" t="s">
        <v>67</v>
      </c>
      <c r="S421" s="12">
        <v>2022</v>
      </c>
      <c r="T421" s="13">
        <v>44718</v>
      </c>
      <c r="U421" s="12" t="s">
        <v>3674</v>
      </c>
      <c r="V421" s="12"/>
      <c r="W421" s="12" t="s">
        <v>3675</v>
      </c>
      <c r="Y421">
        <f t="shared" si="18"/>
        <v>30</v>
      </c>
      <c r="Z421">
        <f t="shared" si="19"/>
        <v>0</v>
      </c>
      <c r="AA421">
        <f t="shared" si="20"/>
        <v>0</v>
      </c>
    </row>
    <row r="422" spans="1:27" x14ac:dyDescent="0.3">
      <c r="A422" t="s">
        <v>3822</v>
      </c>
      <c r="B422" t="s">
        <v>2940</v>
      </c>
      <c r="C422" s="12">
        <v>35474272</v>
      </c>
      <c r="D422" s="12" t="s">
        <v>3676</v>
      </c>
      <c r="E422" s="12">
        <v>0</v>
      </c>
      <c r="F422" s="12" t="s">
        <v>3677</v>
      </c>
      <c r="G422" s="12">
        <v>461</v>
      </c>
      <c r="H422" s="12">
        <v>6790</v>
      </c>
      <c r="I422" s="12"/>
      <c r="J422" s="23">
        <v>6</v>
      </c>
      <c r="K422" s="12" t="s">
        <v>3678</v>
      </c>
      <c r="L422" s="12">
        <v>1</v>
      </c>
      <c r="M422" s="12"/>
      <c r="N422" s="12" t="s">
        <v>3679</v>
      </c>
      <c r="O422" s="12" t="s">
        <v>3680</v>
      </c>
      <c r="P422" s="12" t="s">
        <v>3681</v>
      </c>
      <c r="Q422" s="12" t="s">
        <v>3682</v>
      </c>
      <c r="R422" s="12" t="s">
        <v>3683</v>
      </c>
      <c r="S422" s="12">
        <v>2022</v>
      </c>
      <c r="T422" s="13">
        <v>44678</v>
      </c>
      <c r="U422" s="12" t="s">
        <v>3684</v>
      </c>
      <c r="V422" s="12"/>
      <c r="W422" s="12" t="s">
        <v>3685</v>
      </c>
      <c r="Y422">
        <f t="shared" si="18"/>
        <v>461</v>
      </c>
      <c r="Z422">
        <f t="shared" si="19"/>
        <v>4</v>
      </c>
      <c r="AA422">
        <f t="shared" si="20"/>
        <v>1</v>
      </c>
    </row>
    <row r="423" spans="1:27" x14ac:dyDescent="0.3">
      <c r="A423" t="s">
        <v>3822</v>
      </c>
      <c r="B423" t="s">
        <v>2940</v>
      </c>
      <c r="C423" s="24">
        <v>34338426</v>
      </c>
      <c r="D423" s="24" t="s">
        <v>3686</v>
      </c>
      <c r="E423" s="24">
        <v>0</v>
      </c>
      <c r="F423" s="24" t="s">
        <v>143</v>
      </c>
      <c r="G423" s="26">
        <v>13569</v>
      </c>
      <c r="H423" s="24">
        <v>4953</v>
      </c>
      <c r="I423" s="24">
        <v>246</v>
      </c>
      <c r="J423" s="27">
        <v>15</v>
      </c>
      <c r="K423" s="24" t="s">
        <v>3687</v>
      </c>
      <c r="L423" s="24">
        <v>1</v>
      </c>
      <c r="M423" s="24"/>
      <c r="N423" s="24" t="s">
        <v>3688</v>
      </c>
      <c r="O423" s="24" t="s">
        <v>3689</v>
      </c>
      <c r="P423" s="24" t="s">
        <v>3690</v>
      </c>
      <c r="Q423" s="24" t="s">
        <v>3691</v>
      </c>
      <c r="R423" s="24" t="s">
        <v>1535</v>
      </c>
      <c r="S423" s="24">
        <v>2022</v>
      </c>
      <c r="T423" s="28">
        <v>44410</v>
      </c>
      <c r="U423" s="24" t="s">
        <v>3692</v>
      </c>
      <c r="V423" s="24"/>
      <c r="W423" s="24" t="s">
        <v>3693</v>
      </c>
      <c r="Y423">
        <f t="shared" si="18"/>
        <v>13569</v>
      </c>
      <c r="Z423">
        <f t="shared" si="19"/>
        <v>141</v>
      </c>
      <c r="AA423">
        <f t="shared" si="20"/>
        <v>0</v>
      </c>
    </row>
    <row r="424" spans="1:27" x14ac:dyDescent="0.3">
      <c r="A424" t="s">
        <v>3822</v>
      </c>
      <c r="B424" t="s">
        <v>2940</v>
      </c>
      <c r="C424" s="24">
        <v>35598103</v>
      </c>
      <c r="D424" s="24" t="s">
        <v>3213</v>
      </c>
      <c r="E424" s="24">
        <v>0</v>
      </c>
      <c r="F424" s="24" t="s">
        <v>3214</v>
      </c>
      <c r="G424" s="24">
        <v>7322</v>
      </c>
      <c r="H424" s="24"/>
      <c r="I424" s="24"/>
      <c r="J424" s="28"/>
      <c r="K424" s="24"/>
      <c r="L424" s="24">
        <v>1</v>
      </c>
      <c r="M424" s="24"/>
      <c r="N424" s="24" t="s">
        <v>3694</v>
      </c>
      <c r="O424" s="24" t="s">
        <v>3217</v>
      </c>
      <c r="P424" s="24" t="s">
        <v>3218</v>
      </c>
      <c r="Q424" s="24" t="s">
        <v>3219</v>
      </c>
      <c r="R424" s="24" t="s">
        <v>2905</v>
      </c>
      <c r="S424" s="24">
        <v>2022</v>
      </c>
      <c r="T424" s="28">
        <v>44703</v>
      </c>
      <c r="U424" s="24"/>
      <c r="V424" s="24"/>
      <c r="W424" s="24" t="s">
        <v>3220</v>
      </c>
      <c r="Y424">
        <f t="shared" si="18"/>
        <v>7322</v>
      </c>
      <c r="Z424">
        <f t="shared" si="19"/>
        <v>76</v>
      </c>
      <c r="AA424">
        <f t="shared" si="20"/>
        <v>0</v>
      </c>
    </row>
    <row r="425" spans="1:27" x14ac:dyDescent="0.3">
      <c r="A425" t="s">
        <v>3822</v>
      </c>
      <c r="B425" t="s">
        <v>2940</v>
      </c>
      <c r="C425" s="24">
        <v>35567697</v>
      </c>
      <c r="D425" s="24" t="s">
        <v>3279</v>
      </c>
      <c r="E425" s="24">
        <v>0</v>
      </c>
      <c r="F425" s="24" t="s">
        <v>3214</v>
      </c>
      <c r="G425" s="24">
        <v>1905</v>
      </c>
      <c r="H425" s="24"/>
      <c r="I425" s="24"/>
      <c r="J425" s="28"/>
      <c r="K425" s="29" t="s">
        <v>3281</v>
      </c>
      <c r="L425" s="24">
        <v>1</v>
      </c>
      <c r="M425" s="24"/>
      <c r="N425" s="24" t="s">
        <v>3283</v>
      </c>
      <c r="O425" s="24" t="s">
        <v>3284</v>
      </c>
      <c r="P425" s="24" t="s">
        <v>3285</v>
      </c>
      <c r="Q425" s="24" t="s">
        <v>3286</v>
      </c>
      <c r="R425" s="24" t="s">
        <v>3287</v>
      </c>
      <c r="S425" s="24">
        <v>2022</v>
      </c>
      <c r="T425" s="28">
        <v>44695</v>
      </c>
      <c r="U425" s="24" t="s">
        <v>3288</v>
      </c>
      <c r="V425" s="24"/>
      <c r="W425" s="24" t="s">
        <v>3289</v>
      </c>
      <c r="Y425">
        <f t="shared" si="18"/>
        <v>1905</v>
      </c>
      <c r="Z425">
        <f t="shared" si="19"/>
        <v>19</v>
      </c>
      <c r="AA425">
        <f t="shared" si="20"/>
        <v>1</v>
      </c>
    </row>
    <row r="426" spans="1:27" x14ac:dyDescent="0.3">
      <c r="A426" t="s">
        <v>3822</v>
      </c>
      <c r="B426" t="s">
        <v>2940</v>
      </c>
      <c r="C426" s="1">
        <v>35415885</v>
      </c>
      <c r="D426" s="1" t="s">
        <v>3695</v>
      </c>
      <c r="E426" s="1">
        <v>0</v>
      </c>
      <c r="F426" s="1" t="s">
        <v>3696</v>
      </c>
      <c r="G426" s="1">
        <v>92</v>
      </c>
      <c r="H426" s="1"/>
      <c r="I426" s="1">
        <v>9</v>
      </c>
      <c r="J426" s="30"/>
      <c r="K426" s="1" t="s">
        <v>3697</v>
      </c>
      <c r="L426" s="1">
        <v>1</v>
      </c>
      <c r="M426" s="1" t="s">
        <v>3698</v>
      </c>
      <c r="N426" s="1" t="s">
        <v>3699</v>
      </c>
      <c r="O426" s="1" t="s">
        <v>3700</v>
      </c>
      <c r="P426" s="1" t="s">
        <v>3701</v>
      </c>
      <c r="Q426" s="1" t="s">
        <v>3702</v>
      </c>
      <c r="R426" s="1" t="s">
        <v>3703</v>
      </c>
      <c r="S426" s="1">
        <v>2022</v>
      </c>
      <c r="T426" s="30">
        <v>44664</v>
      </c>
      <c r="U426" s="1"/>
      <c r="V426" s="1"/>
      <c r="W426" s="1" t="s">
        <v>3704</v>
      </c>
      <c r="Y426">
        <f t="shared" si="18"/>
        <v>92</v>
      </c>
      <c r="Z426">
        <f t="shared" si="19"/>
        <v>0</v>
      </c>
      <c r="AA426">
        <f t="shared" si="20"/>
        <v>1</v>
      </c>
    </row>
    <row r="427" spans="1:27" x14ac:dyDescent="0.3">
      <c r="A427" t="s">
        <v>3822</v>
      </c>
      <c r="B427" t="s">
        <v>2940</v>
      </c>
      <c r="C427" s="1">
        <v>35389379</v>
      </c>
      <c r="D427" s="1" t="s">
        <v>3705</v>
      </c>
      <c r="E427" s="1">
        <v>0</v>
      </c>
      <c r="F427" s="1" t="s">
        <v>3706</v>
      </c>
      <c r="G427" s="1">
        <v>116</v>
      </c>
      <c r="H427" s="1">
        <v>1305</v>
      </c>
      <c r="I427" s="1">
        <v>343</v>
      </c>
      <c r="J427" s="20">
        <v>15</v>
      </c>
      <c r="K427" s="1" t="s">
        <v>3707</v>
      </c>
      <c r="L427" s="1">
        <v>1</v>
      </c>
      <c r="M427" s="1" t="s">
        <v>3708</v>
      </c>
      <c r="N427" s="1" t="s">
        <v>3709</v>
      </c>
      <c r="O427" s="1" t="s">
        <v>3710</v>
      </c>
      <c r="P427" s="1" t="s">
        <v>3711</v>
      </c>
      <c r="Q427" s="1" t="s">
        <v>3712</v>
      </c>
      <c r="R427" s="1" t="s">
        <v>3713</v>
      </c>
      <c r="S427" s="1">
        <v>2022</v>
      </c>
      <c r="T427" s="30">
        <v>44658</v>
      </c>
      <c r="U427" s="1"/>
      <c r="V427" s="1"/>
      <c r="W427" s="1" t="s">
        <v>3714</v>
      </c>
      <c r="Y427">
        <f t="shared" si="18"/>
        <v>116</v>
      </c>
      <c r="Z427">
        <f t="shared" si="19"/>
        <v>1</v>
      </c>
      <c r="AA427">
        <f t="shared" si="20"/>
        <v>0</v>
      </c>
    </row>
    <row r="428" spans="1:27" x14ac:dyDescent="0.3">
      <c r="A428" t="s">
        <v>3822</v>
      </c>
      <c r="B428" t="s">
        <v>2940</v>
      </c>
      <c r="C428" s="1">
        <v>35440409</v>
      </c>
      <c r="D428" s="1" t="s">
        <v>3715</v>
      </c>
      <c r="E428" s="1">
        <v>0</v>
      </c>
      <c r="F428" s="1" t="s">
        <v>3716</v>
      </c>
      <c r="G428" s="1">
        <v>192</v>
      </c>
      <c r="H428" s="1">
        <v>1322</v>
      </c>
      <c r="I428" s="1"/>
      <c r="J428" s="1">
        <v>13</v>
      </c>
      <c r="K428" s="1" t="s">
        <v>3717</v>
      </c>
      <c r="L428" s="1">
        <v>1</v>
      </c>
      <c r="M428" s="1" t="s">
        <v>459</v>
      </c>
      <c r="N428" s="1" t="s">
        <v>3718</v>
      </c>
      <c r="O428" s="1" t="s">
        <v>3719</v>
      </c>
      <c r="P428" s="1" t="s">
        <v>3720</v>
      </c>
      <c r="Q428" s="1" t="s">
        <v>3721</v>
      </c>
      <c r="R428" s="1" t="s">
        <v>3722</v>
      </c>
      <c r="S428" s="1">
        <v>2022</v>
      </c>
      <c r="T428" s="30">
        <v>44671</v>
      </c>
      <c r="U428" s="1"/>
      <c r="V428" s="1"/>
      <c r="W428" s="1" t="s">
        <v>3723</v>
      </c>
      <c r="Y428">
        <f t="shared" si="18"/>
        <v>192</v>
      </c>
      <c r="Z428">
        <f t="shared" si="19"/>
        <v>2</v>
      </c>
      <c r="AA428">
        <f t="shared" si="20"/>
        <v>0</v>
      </c>
    </row>
    <row r="429" spans="1:27" x14ac:dyDescent="0.3">
      <c r="A429" t="s">
        <v>3822</v>
      </c>
      <c r="B429" t="s">
        <v>2940</v>
      </c>
      <c r="C429" s="1">
        <v>35385337</v>
      </c>
      <c r="D429" s="1" t="s">
        <v>3724</v>
      </c>
      <c r="E429" s="1">
        <v>1</v>
      </c>
      <c r="F429" s="1" t="s">
        <v>23</v>
      </c>
      <c r="G429" s="1">
        <v>66588</v>
      </c>
      <c r="H429" s="1">
        <v>5000</v>
      </c>
      <c r="I429" s="1"/>
      <c r="J429" s="20">
        <v>27</v>
      </c>
      <c r="K429" s="1"/>
      <c r="L429" s="1">
        <v>1</v>
      </c>
      <c r="M429" s="1"/>
      <c r="N429" s="1" t="s">
        <v>3725</v>
      </c>
      <c r="O429" s="1" t="s">
        <v>3726</v>
      </c>
      <c r="P429" s="1" t="s">
        <v>3727</v>
      </c>
      <c r="Q429" s="1" t="s">
        <v>3728</v>
      </c>
      <c r="R429" s="1" t="s">
        <v>3729</v>
      </c>
      <c r="S429" s="1">
        <v>2022</v>
      </c>
      <c r="T429" s="30">
        <v>44657</v>
      </c>
      <c r="U429" s="1"/>
      <c r="V429" s="1"/>
      <c r="W429" s="1" t="s">
        <v>3730</v>
      </c>
      <c r="Y429">
        <f t="shared" si="18"/>
        <v>66588</v>
      </c>
      <c r="Z429">
        <f t="shared" si="19"/>
        <v>693</v>
      </c>
      <c r="AA429">
        <f t="shared" si="20"/>
        <v>1</v>
      </c>
    </row>
    <row r="430" spans="1:27" x14ac:dyDescent="0.3">
      <c r="A430" t="s">
        <v>3822</v>
      </c>
      <c r="B430" t="s">
        <v>2940</v>
      </c>
      <c r="C430" s="1">
        <v>35618095</v>
      </c>
      <c r="D430" s="1" t="s">
        <v>3731</v>
      </c>
      <c r="E430" s="1">
        <v>0</v>
      </c>
      <c r="F430" s="1" t="s">
        <v>532</v>
      </c>
      <c r="G430" s="1">
        <v>981</v>
      </c>
      <c r="H430" s="1">
        <v>1129</v>
      </c>
      <c r="I430" s="1">
        <v>795</v>
      </c>
      <c r="J430" s="20">
        <v>11</v>
      </c>
      <c r="K430" s="1" t="s">
        <v>3732</v>
      </c>
      <c r="L430" s="1">
        <v>1</v>
      </c>
      <c r="M430" s="1"/>
      <c r="N430" s="1" t="s">
        <v>3733</v>
      </c>
      <c r="O430" s="1" t="s">
        <v>3734</v>
      </c>
      <c r="P430" s="1" t="s">
        <v>3735</v>
      </c>
      <c r="Q430" s="1" t="s">
        <v>3736</v>
      </c>
      <c r="R430" s="1" t="s">
        <v>3737</v>
      </c>
      <c r="S430" s="1">
        <v>2022</v>
      </c>
      <c r="T430" s="30">
        <v>44707</v>
      </c>
      <c r="U430" s="1"/>
      <c r="V430" s="1"/>
      <c r="W430" s="1" t="s">
        <v>3738</v>
      </c>
      <c r="Y430">
        <f t="shared" si="18"/>
        <v>981</v>
      </c>
      <c r="Z430">
        <f t="shared" si="19"/>
        <v>10</v>
      </c>
      <c r="AA430">
        <f t="shared" si="20"/>
        <v>0</v>
      </c>
    </row>
    <row r="431" spans="1:27" x14ac:dyDescent="0.3">
      <c r="A431" t="s">
        <v>3822</v>
      </c>
      <c r="B431" t="s">
        <v>2940</v>
      </c>
      <c r="C431" s="29">
        <v>35470158</v>
      </c>
      <c r="D431" s="29" t="s">
        <v>3739</v>
      </c>
      <c r="E431" s="29">
        <v>0</v>
      </c>
      <c r="F431" s="29" t="s">
        <v>3740</v>
      </c>
      <c r="G431" s="24">
        <v>35559</v>
      </c>
      <c r="H431" s="29">
        <v>4789</v>
      </c>
      <c r="I431" s="31">
        <v>27</v>
      </c>
      <c r="J431" s="27"/>
      <c r="K431" s="29"/>
      <c r="L431" s="29">
        <v>1</v>
      </c>
      <c r="M431" s="29"/>
      <c r="N431" s="29" t="s">
        <v>3741</v>
      </c>
      <c r="O431" s="29" t="s">
        <v>3742</v>
      </c>
      <c r="P431" s="29" t="s">
        <v>3743</v>
      </c>
      <c r="Q431" s="29" t="s">
        <v>3744</v>
      </c>
      <c r="R431" s="29" t="s">
        <v>1237</v>
      </c>
      <c r="S431" s="29">
        <v>2022</v>
      </c>
      <c r="T431" s="32">
        <v>44677</v>
      </c>
      <c r="U431" s="29"/>
      <c r="V431" s="29"/>
      <c r="W431" s="29" t="s">
        <v>3745</v>
      </c>
      <c r="Y431">
        <f t="shared" si="18"/>
        <v>35559</v>
      </c>
      <c r="Z431">
        <f t="shared" si="19"/>
        <v>370</v>
      </c>
      <c r="AA431">
        <f t="shared" si="20"/>
        <v>0</v>
      </c>
    </row>
    <row r="432" spans="1:27" x14ac:dyDescent="0.3">
      <c r="A432" t="s">
        <v>3822</v>
      </c>
      <c r="B432" t="s">
        <v>2940</v>
      </c>
      <c r="C432" s="1">
        <v>35812291</v>
      </c>
      <c r="D432" s="1" t="s">
        <v>3746</v>
      </c>
      <c r="E432" s="1">
        <v>0</v>
      </c>
      <c r="F432" s="1" t="s">
        <v>3747</v>
      </c>
      <c r="G432" s="1">
        <v>72</v>
      </c>
      <c r="H432" s="1">
        <v>1305</v>
      </c>
      <c r="I432" s="1">
        <v>452</v>
      </c>
      <c r="J432" s="20">
        <v>109</v>
      </c>
      <c r="K432" s="1"/>
      <c r="L432" s="1">
        <v>1</v>
      </c>
      <c r="M432" s="1" t="s">
        <v>3748</v>
      </c>
      <c r="N432" s="1" t="s">
        <v>3749</v>
      </c>
      <c r="O432" s="1" t="s">
        <v>3750</v>
      </c>
      <c r="P432" s="1" t="s">
        <v>3751</v>
      </c>
      <c r="Q432" s="1" t="s">
        <v>3752</v>
      </c>
      <c r="R432" s="1" t="s">
        <v>3753</v>
      </c>
      <c r="S432" s="1">
        <v>2022</v>
      </c>
      <c r="T432" s="30">
        <v>44753</v>
      </c>
      <c r="U432" s="1" t="s">
        <v>3754</v>
      </c>
      <c r="V432" s="1"/>
      <c r="W432" s="1" t="s">
        <v>3755</v>
      </c>
      <c r="Y432">
        <f t="shared" si="18"/>
        <v>72</v>
      </c>
      <c r="Z432">
        <f t="shared" si="19"/>
        <v>0</v>
      </c>
      <c r="AA432">
        <f t="shared" si="20"/>
        <v>1</v>
      </c>
    </row>
    <row r="433" spans="1:27" x14ac:dyDescent="0.3">
      <c r="A433" t="s">
        <v>3822</v>
      </c>
      <c r="B433" t="s">
        <v>2940</v>
      </c>
      <c r="C433" s="1">
        <v>34962102</v>
      </c>
      <c r="D433" s="1" t="s">
        <v>3756</v>
      </c>
      <c r="E433" s="1">
        <v>0</v>
      </c>
      <c r="F433" s="1" t="s">
        <v>34</v>
      </c>
      <c r="G433" s="1">
        <v>120</v>
      </c>
      <c r="H433" s="1">
        <v>1305</v>
      </c>
      <c r="I433" s="1">
        <v>9</v>
      </c>
      <c r="J433" s="23">
        <v>5</v>
      </c>
      <c r="K433" s="1" t="s">
        <v>3757</v>
      </c>
      <c r="L433" s="1">
        <v>1</v>
      </c>
      <c r="M433" s="1"/>
      <c r="N433" s="1" t="s">
        <v>3758</v>
      </c>
      <c r="O433" s="1" t="s">
        <v>3759</v>
      </c>
      <c r="P433" s="1" t="s">
        <v>3760</v>
      </c>
      <c r="Q433" s="1" t="s">
        <v>3761</v>
      </c>
      <c r="R433" s="1" t="s">
        <v>3762</v>
      </c>
      <c r="S433" s="1">
        <v>2022</v>
      </c>
      <c r="T433" s="30">
        <v>44558</v>
      </c>
      <c r="U433" s="1" t="s">
        <v>3763</v>
      </c>
      <c r="V433" s="1"/>
      <c r="W433" s="1" t="s">
        <v>3764</v>
      </c>
      <c r="Y433">
        <f t="shared" si="18"/>
        <v>120</v>
      </c>
      <c r="Z433">
        <f t="shared" si="19"/>
        <v>1</v>
      </c>
      <c r="AA433">
        <f t="shared" si="20"/>
        <v>0</v>
      </c>
    </row>
    <row r="434" spans="1:27" x14ac:dyDescent="0.3">
      <c r="A434" t="s">
        <v>3822</v>
      </c>
      <c r="B434" t="s">
        <v>2940</v>
      </c>
      <c r="C434" s="1">
        <v>35773701</v>
      </c>
      <c r="D434" s="1" t="s">
        <v>3765</v>
      </c>
      <c r="E434" s="1">
        <v>0</v>
      </c>
      <c r="F434" s="1" t="s">
        <v>655</v>
      </c>
      <c r="G434" s="1">
        <v>435</v>
      </c>
      <c r="H434" s="1">
        <v>5000</v>
      </c>
      <c r="I434" s="1">
        <v>256</v>
      </c>
      <c r="J434" s="20">
        <v>101</v>
      </c>
      <c r="K434" s="1"/>
      <c r="L434" s="1">
        <v>1</v>
      </c>
      <c r="M434" s="1"/>
      <c r="N434" s="1" t="s">
        <v>3766</v>
      </c>
      <c r="O434" s="1" t="s">
        <v>3767</v>
      </c>
      <c r="P434" s="1" t="s">
        <v>3768</v>
      </c>
      <c r="Q434" s="1" t="s">
        <v>3769</v>
      </c>
      <c r="R434" s="1" t="s">
        <v>3770</v>
      </c>
      <c r="S434" s="1">
        <v>2022</v>
      </c>
      <c r="T434" s="30">
        <v>44742</v>
      </c>
      <c r="U434" s="1" t="s">
        <v>3771</v>
      </c>
      <c r="V434" s="1"/>
      <c r="W434" s="1" t="s">
        <v>3772</v>
      </c>
      <c r="Y434">
        <f t="shared" si="18"/>
        <v>435</v>
      </c>
      <c r="Z434">
        <f t="shared" si="19"/>
        <v>4</v>
      </c>
      <c r="AA434">
        <f t="shared" si="20"/>
        <v>1</v>
      </c>
    </row>
    <row r="435" spans="1:27" x14ac:dyDescent="0.3">
      <c r="A435" t="s">
        <v>3822</v>
      </c>
      <c r="B435" t="s">
        <v>2940</v>
      </c>
      <c r="C435" s="1">
        <v>35770801</v>
      </c>
      <c r="D435" s="1" t="s">
        <v>3773</v>
      </c>
      <c r="E435" s="1">
        <v>0</v>
      </c>
      <c r="F435" s="1" t="s">
        <v>71</v>
      </c>
      <c r="G435" s="1">
        <v>216</v>
      </c>
      <c r="H435" s="1">
        <v>1305</v>
      </c>
      <c r="I435" s="1">
        <v>63</v>
      </c>
      <c r="J435" s="20"/>
      <c r="K435" s="1"/>
      <c r="L435" s="1">
        <v>1</v>
      </c>
      <c r="M435" s="1"/>
      <c r="N435" s="1" t="s">
        <v>3774</v>
      </c>
      <c r="O435" s="1" t="s">
        <v>3775</v>
      </c>
      <c r="P435" s="1" t="s">
        <v>3776</v>
      </c>
      <c r="Q435" s="1" t="s">
        <v>3777</v>
      </c>
      <c r="R435" s="1" t="s">
        <v>3778</v>
      </c>
      <c r="S435" s="1">
        <v>2022</v>
      </c>
      <c r="T435" s="30">
        <v>44742</v>
      </c>
      <c r="U435" s="1"/>
      <c r="V435" s="1"/>
      <c r="W435" s="1" t="s">
        <v>3779</v>
      </c>
      <c r="Y435">
        <f t="shared" si="18"/>
        <v>216</v>
      </c>
      <c r="Z435">
        <f t="shared" si="19"/>
        <v>2</v>
      </c>
      <c r="AA435">
        <f t="shared" si="20"/>
        <v>0</v>
      </c>
    </row>
    <row r="436" spans="1:27" x14ac:dyDescent="0.3">
      <c r="A436" t="s">
        <v>3822</v>
      </c>
      <c r="B436" t="s">
        <v>2940</v>
      </c>
      <c r="C436" s="1">
        <v>35571963</v>
      </c>
      <c r="D436" s="1" t="s">
        <v>3780</v>
      </c>
      <c r="E436" s="1">
        <v>0</v>
      </c>
      <c r="F436" s="1" t="s">
        <v>3781</v>
      </c>
      <c r="G436" s="1">
        <v>277</v>
      </c>
      <c r="H436" s="1">
        <v>4006</v>
      </c>
      <c r="I436" s="1">
        <v>252</v>
      </c>
      <c r="J436" s="20">
        <v>21</v>
      </c>
      <c r="K436" s="1"/>
      <c r="L436" s="1">
        <v>1</v>
      </c>
      <c r="M436" s="1"/>
      <c r="N436" s="1" t="s">
        <v>3782</v>
      </c>
      <c r="O436" s="1" t="s">
        <v>3783</v>
      </c>
      <c r="P436" s="1" t="s">
        <v>3784</v>
      </c>
      <c r="Q436" s="1" t="s">
        <v>1691</v>
      </c>
      <c r="R436" s="1" t="s">
        <v>1869</v>
      </c>
      <c r="S436" s="1">
        <v>2022</v>
      </c>
      <c r="T436" s="30">
        <v>44697</v>
      </c>
      <c r="U436" s="1" t="s">
        <v>3785</v>
      </c>
      <c r="V436" s="1"/>
      <c r="W436" s="1" t="s">
        <v>3786</v>
      </c>
      <c r="Y436">
        <f t="shared" si="18"/>
        <v>277</v>
      </c>
      <c r="Z436">
        <f t="shared" si="19"/>
        <v>2</v>
      </c>
      <c r="AA436">
        <f t="shared" si="20"/>
        <v>1</v>
      </c>
    </row>
    <row r="437" spans="1:27" x14ac:dyDescent="0.3">
      <c r="A437" t="s">
        <v>3822</v>
      </c>
      <c r="B437" t="s">
        <v>2940</v>
      </c>
      <c r="C437" s="1">
        <v>35209739</v>
      </c>
      <c r="D437" s="1" t="s">
        <v>3787</v>
      </c>
      <c r="E437" s="1">
        <v>0</v>
      </c>
      <c r="F437" s="1" t="s">
        <v>3788</v>
      </c>
      <c r="G437" s="1">
        <v>26</v>
      </c>
      <c r="H437" s="1">
        <v>1305</v>
      </c>
      <c r="I437" s="1">
        <v>42</v>
      </c>
      <c r="J437" s="20"/>
      <c r="K437" s="1"/>
      <c r="L437" s="1">
        <v>1</v>
      </c>
      <c r="M437" s="1" t="s">
        <v>3789</v>
      </c>
      <c r="N437" s="1" t="s">
        <v>3790</v>
      </c>
      <c r="O437" s="1" t="s">
        <v>3791</v>
      </c>
      <c r="P437" s="1" t="s">
        <v>3792</v>
      </c>
      <c r="Q437" s="1" t="s">
        <v>3793</v>
      </c>
      <c r="R437" s="1" t="s">
        <v>3124</v>
      </c>
      <c r="S437" s="1">
        <v>2022</v>
      </c>
      <c r="T437" s="30">
        <v>44617</v>
      </c>
      <c r="U437" s="1"/>
      <c r="V437" s="1"/>
      <c r="W437" s="1" t="s">
        <v>3794</v>
      </c>
      <c r="Y437">
        <f t="shared" si="18"/>
        <v>26</v>
      </c>
      <c r="Z437">
        <f t="shared" si="19"/>
        <v>0</v>
      </c>
      <c r="AA437">
        <f t="shared" si="20"/>
        <v>0</v>
      </c>
    </row>
    <row r="438" spans="1:27" x14ac:dyDescent="0.3">
      <c r="A438" t="s">
        <v>3822</v>
      </c>
      <c r="B438" t="s">
        <v>2940</v>
      </c>
      <c r="C438" s="1">
        <v>35363860</v>
      </c>
      <c r="D438" s="1" t="s">
        <v>3795</v>
      </c>
      <c r="E438" s="1">
        <v>0</v>
      </c>
      <c r="F438" s="1" t="s">
        <v>3796</v>
      </c>
      <c r="G438" s="1">
        <v>596</v>
      </c>
      <c r="H438" s="1">
        <v>1305</v>
      </c>
      <c r="I438" s="1">
        <v>1</v>
      </c>
      <c r="J438" s="20">
        <v>1</v>
      </c>
      <c r="K438" s="1" t="s">
        <v>993</v>
      </c>
      <c r="L438" s="1">
        <v>1</v>
      </c>
      <c r="M438" s="1"/>
      <c r="N438" s="1" t="s">
        <v>3797</v>
      </c>
      <c r="O438" s="1" t="s">
        <v>3798</v>
      </c>
      <c r="P438" s="1" t="s">
        <v>3799</v>
      </c>
      <c r="Q438" s="1" t="s">
        <v>3800</v>
      </c>
      <c r="R438" s="1" t="s">
        <v>2565</v>
      </c>
      <c r="S438" s="1">
        <v>2022</v>
      </c>
      <c r="T438" s="30">
        <v>44652</v>
      </c>
      <c r="U438" s="1"/>
      <c r="V438" s="1"/>
      <c r="W438" s="1" t="s">
        <v>3801</v>
      </c>
      <c r="Y438">
        <f t="shared" si="18"/>
        <v>596</v>
      </c>
      <c r="Z438">
        <f t="shared" si="19"/>
        <v>6</v>
      </c>
      <c r="AA438">
        <f t="shared" si="20"/>
        <v>0</v>
      </c>
    </row>
    <row r="439" spans="1:27" x14ac:dyDescent="0.3">
      <c r="A439" t="s">
        <v>3822</v>
      </c>
      <c r="B439" t="s">
        <v>2940</v>
      </c>
      <c r="C439" s="1">
        <v>35189047</v>
      </c>
      <c r="D439" s="1" t="s">
        <v>3802</v>
      </c>
      <c r="E439" s="1">
        <v>0</v>
      </c>
      <c r="F439" s="1" t="s">
        <v>3803</v>
      </c>
      <c r="G439" s="1"/>
      <c r="H439" s="1">
        <v>1305</v>
      </c>
      <c r="I439" s="1"/>
      <c r="J439" s="20"/>
      <c r="K439" s="1"/>
      <c r="L439" s="1"/>
      <c r="M439" s="1"/>
      <c r="N439" s="1" t="s">
        <v>3804</v>
      </c>
      <c r="O439" s="1" t="s">
        <v>3805</v>
      </c>
      <c r="P439" s="1" t="s">
        <v>3806</v>
      </c>
      <c r="Q439" s="1" t="s">
        <v>3807</v>
      </c>
      <c r="R439" s="1" t="s">
        <v>914</v>
      </c>
      <c r="S439" s="1">
        <v>2022</v>
      </c>
      <c r="T439" s="30">
        <v>44613</v>
      </c>
      <c r="U439" s="1" t="s">
        <v>3808</v>
      </c>
      <c r="V439" s="1" t="s">
        <v>3809</v>
      </c>
      <c r="W439" s="1" t="s">
        <v>3810</v>
      </c>
      <c r="Y439">
        <f t="shared" si="18"/>
        <v>0</v>
      </c>
      <c r="Z439">
        <f t="shared" si="19"/>
        <v>0</v>
      </c>
      <c r="AA439">
        <f t="shared" si="20"/>
        <v>0</v>
      </c>
    </row>
    <row r="440" spans="1:27" x14ac:dyDescent="0.3">
      <c r="A440" t="s">
        <v>3822</v>
      </c>
      <c r="B440" t="s">
        <v>2940</v>
      </c>
      <c r="C440" s="1">
        <v>35417043</v>
      </c>
      <c r="D440" s="1" t="s">
        <v>3811</v>
      </c>
      <c r="E440" s="1">
        <v>0</v>
      </c>
      <c r="F440" s="1" t="s">
        <v>3812</v>
      </c>
      <c r="G440" s="1"/>
      <c r="H440" s="1">
        <v>1305</v>
      </c>
      <c r="I440" s="1">
        <v>2</v>
      </c>
      <c r="J440" s="20">
        <v>1</v>
      </c>
      <c r="K440" s="1" t="s">
        <v>3813</v>
      </c>
      <c r="L440" s="1"/>
      <c r="M440" s="1"/>
      <c r="N440" s="1" t="s">
        <v>3814</v>
      </c>
      <c r="O440" s="1" t="s">
        <v>3815</v>
      </c>
      <c r="P440" s="1" t="s">
        <v>3816</v>
      </c>
      <c r="Q440" s="1" t="s">
        <v>3817</v>
      </c>
      <c r="R440" s="1" t="s">
        <v>3818</v>
      </c>
      <c r="S440" s="1">
        <v>2022</v>
      </c>
      <c r="T440" s="30">
        <v>44664</v>
      </c>
      <c r="U440" s="1" t="s">
        <v>3819</v>
      </c>
      <c r="V440" s="1" t="s">
        <v>3820</v>
      </c>
      <c r="W440" s="1" t="s">
        <v>3821</v>
      </c>
      <c r="Y440">
        <f t="shared" si="18"/>
        <v>0</v>
      </c>
      <c r="Z440">
        <f t="shared" si="19"/>
        <v>0</v>
      </c>
      <c r="AA440">
        <f t="shared" si="20"/>
        <v>0</v>
      </c>
    </row>
    <row r="441" spans="1:27" x14ac:dyDescent="0.3">
      <c r="A441" t="s">
        <v>2867</v>
      </c>
      <c r="B441" t="s">
        <v>4038</v>
      </c>
      <c r="C441">
        <v>35148837</v>
      </c>
      <c r="D441" t="s">
        <v>3823</v>
      </c>
      <c r="E441">
        <v>0</v>
      </c>
      <c r="F441" t="s">
        <v>3824</v>
      </c>
      <c r="H441">
        <v>50</v>
      </c>
      <c r="K441" t="s">
        <v>3829</v>
      </c>
      <c r="L441">
        <v>5</v>
      </c>
      <c r="M441" t="s">
        <v>3830</v>
      </c>
      <c r="N441" t="s">
        <v>3831</v>
      </c>
      <c r="O441" t="s">
        <v>3832</v>
      </c>
      <c r="P441" t="s">
        <v>3833</v>
      </c>
      <c r="Q441" t="s">
        <v>3834</v>
      </c>
      <c r="R441" t="s">
        <v>3835</v>
      </c>
      <c r="S441">
        <v>2022</v>
      </c>
      <c r="T441" s="2">
        <v>44604</v>
      </c>
      <c r="U441" t="s">
        <v>3836</v>
      </c>
      <c r="W441" t="s">
        <v>3837</v>
      </c>
      <c r="Y441">
        <f t="shared" si="18"/>
        <v>0</v>
      </c>
      <c r="Z441">
        <f t="shared" si="19"/>
        <v>0</v>
      </c>
      <c r="AA441">
        <f t="shared" si="20"/>
        <v>0</v>
      </c>
    </row>
    <row r="442" spans="1:27" x14ac:dyDescent="0.3">
      <c r="A442" t="s">
        <v>2867</v>
      </c>
      <c r="B442" t="s">
        <v>4038</v>
      </c>
      <c r="C442">
        <v>34430249</v>
      </c>
      <c r="D442" t="s">
        <v>3871</v>
      </c>
      <c r="E442">
        <v>0</v>
      </c>
      <c r="F442" t="s">
        <v>3214</v>
      </c>
      <c r="M442" t="s">
        <v>3896</v>
      </c>
      <c r="N442" t="s">
        <v>3897</v>
      </c>
      <c r="O442" t="s">
        <v>3898</v>
      </c>
      <c r="P442" t="s">
        <v>3899</v>
      </c>
      <c r="Q442" t="s">
        <v>3900</v>
      </c>
      <c r="R442" t="s">
        <v>3901</v>
      </c>
      <c r="S442">
        <v>2021</v>
      </c>
      <c r="T442" s="2">
        <v>44433</v>
      </c>
      <c r="U442" t="s">
        <v>3902</v>
      </c>
      <c r="W442" t="s">
        <v>3903</v>
      </c>
      <c r="Y442">
        <f t="shared" si="18"/>
        <v>0</v>
      </c>
      <c r="Z442">
        <f t="shared" si="19"/>
        <v>0</v>
      </c>
      <c r="AA442">
        <f t="shared" si="20"/>
        <v>0</v>
      </c>
    </row>
    <row r="443" spans="1:27" x14ac:dyDescent="0.3">
      <c r="A443" t="s">
        <v>2867</v>
      </c>
      <c r="B443" t="s">
        <v>4038</v>
      </c>
      <c r="C443">
        <v>34957265</v>
      </c>
      <c r="D443" t="s">
        <v>3872</v>
      </c>
      <c r="E443">
        <v>0</v>
      </c>
      <c r="F443" t="s">
        <v>23</v>
      </c>
      <c r="G443">
        <v>20</v>
      </c>
      <c r="H443">
        <v>4</v>
      </c>
      <c r="J443">
        <v>2</v>
      </c>
      <c r="K443" t="s">
        <v>3904</v>
      </c>
      <c r="L443">
        <v>3</v>
      </c>
      <c r="M443" t="s">
        <v>3905</v>
      </c>
      <c r="N443" t="s">
        <v>3906</v>
      </c>
      <c r="O443" t="s">
        <v>3907</v>
      </c>
      <c r="P443" t="s">
        <v>3908</v>
      </c>
      <c r="Q443" t="s">
        <v>3909</v>
      </c>
      <c r="R443" t="s">
        <v>272</v>
      </c>
      <c r="S443">
        <v>2021</v>
      </c>
      <c r="T443" s="2">
        <v>44557</v>
      </c>
      <c r="U443" t="s">
        <v>3910</v>
      </c>
      <c r="W443" t="s">
        <v>3911</v>
      </c>
      <c r="Y443">
        <f t="shared" si="18"/>
        <v>60</v>
      </c>
      <c r="Z443">
        <f t="shared" si="19"/>
        <v>0</v>
      </c>
      <c r="AA443">
        <f t="shared" si="20"/>
        <v>1</v>
      </c>
    </row>
    <row r="444" spans="1:27" x14ac:dyDescent="0.3">
      <c r="A444" t="s">
        <v>2867</v>
      </c>
      <c r="B444" t="s">
        <v>4038</v>
      </c>
      <c r="C444">
        <v>34227874</v>
      </c>
      <c r="D444" t="s">
        <v>3873</v>
      </c>
      <c r="E444">
        <v>0</v>
      </c>
      <c r="F444" t="s">
        <v>3874</v>
      </c>
      <c r="G444">
        <v>93</v>
      </c>
      <c r="H444">
        <v>13</v>
      </c>
      <c r="K444" t="s">
        <v>3912</v>
      </c>
      <c r="L444">
        <v>1</v>
      </c>
      <c r="M444" t="s">
        <v>3913</v>
      </c>
      <c r="N444" t="s">
        <v>3914</v>
      </c>
      <c r="O444" t="s">
        <v>3915</v>
      </c>
      <c r="P444" t="s">
        <v>3916</v>
      </c>
      <c r="Q444" t="s">
        <v>3917</v>
      </c>
      <c r="R444" t="s">
        <v>3918</v>
      </c>
      <c r="S444">
        <v>2021</v>
      </c>
      <c r="T444" s="2">
        <v>44383</v>
      </c>
      <c r="W444" t="s">
        <v>3919</v>
      </c>
      <c r="Y444">
        <f t="shared" si="18"/>
        <v>93</v>
      </c>
      <c r="Z444">
        <f t="shared" si="19"/>
        <v>0</v>
      </c>
      <c r="AA444">
        <f t="shared" si="20"/>
        <v>1</v>
      </c>
    </row>
    <row r="445" spans="1:27" x14ac:dyDescent="0.3">
      <c r="A445" t="s">
        <v>2867</v>
      </c>
      <c r="B445" t="s">
        <v>4038</v>
      </c>
      <c r="C445">
        <v>34197952</v>
      </c>
      <c r="D445" t="s">
        <v>3875</v>
      </c>
      <c r="E445">
        <v>0</v>
      </c>
      <c r="F445" t="s">
        <v>153</v>
      </c>
      <c r="G445">
        <v>155</v>
      </c>
      <c r="H445">
        <v>70</v>
      </c>
      <c r="K445" t="s">
        <v>3920</v>
      </c>
      <c r="L445">
        <v>1</v>
      </c>
      <c r="M445" t="s">
        <v>3921</v>
      </c>
      <c r="N445" t="s">
        <v>3922</v>
      </c>
      <c r="O445" t="s">
        <v>3923</v>
      </c>
      <c r="P445" t="s">
        <v>3924</v>
      </c>
      <c r="Q445" t="s">
        <v>3925</v>
      </c>
      <c r="R445" t="s">
        <v>3926</v>
      </c>
      <c r="S445">
        <v>2021</v>
      </c>
      <c r="T445" s="2">
        <v>44378</v>
      </c>
      <c r="W445" t="s">
        <v>3927</v>
      </c>
      <c r="Y445">
        <f t="shared" si="18"/>
        <v>155</v>
      </c>
      <c r="Z445">
        <f t="shared" si="19"/>
        <v>1</v>
      </c>
      <c r="AA445">
        <f t="shared" si="20"/>
        <v>1</v>
      </c>
    </row>
    <row r="446" spans="1:27" x14ac:dyDescent="0.3">
      <c r="A446" t="s">
        <v>2867</v>
      </c>
      <c r="B446" t="s">
        <v>4038</v>
      </c>
      <c r="C446">
        <v>34861167</v>
      </c>
      <c r="D446" t="s">
        <v>3876</v>
      </c>
      <c r="E446">
        <v>1</v>
      </c>
      <c r="F446" t="s">
        <v>112</v>
      </c>
      <c r="K446" t="s">
        <v>3928</v>
      </c>
      <c r="L446">
        <v>2</v>
      </c>
      <c r="M446" t="s">
        <v>3929</v>
      </c>
      <c r="O446" t="s">
        <v>3930</v>
      </c>
      <c r="P446" t="s">
        <v>3931</v>
      </c>
      <c r="Q446" t="s">
        <v>3932</v>
      </c>
      <c r="R446" t="s">
        <v>3933</v>
      </c>
      <c r="S446">
        <v>2021</v>
      </c>
      <c r="T446" s="2">
        <v>44533</v>
      </c>
      <c r="U446" t="s">
        <v>3934</v>
      </c>
      <c r="W446" t="s">
        <v>3935</v>
      </c>
      <c r="Y446">
        <f t="shared" si="18"/>
        <v>0</v>
      </c>
      <c r="Z446">
        <f t="shared" si="19"/>
        <v>0</v>
      </c>
      <c r="AA446">
        <f t="shared" si="20"/>
        <v>0</v>
      </c>
    </row>
    <row r="447" spans="1:27" x14ac:dyDescent="0.3">
      <c r="A447" t="s">
        <v>2867</v>
      </c>
      <c r="B447" t="s">
        <v>4038</v>
      </c>
      <c r="C447">
        <v>34605900</v>
      </c>
      <c r="D447" t="s">
        <v>3877</v>
      </c>
      <c r="E447">
        <v>0</v>
      </c>
      <c r="F447" t="s">
        <v>112</v>
      </c>
      <c r="G447">
        <v>74</v>
      </c>
      <c r="H447">
        <v>1</v>
      </c>
      <c r="J447">
        <v>1</v>
      </c>
      <c r="K447" t="s">
        <v>3936</v>
      </c>
      <c r="L447">
        <v>1</v>
      </c>
      <c r="M447" t="s">
        <v>3937</v>
      </c>
      <c r="N447" t="s">
        <v>3938</v>
      </c>
      <c r="O447" t="s">
        <v>3939</v>
      </c>
      <c r="P447" t="s">
        <v>3940</v>
      </c>
      <c r="Q447" t="s">
        <v>3941</v>
      </c>
      <c r="R447" t="s">
        <v>519</v>
      </c>
      <c r="S447">
        <v>2021</v>
      </c>
      <c r="T447" s="2">
        <v>44473</v>
      </c>
      <c r="U447" t="s">
        <v>3942</v>
      </c>
      <c r="W447" t="s">
        <v>3943</v>
      </c>
      <c r="Y447">
        <f t="shared" si="18"/>
        <v>74</v>
      </c>
      <c r="Z447">
        <f t="shared" si="19"/>
        <v>0</v>
      </c>
      <c r="AA447">
        <f t="shared" si="20"/>
        <v>1</v>
      </c>
    </row>
    <row r="448" spans="1:27" x14ac:dyDescent="0.3">
      <c r="A448" t="s">
        <v>2867</v>
      </c>
      <c r="B448" t="s">
        <v>4038</v>
      </c>
      <c r="C448">
        <v>34909787</v>
      </c>
      <c r="D448" t="s">
        <v>3828</v>
      </c>
      <c r="E448">
        <v>1</v>
      </c>
      <c r="F448" t="s">
        <v>112</v>
      </c>
      <c r="G448">
        <v>171</v>
      </c>
      <c r="H448">
        <v>2</v>
      </c>
      <c r="J448">
        <v>2</v>
      </c>
      <c r="K448" t="s">
        <v>3944</v>
      </c>
      <c r="L448">
        <v>2</v>
      </c>
      <c r="M448" t="s">
        <v>3945</v>
      </c>
      <c r="N448" t="s">
        <v>3946</v>
      </c>
      <c r="O448" t="s">
        <v>3947</v>
      </c>
      <c r="P448" t="s">
        <v>3948</v>
      </c>
      <c r="Q448" t="s">
        <v>3867</v>
      </c>
      <c r="R448" t="s">
        <v>3949</v>
      </c>
      <c r="S448">
        <v>2021</v>
      </c>
      <c r="T448" s="2">
        <v>44545</v>
      </c>
      <c r="U448" t="s">
        <v>3950</v>
      </c>
      <c r="W448" t="s">
        <v>3951</v>
      </c>
      <c r="Y448">
        <f t="shared" si="18"/>
        <v>342</v>
      </c>
      <c r="Z448">
        <f t="shared" si="19"/>
        <v>3</v>
      </c>
      <c r="AA448">
        <f t="shared" si="20"/>
        <v>1</v>
      </c>
    </row>
    <row r="449" spans="1:27" x14ac:dyDescent="0.3">
      <c r="A449" t="s">
        <v>2867</v>
      </c>
      <c r="B449" t="s">
        <v>4038</v>
      </c>
      <c r="C449">
        <v>34419254</v>
      </c>
      <c r="D449" t="s">
        <v>3878</v>
      </c>
      <c r="E449">
        <v>0</v>
      </c>
      <c r="F449" t="s">
        <v>3879</v>
      </c>
      <c r="G449">
        <v>141</v>
      </c>
      <c r="H449">
        <v>1</v>
      </c>
      <c r="J449">
        <v>1</v>
      </c>
      <c r="K449" t="s">
        <v>133</v>
      </c>
      <c r="L449">
        <v>1</v>
      </c>
      <c r="M449" t="s">
        <v>3952</v>
      </c>
      <c r="N449" t="s">
        <v>3953</v>
      </c>
      <c r="O449" t="s">
        <v>3954</v>
      </c>
      <c r="P449" t="s">
        <v>3955</v>
      </c>
      <c r="Q449" t="s">
        <v>3956</v>
      </c>
      <c r="R449" t="s">
        <v>3957</v>
      </c>
      <c r="S449">
        <v>2021</v>
      </c>
      <c r="T449" s="2">
        <v>44430</v>
      </c>
      <c r="W449" t="s">
        <v>3958</v>
      </c>
      <c r="Y449">
        <f t="shared" si="18"/>
        <v>141</v>
      </c>
      <c r="Z449">
        <f t="shared" si="19"/>
        <v>1</v>
      </c>
      <c r="AA449">
        <f t="shared" si="20"/>
        <v>0</v>
      </c>
    </row>
    <row r="450" spans="1:27" x14ac:dyDescent="0.3">
      <c r="A450" t="s">
        <v>2867</v>
      </c>
      <c r="B450" t="s">
        <v>4038</v>
      </c>
      <c r="C450" s="16">
        <v>34326436</v>
      </c>
      <c r="D450" s="16" t="s">
        <v>3880</v>
      </c>
      <c r="E450" s="16">
        <v>0</v>
      </c>
      <c r="F450" s="16" t="s">
        <v>3881</v>
      </c>
      <c r="G450" s="16"/>
      <c r="H450" s="16"/>
      <c r="J450" s="16"/>
      <c r="K450" s="16"/>
      <c r="L450" s="16"/>
      <c r="M450" s="16" t="s">
        <v>3959</v>
      </c>
      <c r="N450" s="16" t="s">
        <v>3960</v>
      </c>
      <c r="O450" s="16" t="s">
        <v>3961</v>
      </c>
      <c r="P450" s="16" t="s">
        <v>3962</v>
      </c>
      <c r="Q450" s="16" t="s">
        <v>3963</v>
      </c>
      <c r="R450" s="16" t="s">
        <v>246</v>
      </c>
      <c r="S450" s="16">
        <v>2021</v>
      </c>
      <c r="T450" s="18">
        <v>44407</v>
      </c>
      <c r="U450" s="16" t="s">
        <v>3964</v>
      </c>
      <c r="V450" s="16"/>
      <c r="W450" s="16" t="s">
        <v>3965</v>
      </c>
      <c r="Y450">
        <f t="shared" si="18"/>
        <v>0</v>
      </c>
      <c r="Z450">
        <f t="shared" si="19"/>
        <v>0</v>
      </c>
      <c r="AA450">
        <f t="shared" si="20"/>
        <v>0</v>
      </c>
    </row>
    <row r="451" spans="1:27" x14ac:dyDescent="0.3">
      <c r="A451" t="s">
        <v>2867</v>
      </c>
      <c r="B451" t="s">
        <v>4038</v>
      </c>
      <c r="C451">
        <v>34403936</v>
      </c>
      <c r="D451" t="s">
        <v>3882</v>
      </c>
      <c r="E451">
        <v>0</v>
      </c>
      <c r="F451" t="s">
        <v>143</v>
      </c>
      <c r="G451">
        <v>405</v>
      </c>
      <c r="H451">
        <v>1</v>
      </c>
      <c r="J451">
        <v>1</v>
      </c>
      <c r="K451" t="s">
        <v>835</v>
      </c>
      <c r="L451">
        <v>1</v>
      </c>
      <c r="N451" t="s">
        <v>3966</v>
      </c>
      <c r="O451" t="s">
        <v>3967</v>
      </c>
      <c r="P451" t="s">
        <v>3968</v>
      </c>
      <c r="Q451" t="s">
        <v>3969</v>
      </c>
      <c r="R451" t="s">
        <v>3970</v>
      </c>
      <c r="S451">
        <v>2021</v>
      </c>
      <c r="T451" s="2">
        <v>44425</v>
      </c>
      <c r="W451" t="s">
        <v>3971</v>
      </c>
      <c r="Y451">
        <f t="shared" ref="Y451:Y514" si="21">IFERROR(L451*G451,"N/A")</f>
        <v>405</v>
      </c>
      <c r="Z451">
        <f t="shared" ref="Z451:Z514" si="22">IFERROR(ROUNDDOWN(Y451/96,0),"")</f>
        <v>4</v>
      </c>
      <c r="AA451">
        <f t="shared" ref="AA451:AA514" si="23">IFERROR(ROUNDDOWN((MOD(Y451,96)/48),0),"")</f>
        <v>0</v>
      </c>
    </row>
    <row r="452" spans="1:27" x14ac:dyDescent="0.3">
      <c r="A452" t="s">
        <v>2867</v>
      </c>
      <c r="B452" t="s">
        <v>4038</v>
      </c>
      <c r="C452" s="16">
        <v>34743610</v>
      </c>
      <c r="D452" s="16" t="s">
        <v>3883</v>
      </c>
      <c r="E452" s="16">
        <v>0</v>
      </c>
      <c r="F452" s="16" t="s">
        <v>3881</v>
      </c>
      <c r="G452" s="16"/>
      <c r="H452" s="16"/>
      <c r="J452" s="16"/>
      <c r="K452" s="16"/>
      <c r="L452" s="16"/>
      <c r="M452" s="16"/>
      <c r="N452" s="16" t="s">
        <v>3972</v>
      </c>
      <c r="O452" s="16" t="s">
        <v>3973</v>
      </c>
      <c r="P452" s="16" t="s">
        <v>3974</v>
      </c>
      <c r="Q452" s="16" t="s">
        <v>3975</v>
      </c>
      <c r="R452" s="16" t="s">
        <v>3976</v>
      </c>
      <c r="S452" s="16">
        <v>2021</v>
      </c>
      <c r="T452" s="18">
        <v>44508</v>
      </c>
      <c r="U452" s="16"/>
      <c r="V452" s="16"/>
      <c r="W452" s="16" t="s">
        <v>3977</v>
      </c>
      <c r="Y452">
        <f t="shared" si="21"/>
        <v>0</v>
      </c>
      <c r="Z452">
        <f t="shared" si="22"/>
        <v>0</v>
      </c>
      <c r="AA452">
        <f t="shared" si="23"/>
        <v>0</v>
      </c>
    </row>
    <row r="453" spans="1:27" x14ac:dyDescent="0.3">
      <c r="A453" t="s">
        <v>2867</v>
      </c>
      <c r="B453" t="s">
        <v>4038</v>
      </c>
      <c r="C453">
        <v>34830070</v>
      </c>
      <c r="D453" t="s">
        <v>3884</v>
      </c>
      <c r="E453">
        <v>0</v>
      </c>
      <c r="F453" t="s">
        <v>112</v>
      </c>
      <c r="H453">
        <v>19</v>
      </c>
      <c r="J453">
        <v>1</v>
      </c>
      <c r="K453" t="s">
        <v>3978</v>
      </c>
      <c r="N453" t="s">
        <v>3979</v>
      </c>
      <c r="O453" t="s">
        <v>3980</v>
      </c>
      <c r="P453" t="s">
        <v>3981</v>
      </c>
      <c r="Q453" t="s">
        <v>3982</v>
      </c>
      <c r="R453" t="s">
        <v>168</v>
      </c>
      <c r="S453">
        <v>2021</v>
      </c>
      <c r="T453" s="2">
        <v>44527</v>
      </c>
      <c r="U453" t="s">
        <v>3983</v>
      </c>
      <c r="W453" t="s">
        <v>3984</v>
      </c>
      <c r="Y453">
        <f t="shared" si="21"/>
        <v>0</v>
      </c>
      <c r="Z453">
        <f t="shared" si="22"/>
        <v>0</v>
      </c>
      <c r="AA453">
        <f t="shared" si="23"/>
        <v>0</v>
      </c>
    </row>
    <row r="454" spans="1:27" x14ac:dyDescent="0.3">
      <c r="A454" t="s">
        <v>2867</v>
      </c>
      <c r="B454" t="s">
        <v>4038</v>
      </c>
      <c r="C454">
        <v>34883405</v>
      </c>
      <c r="D454" t="s">
        <v>3885</v>
      </c>
      <c r="E454">
        <v>1</v>
      </c>
      <c r="F454" t="s">
        <v>3886</v>
      </c>
      <c r="G454">
        <v>125</v>
      </c>
      <c r="H454">
        <v>8</v>
      </c>
      <c r="J454">
        <v>8</v>
      </c>
      <c r="K454" t="s">
        <v>3985</v>
      </c>
      <c r="L454">
        <v>1</v>
      </c>
      <c r="M454" t="s">
        <v>3986</v>
      </c>
      <c r="N454" t="s">
        <v>3987</v>
      </c>
      <c r="O454" t="s">
        <v>3988</v>
      </c>
      <c r="P454" t="s">
        <v>3989</v>
      </c>
      <c r="Q454" t="s">
        <v>3990</v>
      </c>
      <c r="R454" t="s">
        <v>3991</v>
      </c>
      <c r="S454">
        <v>2022</v>
      </c>
      <c r="T454" s="2">
        <v>44539</v>
      </c>
      <c r="U454" t="s">
        <v>3992</v>
      </c>
      <c r="W454" t="s">
        <v>3993</v>
      </c>
      <c r="Y454">
        <f t="shared" si="21"/>
        <v>125</v>
      </c>
      <c r="Z454">
        <f t="shared" si="22"/>
        <v>1</v>
      </c>
      <c r="AA454">
        <f t="shared" si="23"/>
        <v>0</v>
      </c>
    </row>
    <row r="455" spans="1:27" x14ac:dyDescent="0.3">
      <c r="A455" t="s">
        <v>2867</v>
      </c>
      <c r="B455" t="s">
        <v>4038</v>
      </c>
      <c r="C455" s="16">
        <v>34873589</v>
      </c>
      <c r="D455" s="16" t="s">
        <v>3887</v>
      </c>
      <c r="E455" s="16">
        <v>1</v>
      </c>
      <c r="F455" s="16" t="s">
        <v>112</v>
      </c>
      <c r="G455" s="16">
        <v>105</v>
      </c>
      <c r="H455" s="16">
        <v>44</v>
      </c>
      <c r="J455" s="16">
        <v>1</v>
      </c>
      <c r="K455" s="16" t="s">
        <v>3994</v>
      </c>
      <c r="L455" s="16">
        <v>5</v>
      </c>
      <c r="M455" s="16" t="s">
        <v>3995</v>
      </c>
      <c r="N455" s="16" t="s">
        <v>3996</v>
      </c>
      <c r="O455" s="16" t="s">
        <v>3997</v>
      </c>
      <c r="P455" s="16" t="s">
        <v>3998</v>
      </c>
      <c r="Q455" s="16" t="s">
        <v>3999</v>
      </c>
      <c r="R455" s="16" t="s">
        <v>3358</v>
      </c>
      <c r="S455" s="16">
        <v>2021</v>
      </c>
      <c r="T455" s="18">
        <v>44537</v>
      </c>
      <c r="U455" s="16" t="s">
        <v>4000</v>
      </c>
      <c r="V455" s="16"/>
      <c r="W455" s="16" t="s">
        <v>4001</v>
      </c>
      <c r="Y455">
        <f t="shared" si="21"/>
        <v>525</v>
      </c>
      <c r="Z455">
        <f t="shared" si="22"/>
        <v>5</v>
      </c>
      <c r="AA455">
        <f t="shared" si="23"/>
        <v>0</v>
      </c>
    </row>
    <row r="456" spans="1:27" x14ac:dyDescent="0.3">
      <c r="A456" t="s">
        <v>2867</v>
      </c>
      <c r="B456" t="s">
        <v>4038</v>
      </c>
      <c r="C456">
        <v>34643650</v>
      </c>
      <c r="D456" t="s">
        <v>3888</v>
      </c>
      <c r="E456">
        <v>1</v>
      </c>
      <c r="F456" t="s">
        <v>3889</v>
      </c>
      <c r="G456">
        <v>216</v>
      </c>
      <c r="H456">
        <v>8</v>
      </c>
      <c r="K456" t="s">
        <v>4002</v>
      </c>
      <c r="L456">
        <v>1</v>
      </c>
      <c r="N456" t="s">
        <v>4003</v>
      </c>
      <c r="O456" t="s">
        <v>4004</v>
      </c>
      <c r="P456" t="s">
        <v>4005</v>
      </c>
      <c r="Q456" t="s">
        <v>4006</v>
      </c>
      <c r="R456" t="s">
        <v>4007</v>
      </c>
      <c r="S456">
        <v>2021</v>
      </c>
      <c r="T456" s="2">
        <v>44482</v>
      </c>
      <c r="U456" t="s">
        <v>4008</v>
      </c>
      <c r="W456" t="s">
        <v>4009</v>
      </c>
      <c r="Y456">
        <f t="shared" si="21"/>
        <v>216</v>
      </c>
      <c r="Z456">
        <f t="shared" si="22"/>
        <v>2</v>
      </c>
      <c r="AA456">
        <f t="shared" si="23"/>
        <v>0</v>
      </c>
    </row>
    <row r="457" spans="1:27" x14ac:dyDescent="0.3">
      <c r="A457" t="s">
        <v>2867</v>
      </c>
      <c r="B457" t="s">
        <v>4038</v>
      </c>
      <c r="C457">
        <v>35170269</v>
      </c>
      <c r="D457" t="s">
        <v>2970</v>
      </c>
      <c r="E457">
        <v>1</v>
      </c>
      <c r="F457" t="s">
        <v>286</v>
      </c>
      <c r="G457">
        <v>105</v>
      </c>
      <c r="H457">
        <v>1</v>
      </c>
      <c r="J457">
        <v>1</v>
      </c>
      <c r="K457" t="s">
        <v>3838</v>
      </c>
      <c r="L457">
        <v>1</v>
      </c>
      <c r="M457" t="s">
        <v>3839</v>
      </c>
      <c r="N457" t="s">
        <v>3840</v>
      </c>
      <c r="O457" t="s">
        <v>2975</v>
      </c>
      <c r="P457" t="s">
        <v>2976</v>
      </c>
      <c r="Q457" t="s">
        <v>2977</v>
      </c>
      <c r="R457" t="s">
        <v>187</v>
      </c>
      <c r="S457">
        <v>2022</v>
      </c>
      <c r="T457" s="2">
        <v>44608</v>
      </c>
      <c r="W457" t="s">
        <v>2978</v>
      </c>
      <c r="Y457">
        <f t="shared" si="21"/>
        <v>105</v>
      </c>
      <c r="Z457">
        <f t="shared" si="22"/>
        <v>1</v>
      </c>
      <c r="AA457">
        <f t="shared" si="23"/>
        <v>0</v>
      </c>
    </row>
    <row r="458" spans="1:27" x14ac:dyDescent="0.3">
      <c r="A458" t="s">
        <v>2867</v>
      </c>
      <c r="B458" t="s">
        <v>4038</v>
      </c>
      <c r="C458">
        <v>35196794</v>
      </c>
      <c r="D458" t="s">
        <v>3825</v>
      </c>
      <c r="E458">
        <v>0</v>
      </c>
      <c r="F458" t="s">
        <v>112</v>
      </c>
      <c r="G458">
        <v>1119</v>
      </c>
      <c r="H458">
        <v>1</v>
      </c>
      <c r="J458">
        <v>1</v>
      </c>
      <c r="K458" t="s">
        <v>3838</v>
      </c>
      <c r="L458">
        <v>1</v>
      </c>
      <c r="M458" t="s">
        <v>3841</v>
      </c>
      <c r="O458" t="s">
        <v>3842</v>
      </c>
      <c r="P458" t="s">
        <v>3843</v>
      </c>
      <c r="Q458" t="s">
        <v>3844</v>
      </c>
      <c r="R458" t="s">
        <v>3845</v>
      </c>
      <c r="S458">
        <v>2022</v>
      </c>
      <c r="T458" s="2">
        <v>44616</v>
      </c>
      <c r="U458" t="s">
        <v>3846</v>
      </c>
      <c r="W458" t="s">
        <v>3847</v>
      </c>
      <c r="Y458">
        <f t="shared" si="21"/>
        <v>1119</v>
      </c>
      <c r="Z458">
        <f t="shared" si="22"/>
        <v>11</v>
      </c>
      <c r="AA458">
        <f t="shared" si="23"/>
        <v>1</v>
      </c>
    </row>
    <row r="459" spans="1:27" x14ac:dyDescent="0.3">
      <c r="A459" t="s">
        <v>2867</v>
      </c>
      <c r="B459" t="s">
        <v>4038</v>
      </c>
      <c r="C459">
        <v>34809489</v>
      </c>
      <c r="D459" t="s">
        <v>3890</v>
      </c>
      <c r="E459">
        <v>0</v>
      </c>
      <c r="F459" t="s">
        <v>3214</v>
      </c>
      <c r="O459" t="s">
        <v>4010</v>
      </c>
      <c r="P459" t="s">
        <v>4011</v>
      </c>
      <c r="Q459" t="s">
        <v>2618</v>
      </c>
      <c r="R459" t="s">
        <v>3976</v>
      </c>
      <c r="S459">
        <v>2022</v>
      </c>
      <c r="T459" s="2">
        <v>44523</v>
      </c>
      <c r="W459" t="s">
        <v>4012</v>
      </c>
      <c r="Y459">
        <f t="shared" si="21"/>
        <v>0</v>
      </c>
      <c r="Z459">
        <f t="shared" si="22"/>
        <v>0</v>
      </c>
      <c r="AA459">
        <f t="shared" si="23"/>
        <v>0</v>
      </c>
    </row>
    <row r="460" spans="1:27" x14ac:dyDescent="0.3">
      <c r="A460" t="s">
        <v>2867</v>
      </c>
      <c r="B460" t="s">
        <v>4038</v>
      </c>
      <c r="C460">
        <v>34921052</v>
      </c>
      <c r="D460" t="s">
        <v>3891</v>
      </c>
      <c r="E460">
        <v>0</v>
      </c>
      <c r="F460" t="s">
        <v>153</v>
      </c>
      <c r="G460">
        <v>262</v>
      </c>
      <c r="H460">
        <v>30</v>
      </c>
      <c r="J460">
        <v>4</v>
      </c>
      <c r="K460" t="s">
        <v>4013</v>
      </c>
      <c r="L460">
        <v>1</v>
      </c>
      <c r="M460" t="s">
        <v>4014</v>
      </c>
      <c r="N460" t="s">
        <v>4015</v>
      </c>
      <c r="O460" t="s">
        <v>4016</v>
      </c>
      <c r="P460" t="s">
        <v>4017</v>
      </c>
      <c r="Q460" t="s">
        <v>4018</v>
      </c>
      <c r="R460" t="s">
        <v>4019</v>
      </c>
      <c r="S460">
        <v>2022</v>
      </c>
      <c r="T460" s="2">
        <v>44548</v>
      </c>
      <c r="W460" t="s">
        <v>4020</v>
      </c>
      <c r="Y460">
        <f t="shared" si="21"/>
        <v>262</v>
      </c>
      <c r="Z460">
        <f t="shared" si="22"/>
        <v>2</v>
      </c>
      <c r="AA460">
        <f t="shared" si="23"/>
        <v>1</v>
      </c>
    </row>
    <row r="461" spans="1:27" x14ac:dyDescent="0.3">
      <c r="A461" t="s">
        <v>2867</v>
      </c>
      <c r="B461" t="s">
        <v>4038</v>
      </c>
      <c r="C461">
        <v>34773730</v>
      </c>
      <c r="D461" t="s">
        <v>3892</v>
      </c>
      <c r="E461">
        <v>0</v>
      </c>
      <c r="F461" t="s">
        <v>3893</v>
      </c>
      <c r="H461">
        <v>3</v>
      </c>
      <c r="K461" t="s">
        <v>4021</v>
      </c>
      <c r="M461" t="s">
        <v>4022</v>
      </c>
      <c r="O461" t="s">
        <v>4023</v>
      </c>
      <c r="P461" t="s">
        <v>4024</v>
      </c>
      <c r="Q461" t="s">
        <v>4025</v>
      </c>
      <c r="R461" t="s">
        <v>187</v>
      </c>
      <c r="S461">
        <v>2021</v>
      </c>
      <c r="T461" s="2">
        <v>44513</v>
      </c>
      <c r="W461" t="s">
        <v>4026</v>
      </c>
      <c r="Y461">
        <f t="shared" si="21"/>
        <v>0</v>
      </c>
      <c r="Z461">
        <f t="shared" si="22"/>
        <v>0</v>
      </c>
      <c r="AA461">
        <f t="shared" si="23"/>
        <v>0</v>
      </c>
    </row>
    <row r="462" spans="1:27" x14ac:dyDescent="0.3">
      <c r="A462" t="s">
        <v>2867</v>
      </c>
      <c r="B462" t="s">
        <v>4038</v>
      </c>
      <c r="C462">
        <v>34950863</v>
      </c>
      <c r="D462" t="s">
        <v>3894</v>
      </c>
      <c r="E462">
        <v>0</v>
      </c>
      <c r="F462" t="s">
        <v>3824</v>
      </c>
      <c r="G462">
        <v>53</v>
      </c>
      <c r="H462">
        <v>41</v>
      </c>
      <c r="J462">
        <v>2</v>
      </c>
      <c r="K462" t="s">
        <v>4027</v>
      </c>
      <c r="L462">
        <v>2</v>
      </c>
      <c r="M462" t="s">
        <v>4028</v>
      </c>
      <c r="N462" t="s">
        <v>4029</v>
      </c>
      <c r="O462" t="s">
        <v>4030</v>
      </c>
      <c r="P462" t="s">
        <v>4031</v>
      </c>
      <c r="Q462" t="s">
        <v>4032</v>
      </c>
      <c r="R462" t="s">
        <v>822</v>
      </c>
      <c r="S462">
        <v>2021</v>
      </c>
      <c r="T462" s="2">
        <v>44554</v>
      </c>
      <c r="U462" t="s">
        <v>4033</v>
      </c>
      <c r="W462" t="s">
        <v>4034</v>
      </c>
      <c r="Y462">
        <f t="shared" si="21"/>
        <v>106</v>
      </c>
      <c r="Z462">
        <f t="shared" si="22"/>
        <v>1</v>
      </c>
      <c r="AA462">
        <f t="shared" si="23"/>
        <v>0</v>
      </c>
    </row>
    <row r="463" spans="1:27" x14ac:dyDescent="0.3">
      <c r="A463" t="s">
        <v>2867</v>
      </c>
      <c r="B463" t="s">
        <v>4038</v>
      </c>
      <c r="C463">
        <v>35401521</v>
      </c>
      <c r="D463" t="s">
        <v>3826</v>
      </c>
      <c r="E463">
        <v>0</v>
      </c>
      <c r="F463" t="s">
        <v>112</v>
      </c>
      <c r="G463">
        <v>895</v>
      </c>
      <c r="H463">
        <v>8</v>
      </c>
      <c r="J463">
        <v>8</v>
      </c>
      <c r="K463" t="s">
        <v>3848</v>
      </c>
      <c r="L463">
        <v>1</v>
      </c>
      <c r="M463" t="s">
        <v>3849</v>
      </c>
      <c r="N463" t="s">
        <v>3850</v>
      </c>
      <c r="O463" t="s">
        <v>3851</v>
      </c>
      <c r="P463" t="s">
        <v>3852</v>
      </c>
      <c r="Q463" t="s">
        <v>3853</v>
      </c>
      <c r="R463" t="s">
        <v>99</v>
      </c>
      <c r="S463">
        <v>2022</v>
      </c>
      <c r="T463" s="2">
        <v>44662</v>
      </c>
      <c r="U463" t="s">
        <v>3854</v>
      </c>
      <c r="W463" t="s">
        <v>3855</v>
      </c>
      <c r="Y463">
        <f t="shared" si="21"/>
        <v>895</v>
      </c>
      <c r="Z463">
        <f t="shared" si="22"/>
        <v>9</v>
      </c>
      <c r="AA463">
        <f t="shared" si="23"/>
        <v>0</v>
      </c>
    </row>
    <row r="464" spans="1:27" x14ac:dyDescent="0.3">
      <c r="A464" t="s">
        <v>2867</v>
      </c>
      <c r="B464" t="s">
        <v>4038</v>
      </c>
      <c r="C464">
        <v>35129839</v>
      </c>
      <c r="D464" t="s">
        <v>3827</v>
      </c>
      <c r="E464">
        <v>0</v>
      </c>
      <c r="F464" t="s">
        <v>112</v>
      </c>
      <c r="G464">
        <v>22</v>
      </c>
      <c r="H464">
        <v>8</v>
      </c>
      <c r="J464">
        <v>8</v>
      </c>
      <c r="K464" t="s">
        <v>3856</v>
      </c>
      <c r="L464">
        <v>1</v>
      </c>
      <c r="M464" t="s">
        <v>3857</v>
      </c>
      <c r="N464" t="s">
        <v>3858</v>
      </c>
      <c r="O464" t="s">
        <v>3859</v>
      </c>
      <c r="P464" t="s">
        <v>3860</v>
      </c>
      <c r="Q464" t="s">
        <v>3861</v>
      </c>
      <c r="R464" t="s">
        <v>2684</v>
      </c>
      <c r="S464">
        <v>2022</v>
      </c>
      <c r="T464" s="2">
        <v>44599</v>
      </c>
      <c r="W464" t="s">
        <v>3862</v>
      </c>
      <c r="Y464">
        <f t="shared" si="21"/>
        <v>22</v>
      </c>
      <c r="Z464">
        <f t="shared" si="22"/>
        <v>0</v>
      </c>
      <c r="AA464">
        <f t="shared" si="23"/>
        <v>0</v>
      </c>
    </row>
    <row r="465" spans="1:27" x14ac:dyDescent="0.3">
      <c r="A465" t="s">
        <v>2867</v>
      </c>
      <c r="B465" t="s">
        <v>4038</v>
      </c>
      <c r="C465">
        <v>35213684</v>
      </c>
      <c r="D465" t="s">
        <v>3828</v>
      </c>
      <c r="E465">
        <v>1</v>
      </c>
      <c r="F465" t="s">
        <v>112</v>
      </c>
      <c r="G465">
        <v>36</v>
      </c>
      <c r="H465">
        <v>2</v>
      </c>
      <c r="J465">
        <v>2</v>
      </c>
      <c r="K465" t="s">
        <v>3863</v>
      </c>
      <c r="L465">
        <v>1</v>
      </c>
      <c r="N465" t="s">
        <v>3864</v>
      </c>
      <c r="O465" t="s">
        <v>3865</v>
      </c>
      <c r="P465" t="s">
        <v>3866</v>
      </c>
      <c r="Q465" t="s">
        <v>3867</v>
      </c>
      <c r="R465" t="s">
        <v>1554</v>
      </c>
      <c r="S465">
        <v>2022</v>
      </c>
      <c r="T465" s="2">
        <v>44617</v>
      </c>
      <c r="U465" t="s">
        <v>3868</v>
      </c>
      <c r="W465" t="s">
        <v>3869</v>
      </c>
      <c r="Y465">
        <f t="shared" si="21"/>
        <v>36</v>
      </c>
      <c r="Z465">
        <f t="shared" si="22"/>
        <v>0</v>
      </c>
      <c r="AA465">
        <f t="shared" si="23"/>
        <v>0</v>
      </c>
    </row>
    <row r="466" spans="1:27" x14ac:dyDescent="0.3">
      <c r="A466" t="s">
        <v>2867</v>
      </c>
      <c r="B466" t="s">
        <v>4038</v>
      </c>
      <c r="C466">
        <v>34761559</v>
      </c>
      <c r="D466" t="s">
        <v>3022</v>
      </c>
      <c r="E466">
        <v>1</v>
      </c>
      <c r="F466" t="s">
        <v>3895</v>
      </c>
      <c r="J466">
        <v>2</v>
      </c>
      <c r="K466" t="s">
        <v>4035</v>
      </c>
      <c r="L466">
        <v>1</v>
      </c>
      <c r="N466" t="s">
        <v>4036</v>
      </c>
      <c r="O466" t="s">
        <v>4037</v>
      </c>
      <c r="P466" t="s">
        <v>3024</v>
      </c>
      <c r="Q466" t="s">
        <v>3025</v>
      </c>
      <c r="R466" t="s">
        <v>3026</v>
      </c>
      <c r="S466">
        <v>2022</v>
      </c>
      <c r="T466" s="2">
        <v>44511</v>
      </c>
      <c r="W466" t="s">
        <v>3027</v>
      </c>
      <c r="Y466">
        <f t="shared" si="21"/>
        <v>0</v>
      </c>
      <c r="Z466">
        <f t="shared" si="22"/>
        <v>0</v>
      </c>
      <c r="AA466">
        <f t="shared" si="23"/>
        <v>0</v>
      </c>
    </row>
    <row r="467" spans="1:27" x14ac:dyDescent="0.3">
      <c r="A467" t="s">
        <v>1350</v>
      </c>
      <c r="B467" t="s">
        <v>3870</v>
      </c>
      <c r="C467" s="16">
        <v>34032364</v>
      </c>
      <c r="D467" s="16" t="s">
        <v>4039</v>
      </c>
      <c r="E467" s="16">
        <v>0</v>
      </c>
      <c r="F467" s="16" t="s">
        <v>143</v>
      </c>
      <c r="G467" s="16">
        <v>267</v>
      </c>
      <c r="H467" s="16">
        <v>1160</v>
      </c>
      <c r="I467" s="16">
        <v>429</v>
      </c>
      <c r="J467" s="16">
        <v>19</v>
      </c>
      <c r="K467" s="16" t="s">
        <v>4040</v>
      </c>
      <c r="L467" s="16">
        <v>13</v>
      </c>
      <c r="M467" s="16" t="s">
        <v>4041</v>
      </c>
      <c r="N467" s="16" t="s">
        <v>4042</v>
      </c>
      <c r="O467" t="s">
        <v>4043</v>
      </c>
      <c r="P467" t="s">
        <v>4044</v>
      </c>
      <c r="Q467" t="s">
        <v>2618</v>
      </c>
      <c r="R467" t="s">
        <v>1535</v>
      </c>
      <c r="S467">
        <v>2022</v>
      </c>
      <c r="T467" s="2">
        <v>44341</v>
      </c>
      <c r="W467" t="s">
        <v>4045</v>
      </c>
      <c r="Y467">
        <f t="shared" si="21"/>
        <v>3471</v>
      </c>
      <c r="Z467">
        <f t="shared" si="22"/>
        <v>36</v>
      </c>
      <c r="AA467">
        <f t="shared" si="23"/>
        <v>0</v>
      </c>
    </row>
    <row r="468" spans="1:27" x14ac:dyDescent="0.3">
      <c r="A468" t="s">
        <v>1350</v>
      </c>
      <c r="B468" t="s">
        <v>3870</v>
      </c>
      <c r="C468">
        <v>35324941</v>
      </c>
      <c r="D468" t="s">
        <v>4046</v>
      </c>
      <c r="E468">
        <v>0</v>
      </c>
      <c r="F468" t="s">
        <v>1405</v>
      </c>
      <c r="G468">
        <v>87</v>
      </c>
      <c r="H468">
        <v>92</v>
      </c>
      <c r="I468">
        <v>64</v>
      </c>
      <c r="J468">
        <v>16</v>
      </c>
      <c r="K468" t="s">
        <v>4047</v>
      </c>
      <c r="L468">
        <v>1</v>
      </c>
      <c r="M468" t="s">
        <v>808</v>
      </c>
      <c r="N468" t="s">
        <v>4048</v>
      </c>
      <c r="O468" t="s">
        <v>620</v>
      </c>
      <c r="P468" t="s">
        <v>4049</v>
      </c>
      <c r="Q468" t="s">
        <v>622</v>
      </c>
      <c r="R468" t="s">
        <v>623</v>
      </c>
      <c r="S468">
        <v>2022</v>
      </c>
      <c r="T468" s="2">
        <v>44644</v>
      </c>
      <c r="U468" t="s">
        <v>4050</v>
      </c>
      <c r="W468" t="s">
        <v>4051</v>
      </c>
      <c r="Y468">
        <f t="shared" si="21"/>
        <v>87</v>
      </c>
      <c r="Z468">
        <f t="shared" si="22"/>
        <v>0</v>
      </c>
      <c r="AA468">
        <f t="shared" si="23"/>
        <v>1</v>
      </c>
    </row>
    <row r="469" spans="1:27" x14ac:dyDescent="0.3">
      <c r="A469" t="s">
        <v>1350</v>
      </c>
      <c r="B469" t="s">
        <v>3870</v>
      </c>
      <c r="C469" s="16">
        <v>35145507</v>
      </c>
      <c r="D469" s="16" t="s">
        <v>4052</v>
      </c>
      <c r="E469" s="16">
        <v>0</v>
      </c>
      <c r="F469" s="16" t="s">
        <v>112</v>
      </c>
      <c r="G469" s="16">
        <v>689</v>
      </c>
      <c r="H469" s="16">
        <v>253</v>
      </c>
      <c r="I469" s="16">
        <v>68</v>
      </c>
      <c r="J469" s="16">
        <v>13</v>
      </c>
      <c r="K469" s="16" t="s">
        <v>4053</v>
      </c>
      <c r="L469" s="16">
        <v>3</v>
      </c>
      <c r="M469" s="16" t="s">
        <v>4054</v>
      </c>
      <c r="N469" s="16" t="s">
        <v>4055</v>
      </c>
      <c r="O469" t="s">
        <v>4056</v>
      </c>
      <c r="P469" t="s">
        <v>4057</v>
      </c>
      <c r="Q469" t="s">
        <v>4058</v>
      </c>
      <c r="R469" t="s">
        <v>99</v>
      </c>
      <c r="S469">
        <v>2022</v>
      </c>
      <c r="T469" s="2">
        <v>44603</v>
      </c>
      <c r="U469" t="s">
        <v>4059</v>
      </c>
      <c r="W469" t="s">
        <v>4060</v>
      </c>
      <c r="Y469">
        <f t="shared" si="21"/>
        <v>2067</v>
      </c>
      <c r="Z469">
        <f t="shared" si="22"/>
        <v>21</v>
      </c>
      <c r="AA469">
        <f t="shared" si="23"/>
        <v>1</v>
      </c>
    </row>
    <row r="470" spans="1:27" x14ac:dyDescent="0.3">
      <c r="A470" t="s">
        <v>1350</v>
      </c>
      <c r="B470" t="s">
        <v>3870</v>
      </c>
      <c r="C470">
        <v>35327515</v>
      </c>
      <c r="D470" t="s">
        <v>4061</v>
      </c>
      <c r="E470">
        <v>0</v>
      </c>
      <c r="F470" t="s">
        <v>4062</v>
      </c>
      <c r="G470">
        <v>118</v>
      </c>
      <c r="H470">
        <v>92</v>
      </c>
      <c r="I470">
        <v>43</v>
      </c>
      <c r="K470" t="s">
        <v>4063</v>
      </c>
      <c r="L470">
        <v>1</v>
      </c>
      <c r="M470" t="s">
        <v>4064</v>
      </c>
      <c r="N470" t="s">
        <v>4065</v>
      </c>
      <c r="O470" t="s">
        <v>4066</v>
      </c>
      <c r="P470" t="s">
        <v>4067</v>
      </c>
      <c r="Q470" t="s">
        <v>4068</v>
      </c>
      <c r="R470" t="s">
        <v>178</v>
      </c>
      <c r="S470">
        <v>2022</v>
      </c>
      <c r="T470" s="2">
        <v>44645</v>
      </c>
      <c r="U470" t="s">
        <v>4069</v>
      </c>
      <c r="W470" t="s">
        <v>4070</v>
      </c>
      <c r="Y470">
        <f t="shared" si="21"/>
        <v>118</v>
      </c>
      <c r="Z470">
        <f t="shared" si="22"/>
        <v>1</v>
      </c>
      <c r="AA470">
        <f t="shared" si="23"/>
        <v>0</v>
      </c>
    </row>
    <row r="471" spans="1:27" x14ac:dyDescent="0.3">
      <c r="A471" t="s">
        <v>1350</v>
      </c>
      <c r="B471" t="s">
        <v>3870</v>
      </c>
      <c r="C471">
        <v>35313264</v>
      </c>
      <c r="D471" t="s">
        <v>4071</v>
      </c>
      <c r="E471">
        <v>0</v>
      </c>
      <c r="F471" t="s">
        <v>4072</v>
      </c>
      <c r="G471">
        <v>16</v>
      </c>
      <c r="H471">
        <v>460</v>
      </c>
      <c r="I471">
        <v>61</v>
      </c>
      <c r="J471">
        <v>7</v>
      </c>
      <c r="K471" t="s">
        <v>4073</v>
      </c>
      <c r="L471">
        <v>5</v>
      </c>
      <c r="M471" t="s">
        <v>4074</v>
      </c>
      <c r="O471" t="s">
        <v>4075</v>
      </c>
      <c r="P471" t="s">
        <v>4076</v>
      </c>
      <c r="Q471" t="s">
        <v>4077</v>
      </c>
      <c r="R471" t="s">
        <v>4078</v>
      </c>
      <c r="S471">
        <v>2022</v>
      </c>
      <c r="T471" s="2">
        <v>44641</v>
      </c>
      <c r="W471" t="s">
        <v>4079</v>
      </c>
      <c r="Y471">
        <f t="shared" si="21"/>
        <v>80</v>
      </c>
      <c r="Z471">
        <f t="shared" si="22"/>
        <v>0</v>
      </c>
      <c r="AA471">
        <f t="shared" si="23"/>
        <v>1</v>
      </c>
    </row>
    <row r="472" spans="1:27" x14ac:dyDescent="0.3">
      <c r="A472" t="s">
        <v>1350</v>
      </c>
      <c r="B472" t="s">
        <v>3870</v>
      </c>
      <c r="C472">
        <v>35136035</v>
      </c>
      <c r="D472" t="s">
        <v>4080</v>
      </c>
      <c r="E472">
        <v>0</v>
      </c>
      <c r="F472" t="s">
        <v>4081</v>
      </c>
      <c r="G472">
        <v>499</v>
      </c>
      <c r="H472">
        <v>201</v>
      </c>
      <c r="I472" s="12"/>
      <c r="J472">
        <v>32</v>
      </c>
      <c r="K472" t="s">
        <v>4082</v>
      </c>
      <c r="L472">
        <v>3</v>
      </c>
      <c r="M472" t="s">
        <v>4083</v>
      </c>
      <c r="N472" t="s">
        <v>4084</v>
      </c>
      <c r="O472" t="s">
        <v>4085</v>
      </c>
      <c r="P472" t="s">
        <v>4086</v>
      </c>
      <c r="Q472" t="s">
        <v>4087</v>
      </c>
      <c r="R472" t="s">
        <v>1091</v>
      </c>
      <c r="S472">
        <v>2022</v>
      </c>
      <c r="T472" s="2">
        <v>44601</v>
      </c>
      <c r="U472" t="s">
        <v>4088</v>
      </c>
      <c r="W472" t="s">
        <v>4089</v>
      </c>
      <c r="Y472">
        <f t="shared" si="21"/>
        <v>1497</v>
      </c>
      <c r="Z472">
        <f t="shared" si="22"/>
        <v>15</v>
      </c>
      <c r="AA472">
        <f t="shared" si="23"/>
        <v>1</v>
      </c>
    </row>
    <row r="473" spans="1:27" x14ac:dyDescent="0.3">
      <c r="A473" t="s">
        <v>1350</v>
      </c>
      <c r="B473" t="s">
        <v>3870</v>
      </c>
      <c r="C473">
        <v>35269535</v>
      </c>
      <c r="D473" t="s">
        <v>4090</v>
      </c>
      <c r="E473">
        <v>0</v>
      </c>
      <c r="F473" t="s">
        <v>1405</v>
      </c>
      <c r="G473">
        <v>73</v>
      </c>
      <c r="H473">
        <v>92</v>
      </c>
      <c r="I473">
        <v>28</v>
      </c>
      <c r="J473">
        <v>5</v>
      </c>
      <c r="K473" t="s">
        <v>4091</v>
      </c>
      <c r="L473">
        <v>1</v>
      </c>
      <c r="M473" t="s">
        <v>4092</v>
      </c>
      <c r="N473" t="s">
        <v>4093</v>
      </c>
      <c r="O473" t="s">
        <v>4094</v>
      </c>
      <c r="P473" t="s">
        <v>4095</v>
      </c>
      <c r="Q473" t="s">
        <v>3941</v>
      </c>
      <c r="R473" t="s">
        <v>2875</v>
      </c>
      <c r="S473">
        <v>2022</v>
      </c>
      <c r="T473" s="2">
        <v>44630</v>
      </c>
      <c r="U473" t="s">
        <v>4096</v>
      </c>
      <c r="W473" t="s">
        <v>4097</v>
      </c>
      <c r="Y473">
        <f t="shared" si="21"/>
        <v>73</v>
      </c>
      <c r="Z473">
        <f t="shared" si="22"/>
        <v>0</v>
      </c>
      <c r="AA473">
        <f t="shared" si="23"/>
        <v>1</v>
      </c>
    </row>
    <row r="474" spans="1:27" x14ac:dyDescent="0.3">
      <c r="A474" t="s">
        <v>1350</v>
      </c>
      <c r="B474" t="s">
        <v>3870</v>
      </c>
      <c r="C474">
        <v>35350784</v>
      </c>
      <c r="D474" t="s">
        <v>4098</v>
      </c>
      <c r="E474">
        <v>0</v>
      </c>
      <c r="F474" t="s">
        <v>112</v>
      </c>
      <c r="G474">
        <v>188</v>
      </c>
      <c r="H474">
        <v>92</v>
      </c>
      <c r="J474">
        <v>4</v>
      </c>
      <c r="K474" t="s">
        <v>4099</v>
      </c>
      <c r="L474">
        <v>1</v>
      </c>
      <c r="M474" t="s">
        <v>732</v>
      </c>
      <c r="N474" t="s">
        <v>4100</v>
      </c>
      <c r="O474" t="s">
        <v>4101</v>
      </c>
      <c r="P474" t="s">
        <v>4102</v>
      </c>
      <c r="Q474" t="s">
        <v>4103</v>
      </c>
      <c r="R474" t="s">
        <v>99</v>
      </c>
      <c r="S474">
        <v>2022</v>
      </c>
      <c r="T474" s="2">
        <v>44650</v>
      </c>
      <c r="U474" t="s">
        <v>4104</v>
      </c>
      <c r="W474" t="s">
        <v>4105</v>
      </c>
      <c r="Y474">
        <f t="shared" si="21"/>
        <v>188</v>
      </c>
      <c r="Z474">
        <f t="shared" si="22"/>
        <v>1</v>
      </c>
      <c r="AA474">
        <f t="shared" si="23"/>
        <v>1</v>
      </c>
    </row>
    <row r="475" spans="1:27" x14ac:dyDescent="0.3">
      <c r="A475" t="s">
        <v>1350</v>
      </c>
      <c r="B475" t="s">
        <v>3870</v>
      </c>
      <c r="C475">
        <v>35122346</v>
      </c>
      <c r="D475" t="s">
        <v>4106</v>
      </c>
      <c r="E475">
        <v>0</v>
      </c>
      <c r="F475" t="s">
        <v>112</v>
      </c>
      <c r="G475">
        <v>32</v>
      </c>
      <c r="H475">
        <v>92</v>
      </c>
      <c r="J475">
        <v>8</v>
      </c>
      <c r="K475" t="s">
        <v>4107</v>
      </c>
      <c r="L475">
        <v>1</v>
      </c>
      <c r="M475" t="s">
        <v>808</v>
      </c>
      <c r="N475" t="s">
        <v>4108</v>
      </c>
      <c r="O475" t="s">
        <v>4109</v>
      </c>
      <c r="P475" t="s">
        <v>4110</v>
      </c>
      <c r="Q475" t="s">
        <v>212</v>
      </c>
      <c r="R475" t="s">
        <v>4111</v>
      </c>
      <c r="S475">
        <v>2022</v>
      </c>
      <c r="T475" s="2">
        <v>44597</v>
      </c>
      <c r="W475" t="s">
        <v>4112</v>
      </c>
      <c r="Y475">
        <f t="shared" si="21"/>
        <v>32</v>
      </c>
      <c r="Z475">
        <f t="shared" si="22"/>
        <v>0</v>
      </c>
      <c r="AA475">
        <f t="shared" si="23"/>
        <v>0</v>
      </c>
    </row>
    <row r="476" spans="1:27" x14ac:dyDescent="0.3">
      <c r="A476" t="s">
        <v>1350</v>
      </c>
      <c r="B476" t="s">
        <v>3870</v>
      </c>
      <c r="C476">
        <v>35048953</v>
      </c>
      <c r="D476" t="s">
        <v>411</v>
      </c>
      <c r="E476">
        <v>0</v>
      </c>
      <c r="F476" t="s">
        <v>153</v>
      </c>
      <c r="G476">
        <v>31</v>
      </c>
      <c r="H476">
        <v>180</v>
      </c>
      <c r="J476">
        <v>3</v>
      </c>
      <c r="K476" t="s">
        <v>4113</v>
      </c>
      <c r="L476">
        <v>2</v>
      </c>
      <c r="M476" t="s">
        <v>4114</v>
      </c>
      <c r="O476" t="s">
        <v>415</v>
      </c>
      <c r="P476" t="s">
        <v>4115</v>
      </c>
      <c r="Q476" t="s">
        <v>417</v>
      </c>
      <c r="R476" t="s">
        <v>418</v>
      </c>
      <c r="S476">
        <v>2022</v>
      </c>
      <c r="T476" s="2">
        <v>44581</v>
      </c>
      <c r="W476" t="s">
        <v>419</v>
      </c>
      <c r="Y476">
        <f t="shared" si="21"/>
        <v>62</v>
      </c>
      <c r="Z476">
        <f t="shared" si="22"/>
        <v>0</v>
      </c>
      <c r="AA476">
        <f t="shared" si="23"/>
        <v>1</v>
      </c>
    </row>
    <row r="477" spans="1:27" x14ac:dyDescent="0.3">
      <c r="A477" t="s">
        <v>1350</v>
      </c>
      <c r="B477" t="s">
        <v>3870</v>
      </c>
      <c r="C477">
        <v>35260736</v>
      </c>
      <c r="D477" t="s">
        <v>4116</v>
      </c>
      <c r="E477">
        <v>0</v>
      </c>
      <c r="F477" t="s">
        <v>4117</v>
      </c>
      <c r="G477">
        <v>629</v>
      </c>
      <c r="H477">
        <v>92</v>
      </c>
      <c r="J477">
        <v>1</v>
      </c>
      <c r="K477" t="s">
        <v>3188</v>
      </c>
      <c r="L477">
        <v>1</v>
      </c>
      <c r="M477" t="s">
        <v>4118</v>
      </c>
      <c r="O477" t="s">
        <v>4119</v>
      </c>
      <c r="P477" t="s">
        <v>4120</v>
      </c>
      <c r="Q477" t="s">
        <v>4121</v>
      </c>
      <c r="R477" t="s">
        <v>246</v>
      </c>
      <c r="S477">
        <v>2022</v>
      </c>
      <c r="T477" s="2">
        <v>44629</v>
      </c>
      <c r="U477" t="s">
        <v>4122</v>
      </c>
      <c r="W477" t="s">
        <v>4123</v>
      </c>
      <c r="Y477">
        <f t="shared" si="21"/>
        <v>629</v>
      </c>
      <c r="Z477">
        <f t="shared" si="22"/>
        <v>6</v>
      </c>
      <c r="AA477">
        <f t="shared" si="23"/>
        <v>1</v>
      </c>
    </row>
    <row r="478" spans="1:27" x14ac:dyDescent="0.3">
      <c r="A478" t="s">
        <v>1350</v>
      </c>
      <c r="B478" t="s">
        <v>3870</v>
      </c>
      <c r="C478">
        <v>35264246</v>
      </c>
      <c r="D478" t="s">
        <v>4124</v>
      </c>
      <c r="E478">
        <v>0</v>
      </c>
      <c r="F478" t="s">
        <v>112</v>
      </c>
      <c r="G478">
        <v>406</v>
      </c>
      <c r="H478">
        <v>92</v>
      </c>
      <c r="J478" s="11">
        <v>26.666666666666668</v>
      </c>
      <c r="L478">
        <v>1</v>
      </c>
      <c r="M478" t="s">
        <v>808</v>
      </c>
      <c r="N478" t="s">
        <v>4125</v>
      </c>
      <c r="O478" t="s">
        <v>4126</v>
      </c>
      <c r="P478" t="s">
        <v>4127</v>
      </c>
      <c r="Q478" t="s">
        <v>4128</v>
      </c>
      <c r="R478" t="s">
        <v>4129</v>
      </c>
      <c r="S478">
        <v>2022</v>
      </c>
      <c r="T478" s="2">
        <v>44630</v>
      </c>
      <c r="U478" t="s">
        <v>4130</v>
      </c>
      <c r="W478" t="s">
        <v>4131</v>
      </c>
      <c r="Y478">
        <f t="shared" si="21"/>
        <v>406</v>
      </c>
      <c r="Z478">
        <f t="shared" si="22"/>
        <v>4</v>
      </c>
      <c r="AA478">
        <f t="shared" si="23"/>
        <v>0</v>
      </c>
    </row>
    <row r="479" spans="1:27" x14ac:dyDescent="0.3">
      <c r="A479" t="s">
        <v>1350</v>
      </c>
      <c r="B479" t="s">
        <v>3870</v>
      </c>
      <c r="C479">
        <v>35078015</v>
      </c>
      <c r="D479" t="s">
        <v>4132</v>
      </c>
      <c r="E479">
        <v>0</v>
      </c>
      <c r="F479" t="s">
        <v>23</v>
      </c>
      <c r="G479">
        <v>1500</v>
      </c>
      <c r="I479">
        <v>19</v>
      </c>
      <c r="J479">
        <v>7</v>
      </c>
      <c r="K479" t="s">
        <v>4133</v>
      </c>
      <c r="L479">
        <v>1</v>
      </c>
      <c r="N479" t="s">
        <v>4134</v>
      </c>
      <c r="O479" t="s">
        <v>4135</v>
      </c>
      <c r="P479" t="s">
        <v>4136</v>
      </c>
      <c r="Q479" t="s">
        <v>4137</v>
      </c>
      <c r="R479" t="s">
        <v>889</v>
      </c>
      <c r="S479">
        <v>2022</v>
      </c>
      <c r="T479" s="2">
        <v>44586</v>
      </c>
      <c r="W479" t="s">
        <v>4138</v>
      </c>
      <c r="Y479">
        <f t="shared" si="21"/>
        <v>1500</v>
      </c>
      <c r="Z479">
        <f t="shared" si="22"/>
        <v>15</v>
      </c>
      <c r="AA479">
        <f t="shared" si="23"/>
        <v>1</v>
      </c>
    </row>
    <row r="480" spans="1:27" x14ac:dyDescent="0.3">
      <c r="A480" t="s">
        <v>1350</v>
      </c>
      <c r="B480" t="s">
        <v>3870</v>
      </c>
      <c r="C480">
        <v>35432372</v>
      </c>
      <c r="D480" t="s">
        <v>4139</v>
      </c>
      <c r="E480">
        <v>0</v>
      </c>
      <c r="F480" t="s">
        <v>82</v>
      </c>
      <c r="G480">
        <v>73</v>
      </c>
      <c r="H480">
        <v>23</v>
      </c>
      <c r="K480" t="s">
        <v>4140</v>
      </c>
      <c r="L480">
        <v>1</v>
      </c>
      <c r="M480" t="s">
        <v>4141</v>
      </c>
      <c r="N480" t="s">
        <v>4142</v>
      </c>
      <c r="O480" t="s">
        <v>4143</v>
      </c>
      <c r="P480" t="s">
        <v>4144</v>
      </c>
      <c r="Q480" t="s">
        <v>1155</v>
      </c>
      <c r="R480" t="s">
        <v>99</v>
      </c>
      <c r="S480">
        <v>2022</v>
      </c>
      <c r="T480" s="2">
        <v>44669</v>
      </c>
      <c r="U480" t="s">
        <v>4145</v>
      </c>
      <c r="W480" t="s">
        <v>4146</v>
      </c>
      <c r="Y480">
        <f t="shared" si="21"/>
        <v>73</v>
      </c>
      <c r="Z480">
        <f t="shared" si="22"/>
        <v>0</v>
      </c>
      <c r="AA480">
        <f t="shared" si="23"/>
        <v>1</v>
      </c>
    </row>
    <row r="481" spans="1:27" x14ac:dyDescent="0.3">
      <c r="A481" t="s">
        <v>1350</v>
      </c>
      <c r="B481" t="s">
        <v>3870</v>
      </c>
      <c r="C481">
        <v>34169553</v>
      </c>
      <c r="D481" t="s">
        <v>4147</v>
      </c>
      <c r="E481">
        <v>0</v>
      </c>
      <c r="F481" t="s">
        <v>112</v>
      </c>
      <c r="G481">
        <v>12</v>
      </c>
      <c r="H481">
        <v>92</v>
      </c>
      <c r="J481">
        <v>5</v>
      </c>
      <c r="K481" t="s">
        <v>4148</v>
      </c>
      <c r="L481">
        <v>1</v>
      </c>
      <c r="M481" t="s">
        <v>808</v>
      </c>
      <c r="N481" t="s">
        <v>4149</v>
      </c>
      <c r="O481" t="s">
        <v>4150</v>
      </c>
      <c r="P481" t="s">
        <v>4151</v>
      </c>
      <c r="Q481" t="s">
        <v>4152</v>
      </c>
      <c r="R481" t="s">
        <v>389</v>
      </c>
      <c r="S481">
        <v>2022</v>
      </c>
      <c r="T481" s="2">
        <v>44372</v>
      </c>
      <c r="W481" t="s">
        <v>4153</v>
      </c>
      <c r="Y481">
        <f t="shared" si="21"/>
        <v>12</v>
      </c>
      <c r="Z481">
        <f t="shared" si="22"/>
        <v>0</v>
      </c>
      <c r="AA481">
        <f t="shared" si="23"/>
        <v>0</v>
      </c>
    </row>
    <row r="482" spans="1:27" x14ac:dyDescent="0.3">
      <c r="A482" t="s">
        <v>1350</v>
      </c>
      <c r="B482" t="s">
        <v>3870</v>
      </c>
      <c r="C482">
        <v>35014074</v>
      </c>
      <c r="D482" t="s">
        <v>4154</v>
      </c>
      <c r="E482">
        <v>0</v>
      </c>
      <c r="F482" t="s">
        <v>23</v>
      </c>
      <c r="G482">
        <v>78</v>
      </c>
      <c r="H482">
        <v>184</v>
      </c>
      <c r="I482">
        <v>156</v>
      </c>
      <c r="J482">
        <v>0</v>
      </c>
      <c r="L482">
        <v>2</v>
      </c>
      <c r="M482" t="s">
        <v>4155</v>
      </c>
      <c r="N482" t="s">
        <v>4156</v>
      </c>
      <c r="O482" t="s">
        <v>4157</v>
      </c>
      <c r="P482" t="s">
        <v>4158</v>
      </c>
      <c r="Q482" t="s">
        <v>4159</v>
      </c>
      <c r="R482" t="s">
        <v>4160</v>
      </c>
      <c r="S482">
        <v>2022</v>
      </c>
      <c r="T482" s="2">
        <v>44572</v>
      </c>
      <c r="U482" t="s">
        <v>4161</v>
      </c>
      <c r="W482" t="s">
        <v>4162</v>
      </c>
      <c r="Y482">
        <f t="shared" si="21"/>
        <v>156</v>
      </c>
      <c r="Z482">
        <f t="shared" si="22"/>
        <v>1</v>
      </c>
      <c r="AA482">
        <f t="shared" si="23"/>
        <v>1</v>
      </c>
    </row>
    <row r="483" spans="1:27" x14ac:dyDescent="0.3">
      <c r="A483" t="s">
        <v>1350</v>
      </c>
      <c r="B483" t="s">
        <v>3870</v>
      </c>
      <c r="C483">
        <v>35265689</v>
      </c>
      <c r="D483" t="s">
        <v>4163</v>
      </c>
      <c r="E483">
        <v>0</v>
      </c>
      <c r="F483" t="s">
        <v>23</v>
      </c>
      <c r="G483">
        <v>295</v>
      </c>
      <c r="H483">
        <v>92</v>
      </c>
      <c r="I483">
        <v>12</v>
      </c>
      <c r="J483" s="33" t="s">
        <v>4164</v>
      </c>
      <c r="K483" t="s">
        <v>4165</v>
      </c>
      <c r="L483">
        <v>1</v>
      </c>
      <c r="M483" t="s">
        <v>4166</v>
      </c>
      <c r="N483" t="s">
        <v>4167</v>
      </c>
      <c r="O483" t="s">
        <v>4168</v>
      </c>
      <c r="P483" t="s">
        <v>4169</v>
      </c>
      <c r="Q483" t="s">
        <v>4170</v>
      </c>
      <c r="R483" t="s">
        <v>272</v>
      </c>
      <c r="S483">
        <v>2022</v>
      </c>
      <c r="T483" s="2">
        <v>44630</v>
      </c>
      <c r="U483" t="s">
        <v>4171</v>
      </c>
      <c r="W483" t="s">
        <v>4172</v>
      </c>
      <c r="Y483">
        <f t="shared" si="21"/>
        <v>295</v>
      </c>
      <c r="Z483">
        <f t="shared" si="22"/>
        <v>3</v>
      </c>
      <c r="AA483">
        <f t="shared" si="23"/>
        <v>0</v>
      </c>
    </row>
    <row r="484" spans="1:27" x14ac:dyDescent="0.3">
      <c r="A484" t="s">
        <v>1350</v>
      </c>
      <c r="B484" t="s">
        <v>3870</v>
      </c>
      <c r="C484">
        <v>35190924</v>
      </c>
      <c r="D484" t="s">
        <v>4173</v>
      </c>
      <c r="E484">
        <v>0</v>
      </c>
      <c r="F484" t="s">
        <v>4174</v>
      </c>
      <c r="G484">
        <v>92</v>
      </c>
      <c r="H484">
        <v>92</v>
      </c>
      <c r="I484">
        <v>16</v>
      </c>
      <c r="J484">
        <v>4</v>
      </c>
      <c r="K484" t="s">
        <v>4175</v>
      </c>
      <c r="L484">
        <v>1</v>
      </c>
      <c r="M484" t="s">
        <v>808</v>
      </c>
      <c r="O484" t="s">
        <v>4176</v>
      </c>
      <c r="P484" t="s">
        <v>4177</v>
      </c>
      <c r="Q484" t="s">
        <v>4178</v>
      </c>
      <c r="R484" t="s">
        <v>459</v>
      </c>
      <c r="S484">
        <v>2022</v>
      </c>
      <c r="T484" s="2">
        <v>44614</v>
      </c>
      <c r="U484" t="s">
        <v>4179</v>
      </c>
      <c r="W484" t="s">
        <v>4180</v>
      </c>
      <c r="Y484">
        <f t="shared" si="21"/>
        <v>92</v>
      </c>
      <c r="Z484">
        <f t="shared" si="22"/>
        <v>0</v>
      </c>
      <c r="AA484">
        <f t="shared" si="23"/>
        <v>1</v>
      </c>
    </row>
    <row r="485" spans="1:27" x14ac:dyDescent="0.3">
      <c r="A485" t="s">
        <v>1350</v>
      </c>
      <c r="B485" t="s">
        <v>3870</v>
      </c>
      <c r="C485">
        <v>35301820</v>
      </c>
      <c r="D485" t="s">
        <v>4181</v>
      </c>
      <c r="E485">
        <v>0</v>
      </c>
      <c r="F485" t="s">
        <v>23</v>
      </c>
      <c r="G485">
        <v>507</v>
      </c>
      <c r="H485">
        <v>92</v>
      </c>
      <c r="I485">
        <v>32</v>
      </c>
      <c r="J485">
        <v>8</v>
      </c>
      <c r="K485" t="s">
        <v>4182</v>
      </c>
      <c r="L485">
        <v>1</v>
      </c>
      <c r="M485" t="s">
        <v>4183</v>
      </c>
      <c r="N485" t="s">
        <v>4184</v>
      </c>
      <c r="O485" t="s">
        <v>4185</v>
      </c>
      <c r="P485" t="s">
        <v>4186</v>
      </c>
      <c r="Q485" t="s">
        <v>4187</v>
      </c>
      <c r="R485" t="s">
        <v>326</v>
      </c>
      <c r="S485">
        <v>2022</v>
      </c>
      <c r="T485" s="2">
        <v>44638</v>
      </c>
      <c r="W485" t="s">
        <v>4188</v>
      </c>
      <c r="Y485">
        <f t="shared" si="21"/>
        <v>507</v>
      </c>
      <c r="Z485">
        <f t="shared" si="22"/>
        <v>5</v>
      </c>
      <c r="AA485">
        <f t="shared" si="23"/>
        <v>0</v>
      </c>
    </row>
    <row r="486" spans="1:27" x14ac:dyDescent="0.3">
      <c r="A486" t="s">
        <v>1350</v>
      </c>
      <c r="B486" t="s">
        <v>3870</v>
      </c>
      <c r="C486">
        <v>35147910</v>
      </c>
      <c r="D486" t="s">
        <v>4189</v>
      </c>
      <c r="E486">
        <v>0</v>
      </c>
      <c r="F486" t="s">
        <v>4190</v>
      </c>
      <c r="G486">
        <v>402</v>
      </c>
      <c r="H486">
        <v>92</v>
      </c>
      <c r="I486">
        <v>7</v>
      </c>
      <c r="J486">
        <v>3</v>
      </c>
      <c r="K486" t="s">
        <v>4191</v>
      </c>
      <c r="L486">
        <v>1</v>
      </c>
      <c r="M486" t="s">
        <v>4118</v>
      </c>
      <c r="N486" t="s">
        <v>4192</v>
      </c>
      <c r="O486" t="s">
        <v>4193</v>
      </c>
      <c r="P486" t="s">
        <v>4194</v>
      </c>
      <c r="Q486" t="s">
        <v>699</v>
      </c>
      <c r="R486" t="s">
        <v>700</v>
      </c>
      <c r="S486">
        <v>2022</v>
      </c>
      <c r="T486" s="2">
        <v>44603</v>
      </c>
      <c r="W486" t="s">
        <v>4195</v>
      </c>
      <c r="Y486">
        <f t="shared" si="21"/>
        <v>402</v>
      </c>
      <c r="Z486">
        <f t="shared" si="22"/>
        <v>4</v>
      </c>
      <c r="AA486">
        <f t="shared" si="23"/>
        <v>0</v>
      </c>
    </row>
    <row r="487" spans="1:27" x14ac:dyDescent="0.3">
      <c r="A487" t="s">
        <v>1350</v>
      </c>
      <c r="B487" t="s">
        <v>3870</v>
      </c>
      <c r="C487">
        <v>35064782</v>
      </c>
      <c r="D487" t="s">
        <v>4196</v>
      </c>
      <c r="E487">
        <v>0</v>
      </c>
      <c r="F487" t="s">
        <v>82</v>
      </c>
      <c r="G487">
        <v>1233</v>
      </c>
      <c r="H487">
        <v>92</v>
      </c>
      <c r="I487">
        <v>15</v>
      </c>
      <c r="J487">
        <v>7</v>
      </c>
      <c r="K487" t="s">
        <v>4197</v>
      </c>
      <c r="L487">
        <v>1</v>
      </c>
      <c r="M487" t="s">
        <v>4198</v>
      </c>
      <c r="O487" t="s">
        <v>4199</v>
      </c>
      <c r="P487" t="s">
        <v>4200</v>
      </c>
      <c r="Q487" t="s">
        <v>4201</v>
      </c>
      <c r="R487" t="s">
        <v>4202</v>
      </c>
      <c r="S487">
        <v>2022</v>
      </c>
      <c r="T487" s="2">
        <v>44583</v>
      </c>
      <c r="W487" t="s">
        <v>4203</v>
      </c>
      <c r="Y487">
        <f t="shared" si="21"/>
        <v>1233</v>
      </c>
      <c r="Z487">
        <f t="shared" si="22"/>
        <v>12</v>
      </c>
      <c r="AA487">
        <f t="shared" si="23"/>
        <v>1</v>
      </c>
    </row>
    <row r="488" spans="1:27" x14ac:dyDescent="0.3">
      <c r="A488" t="s">
        <v>1350</v>
      </c>
      <c r="B488" t="s">
        <v>3870</v>
      </c>
      <c r="C488">
        <v>35191018</v>
      </c>
      <c r="D488" t="s">
        <v>4204</v>
      </c>
      <c r="E488">
        <v>0</v>
      </c>
      <c r="F488" t="s">
        <v>153</v>
      </c>
      <c r="G488">
        <v>30</v>
      </c>
      <c r="J488">
        <v>2</v>
      </c>
      <c r="K488" t="s">
        <v>4205</v>
      </c>
      <c r="L488">
        <v>1</v>
      </c>
      <c r="N488" t="s">
        <v>4206</v>
      </c>
      <c r="O488" t="s">
        <v>4207</v>
      </c>
      <c r="P488" t="s">
        <v>4208</v>
      </c>
      <c r="Q488" t="s">
        <v>4209</v>
      </c>
      <c r="R488" t="s">
        <v>4210</v>
      </c>
      <c r="S488">
        <v>2022</v>
      </c>
      <c r="T488" s="2">
        <v>44614</v>
      </c>
      <c r="W488" t="s">
        <v>4211</v>
      </c>
      <c r="Y488">
        <f t="shared" si="21"/>
        <v>30</v>
      </c>
      <c r="Z488">
        <f t="shared" si="22"/>
        <v>0</v>
      </c>
      <c r="AA488">
        <f t="shared" si="23"/>
        <v>0</v>
      </c>
    </row>
    <row r="489" spans="1:27" x14ac:dyDescent="0.3">
      <c r="A489" t="s">
        <v>1350</v>
      </c>
      <c r="B489" t="s">
        <v>3870</v>
      </c>
      <c r="C489">
        <v>35132157</v>
      </c>
      <c r="D489" t="s">
        <v>4212</v>
      </c>
      <c r="E489">
        <v>0</v>
      </c>
      <c r="F489" t="s">
        <v>112</v>
      </c>
      <c r="H489">
        <v>92</v>
      </c>
      <c r="I489">
        <v>32</v>
      </c>
      <c r="L489">
        <v>1</v>
      </c>
      <c r="M489" t="s">
        <v>808</v>
      </c>
      <c r="N489" t="s">
        <v>4213</v>
      </c>
      <c r="O489" t="s">
        <v>4214</v>
      </c>
      <c r="P489" t="s">
        <v>4215</v>
      </c>
      <c r="Q489" t="s">
        <v>4216</v>
      </c>
      <c r="R489" t="s">
        <v>246</v>
      </c>
      <c r="S489">
        <v>2022</v>
      </c>
      <c r="T489" s="2">
        <v>44600</v>
      </c>
      <c r="U489" t="s">
        <v>4217</v>
      </c>
      <c r="W489" t="s">
        <v>4218</v>
      </c>
      <c r="Y489">
        <f t="shared" si="21"/>
        <v>0</v>
      </c>
      <c r="Z489">
        <f t="shared" si="22"/>
        <v>0</v>
      </c>
      <c r="AA489">
        <f t="shared" si="23"/>
        <v>0</v>
      </c>
    </row>
    <row r="490" spans="1:27" x14ac:dyDescent="0.3">
      <c r="A490" t="s">
        <v>1350</v>
      </c>
      <c r="B490" t="s">
        <v>3870</v>
      </c>
      <c r="C490">
        <v>35086368</v>
      </c>
      <c r="D490" t="s">
        <v>4219</v>
      </c>
      <c r="E490">
        <v>0</v>
      </c>
      <c r="F490" t="s">
        <v>143</v>
      </c>
      <c r="G490">
        <v>494</v>
      </c>
      <c r="H490">
        <v>92</v>
      </c>
      <c r="I490">
        <v>19</v>
      </c>
      <c r="J490">
        <v>16</v>
      </c>
      <c r="L490">
        <v>1</v>
      </c>
      <c r="M490" t="s">
        <v>4183</v>
      </c>
      <c r="O490" t="s">
        <v>4220</v>
      </c>
      <c r="P490" t="s">
        <v>4221</v>
      </c>
      <c r="Q490" t="s">
        <v>4222</v>
      </c>
      <c r="R490" t="s">
        <v>4223</v>
      </c>
      <c r="S490">
        <v>2022</v>
      </c>
      <c r="T490" s="2">
        <v>44589</v>
      </c>
      <c r="W490" t="s">
        <v>4224</v>
      </c>
      <c r="Y490">
        <f t="shared" si="21"/>
        <v>494</v>
      </c>
      <c r="Z490">
        <f t="shared" si="22"/>
        <v>5</v>
      </c>
      <c r="AA490">
        <f t="shared" si="23"/>
        <v>0</v>
      </c>
    </row>
    <row r="491" spans="1:27" x14ac:dyDescent="0.3">
      <c r="A491" t="s">
        <v>1350</v>
      </c>
      <c r="B491" t="s">
        <v>3870</v>
      </c>
      <c r="C491">
        <v>35284913</v>
      </c>
      <c r="D491" t="s">
        <v>4225</v>
      </c>
      <c r="E491">
        <v>0</v>
      </c>
      <c r="F491" t="s">
        <v>4226</v>
      </c>
      <c r="H491">
        <v>186</v>
      </c>
      <c r="L491">
        <v>2</v>
      </c>
      <c r="O491" t="s">
        <v>4227</v>
      </c>
      <c r="P491" t="s">
        <v>4228</v>
      </c>
      <c r="Q491" t="s">
        <v>4229</v>
      </c>
      <c r="R491" t="s">
        <v>4230</v>
      </c>
      <c r="S491">
        <v>2022</v>
      </c>
      <c r="T491" s="2">
        <v>44634</v>
      </c>
      <c r="W491" t="s">
        <v>4231</v>
      </c>
      <c r="Y491">
        <f t="shared" si="21"/>
        <v>0</v>
      </c>
      <c r="Z491">
        <f t="shared" si="22"/>
        <v>0</v>
      </c>
      <c r="AA491">
        <f t="shared" si="23"/>
        <v>0</v>
      </c>
    </row>
    <row r="492" spans="1:27" x14ac:dyDescent="0.3">
      <c r="A492" t="s">
        <v>1350</v>
      </c>
      <c r="B492" t="s">
        <v>3870</v>
      </c>
      <c r="C492">
        <v>35181700</v>
      </c>
      <c r="D492" t="s">
        <v>4232</v>
      </c>
      <c r="E492">
        <v>0</v>
      </c>
      <c r="F492" t="s">
        <v>23</v>
      </c>
      <c r="G492">
        <v>537</v>
      </c>
      <c r="H492">
        <v>92</v>
      </c>
      <c r="J492">
        <v>9</v>
      </c>
      <c r="K492" t="s">
        <v>4233</v>
      </c>
      <c r="L492">
        <v>1</v>
      </c>
      <c r="M492" t="s">
        <v>4183</v>
      </c>
      <c r="N492" t="s">
        <v>4234</v>
      </c>
      <c r="O492" t="s">
        <v>4235</v>
      </c>
      <c r="P492" t="s">
        <v>4236</v>
      </c>
      <c r="Q492" t="s">
        <v>4237</v>
      </c>
      <c r="R492" t="s">
        <v>246</v>
      </c>
      <c r="S492">
        <v>2022</v>
      </c>
      <c r="T492" s="2">
        <v>44611</v>
      </c>
      <c r="U492" t="s">
        <v>4238</v>
      </c>
      <c r="W492" t="s">
        <v>4239</v>
      </c>
      <c r="Y492">
        <f t="shared" si="21"/>
        <v>537</v>
      </c>
      <c r="Z492">
        <f t="shared" si="22"/>
        <v>5</v>
      </c>
      <c r="AA492">
        <f t="shared" si="23"/>
        <v>1</v>
      </c>
    </row>
    <row r="493" spans="1:27" x14ac:dyDescent="0.3">
      <c r="A493" t="s">
        <v>1350</v>
      </c>
      <c r="B493" t="s">
        <v>3870</v>
      </c>
      <c r="C493">
        <v>35141572</v>
      </c>
      <c r="D493" t="s">
        <v>4240</v>
      </c>
      <c r="E493">
        <v>0</v>
      </c>
      <c r="F493" t="s">
        <v>4241</v>
      </c>
      <c r="G493">
        <v>61</v>
      </c>
      <c r="I493">
        <v>10</v>
      </c>
      <c r="J493">
        <v>1</v>
      </c>
      <c r="K493" t="s">
        <v>4242</v>
      </c>
      <c r="L493">
        <v>2</v>
      </c>
      <c r="M493" t="s">
        <v>4243</v>
      </c>
      <c r="N493" t="s">
        <v>4244</v>
      </c>
      <c r="O493" t="s">
        <v>4245</v>
      </c>
      <c r="P493" t="s">
        <v>4246</v>
      </c>
      <c r="Q493" t="s">
        <v>4247</v>
      </c>
      <c r="R493" t="s">
        <v>1739</v>
      </c>
      <c r="S493">
        <v>2022</v>
      </c>
      <c r="T493" s="2">
        <v>44602</v>
      </c>
      <c r="U493" t="s">
        <v>4248</v>
      </c>
      <c r="W493" t="s">
        <v>4249</v>
      </c>
      <c r="Y493">
        <f t="shared" si="21"/>
        <v>122</v>
      </c>
      <c r="Z493">
        <f t="shared" si="22"/>
        <v>1</v>
      </c>
      <c r="AA493">
        <f t="shared" si="23"/>
        <v>0</v>
      </c>
    </row>
    <row r="494" spans="1:27" x14ac:dyDescent="0.3">
      <c r="A494" t="s">
        <v>1350</v>
      </c>
      <c r="B494" t="s">
        <v>3870</v>
      </c>
      <c r="C494">
        <v>34044102</v>
      </c>
      <c r="D494" t="s">
        <v>4250</v>
      </c>
      <c r="E494">
        <v>0</v>
      </c>
      <c r="F494" t="s">
        <v>4251</v>
      </c>
      <c r="H494">
        <v>350</v>
      </c>
      <c r="I494">
        <v>3</v>
      </c>
      <c r="J494">
        <v>1</v>
      </c>
      <c r="K494" t="s">
        <v>4252</v>
      </c>
      <c r="L494">
        <v>1</v>
      </c>
      <c r="N494" t="s">
        <v>4253</v>
      </c>
      <c r="O494" t="s">
        <v>4254</v>
      </c>
      <c r="P494" t="s">
        <v>4255</v>
      </c>
      <c r="Q494" t="s">
        <v>4256</v>
      </c>
      <c r="R494" t="s">
        <v>159</v>
      </c>
      <c r="S494">
        <v>2022</v>
      </c>
      <c r="T494" s="2">
        <v>44343</v>
      </c>
      <c r="W494" t="s">
        <v>4257</v>
      </c>
      <c r="Y494">
        <f t="shared" si="21"/>
        <v>0</v>
      </c>
      <c r="Z494">
        <f t="shared" si="22"/>
        <v>0</v>
      </c>
      <c r="AA494">
        <f t="shared" si="23"/>
        <v>0</v>
      </c>
    </row>
    <row r="495" spans="1:27" x14ac:dyDescent="0.3">
      <c r="A495" t="s">
        <v>1350</v>
      </c>
      <c r="B495" t="s">
        <v>3870</v>
      </c>
      <c r="C495">
        <v>35199421</v>
      </c>
      <c r="D495" t="s">
        <v>4258</v>
      </c>
      <c r="E495">
        <v>0</v>
      </c>
      <c r="F495" t="s">
        <v>23</v>
      </c>
      <c r="G495">
        <v>527</v>
      </c>
      <c r="H495">
        <v>276</v>
      </c>
      <c r="I495">
        <v>7</v>
      </c>
      <c r="J495">
        <v>2</v>
      </c>
      <c r="K495" t="s">
        <v>4259</v>
      </c>
      <c r="L495">
        <v>3</v>
      </c>
      <c r="M495" t="s">
        <v>4260</v>
      </c>
      <c r="O495" t="s">
        <v>4261</v>
      </c>
      <c r="P495" t="s">
        <v>4262</v>
      </c>
      <c r="Q495" t="s">
        <v>4263</v>
      </c>
      <c r="R495" t="s">
        <v>4264</v>
      </c>
      <c r="S495">
        <v>2022</v>
      </c>
      <c r="T495" s="2">
        <v>44616</v>
      </c>
      <c r="W495" t="s">
        <v>4265</v>
      </c>
      <c r="Y495">
        <f t="shared" si="21"/>
        <v>1581</v>
      </c>
      <c r="Z495">
        <f t="shared" si="22"/>
        <v>16</v>
      </c>
      <c r="AA495">
        <f t="shared" si="23"/>
        <v>0</v>
      </c>
    </row>
    <row r="496" spans="1:27" x14ac:dyDescent="0.3">
      <c r="A496" t="s">
        <v>1350</v>
      </c>
      <c r="B496" t="s">
        <v>3870</v>
      </c>
      <c r="C496" s="16">
        <v>35453489</v>
      </c>
      <c r="D496" s="16" t="s">
        <v>4266</v>
      </c>
      <c r="E496" s="16">
        <v>0</v>
      </c>
      <c r="F496" s="16" t="s">
        <v>4267</v>
      </c>
      <c r="G496" s="16">
        <v>331</v>
      </c>
      <c r="H496" s="16">
        <v>92</v>
      </c>
      <c r="I496" s="16">
        <v>23</v>
      </c>
      <c r="J496" s="16">
        <v>3</v>
      </c>
      <c r="K496" s="16" t="s">
        <v>4268</v>
      </c>
      <c r="L496" s="16">
        <v>1</v>
      </c>
      <c r="M496" s="16" t="s">
        <v>4269</v>
      </c>
      <c r="N496" s="16" t="s">
        <v>4270</v>
      </c>
      <c r="O496" t="s">
        <v>4271</v>
      </c>
      <c r="P496" t="s">
        <v>4272</v>
      </c>
      <c r="Q496" t="s">
        <v>4273</v>
      </c>
      <c r="R496" t="s">
        <v>178</v>
      </c>
      <c r="S496">
        <v>2022</v>
      </c>
      <c r="T496" s="2">
        <v>44674</v>
      </c>
      <c r="U496" t="s">
        <v>4274</v>
      </c>
      <c r="W496" t="s">
        <v>4275</v>
      </c>
      <c r="Y496">
        <f t="shared" si="21"/>
        <v>331</v>
      </c>
      <c r="Z496">
        <f t="shared" si="22"/>
        <v>3</v>
      </c>
      <c r="AA496">
        <f t="shared" si="23"/>
        <v>0</v>
      </c>
    </row>
    <row r="497" spans="1:27" x14ac:dyDescent="0.3">
      <c r="A497" t="s">
        <v>1350</v>
      </c>
      <c r="B497" t="s">
        <v>3870</v>
      </c>
      <c r="C497">
        <v>35070967</v>
      </c>
      <c r="D497" t="s">
        <v>4276</v>
      </c>
      <c r="E497">
        <v>0</v>
      </c>
      <c r="F497" t="s">
        <v>627</v>
      </c>
      <c r="G497">
        <v>104</v>
      </c>
      <c r="H497">
        <v>92</v>
      </c>
      <c r="J497">
        <v>7</v>
      </c>
      <c r="K497" t="s">
        <v>4277</v>
      </c>
      <c r="L497">
        <v>1</v>
      </c>
      <c r="M497" t="s">
        <v>4278</v>
      </c>
      <c r="N497" t="s">
        <v>4279</v>
      </c>
      <c r="O497" t="s">
        <v>4280</v>
      </c>
      <c r="P497" t="s">
        <v>4281</v>
      </c>
      <c r="Q497" t="s">
        <v>4282</v>
      </c>
      <c r="R497" t="s">
        <v>1156</v>
      </c>
      <c r="S497">
        <v>2022</v>
      </c>
      <c r="T497" s="2">
        <v>44585</v>
      </c>
      <c r="U497" t="s">
        <v>4283</v>
      </c>
      <c r="W497" t="s">
        <v>4284</v>
      </c>
      <c r="Y497">
        <f t="shared" si="21"/>
        <v>104</v>
      </c>
      <c r="Z497">
        <f t="shared" si="22"/>
        <v>1</v>
      </c>
      <c r="AA497">
        <f t="shared" si="23"/>
        <v>0</v>
      </c>
    </row>
    <row r="498" spans="1:27" x14ac:dyDescent="0.3">
      <c r="A498" t="s">
        <v>1350</v>
      </c>
      <c r="B498" t="s">
        <v>3870</v>
      </c>
      <c r="C498">
        <v>35297512</v>
      </c>
      <c r="D498" t="s">
        <v>4285</v>
      </c>
      <c r="E498">
        <v>0</v>
      </c>
      <c r="F498" t="s">
        <v>4174</v>
      </c>
      <c r="H498">
        <v>157</v>
      </c>
      <c r="J498">
        <v>3</v>
      </c>
      <c r="K498" t="s">
        <v>4286</v>
      </c>
      <c r="L498">
        <v>2</v>
      </c>
      <c r="M498" t="s">
        <v>4287</v>
      </c>
      <c r="N498" t="s">
        <v>4288</v>
      </c>
      <c r="O498" t="s">
        <v>4289</v>
      </c>
      <c r="P498" t="s">
        <v>4290</v>
      </c>
      <c r="Q498" t="s">
        <v>4291</v>
      </c>
      <c r="R498" t="s">
        <v>3248</v>
      </c>
      <c r="S498">
        <v>2022</v>
      </c>
      <c r="T498" s="2">
        <v>44637</v>
      </c>
      <c r="W498" t="s">
        <v>4292</v>
      </c>
      <c r="Y498">
        <f t="shared" si="21"/>
        <v>0</v>
      </c>
      <c r="Z498">
        <f t="shared" si="22"/>
        <v>0</v>
      </c>
      <c r="AA498">
        <f t="shared" si="23"/>
        <v>0</v>
      </c>
    </row>
    <row r="499" spans="1:27" x14ac:dyDescent="0.3">
      <c r="A499" t="s">
        <v>1350</v>
      </c>
      <c r="B499" t="s">
        <v>3870</v>
      </c>
      <c r="C499">
        <v>35008981</v>
      </c>
      <c r="D499" t="s">
        <v>4293</v>
      </c>
      <c r="E499">
        <v>0</v>
      </c>
      <c r="F499" t="s">
        <v>4062</v>
      </c>
      <c r="G499">
        <v>59</v>
      </c>
      <c r="H499">
        <v>266</v>
      </c>
      <c r="I499">
        <v>10</v>
      </c>
      <c r="J499">
        <v>3</v>
      </c>
      <c r="K499" t="s">
        <v>4294</v>
      </c>
      <c r="L499">
        <v>3</v>
      </c>
      <c r="M499" t="s">
        <v>4295</v>
      </c>
      <c r="O499" t="s">
        <v>4296</v>
      </c>
      <c r="P499" t="s">
        <v>4297</v>
      </c>
      <c r="Q499" t="s">
        <v>77</v>
      </c>
      <c r="R499" t="s">
        <v>168</v>
      </c>
      <c r="S499">
        <v>2022</v>
      </c>
      <c r="T499" s="2">
        <v>44572</v>
      </c>
      <c r="U499" t="s">
        <v>4298</v>
      </c>
      <c r="W499" t="s">
        <v>4299</v>
      </c>
      <c r="Y499">
        <f t="shared" si="21"/>
        <v>177</v>
      </c>
      <c r="Z499">
        <f t="shared" si="22"/>
        <v>1</v>
      </c>
      <c r="AA499">
        <f t="shared" si="23"/>
        <v>1</v>
      </c>
    </row>
    <row r="500" spans="1:27" x14ac:dyDescent="0.3">
      <c r="A500" t="s">
        <v>1350</v>
      </c>
      <c r="B500" t="s">
        <v>3870</v>
      </c>
      <c r="C500">
        <v>35126360</v>
      </c>
      <c r="D500" t="s">
        <v>4300</v>
      </c>
      <c r="E500">
        <v>0</v>
      </c>
      <c r="F500" t="s">
        <v>143</v>
      </c>
      <c r="G500">
        <v>65</v>
      </c>
      <c r="H500">
        <v>185</v>
      </c>
      <c r="I500">
        <v>87</v>
      </c>
      <c r="J500">
        <v>9</v>
      </c>
      <c r="K500" t="s">
        <v>4301</v>
      </c>
      <c r="L500">
        <v>2</v>
      </c>
      <c r="M500" t="s">
        <v>4302</v>
      </c>
      <c r="N500" t="s">
        <v>4303</v>
      </c>
      <c r="O500" t="s">
        <v>4304</v>
      </c>
      <c r="P500" t="s">
        <v>4305</v>
      </c>
      <c r="Q500" t="s">
        <v>4306</v>
      </c>
      <c r="R500" t="s">
        <v>99</v>
      </c>
      <c r="S500">
        <v>2022</v>
      </c>
      <c r="T500" s="2">
        <v>44599</v>
      </c>
      <c r="U500" t="s">
        <v>4307</v>
      </c>
      <c r="W500" t="s">
        <v>4308</v>
      </c>
      <c r="Y500">
        <f t="shared" si="21"/>
        <v>130</v>
      </c>
      <c r="Z500">
        <f t="shared" si="22"/>
        <v>1</v>
      </c>
      <c r="AA500">
        <f t="shared" si="23"/>
        <v>0</v>
      </c>
    </row>
    <row r="501" spans="1:27" x14ac:dyDescent="0.3">
      <c r="A501" t="s">
        <v>1350</v>
      </c>
      <c r="B501" t="s">
        <v>3870</v>
      </c>
      <c r="C501">
        <v>35207267</v>
      </c>
      <c r="D501" t="s">
        <v>4309</v>
      </c>
      <c r="E501">
        <v>0</v>
      </c>
      <c r="F501" t="s">
        <v>34</v>
      </c>
      <c r="G501">
        <v>64</v>
      </c>
      <c r="H501">
        <v>276</v>
      </c>
      <c r="I501">
        <v>11</v>
      </c>
      <c r="J501">
        <v>4</v>
      </c>
      <c r="K501" t="s">
        <v>4310</v>
      </c>
      <c r="L501">
        <v>3</v>
      </c>
      <c r="M501" t="s">
        <v>4311</v>
      </c>
      <c r="O501" t="s">
        <v>4312</v>
      </c>
      <c r="P501" t="s">
        <v>4313</v>
      </c>
      <c r="Q501" t="s">
        <v>4314</v>
      </c>
      <c r="R501" t="s">
        <v>3343</v>
      </c>
      <c r="S501">
        <v>2022</v>
      </c>
      <c r="T501" s="2">
        <v>44617</v>
      </c>
      <c r="U501" t="s">
        <v>4315</v>
      </c>
      <c r="W501" t="s">
        <v>4316</v>
      </c>
      <c r="Y501">
        <f t="shared" si="21"/>
        <v>192</v>
      </c>
      <c r="Z501">
        <f t="shared" si="22"/>
        <v>2</v>
      </c>
      <c r="AA501">
        <f t="shared" si="23"/>
        <v>0</v>
      </c>
    </row>
    <row r="502" spans="1:27" x14ac:dyDescent="0.3">
      <c r="A502" t="s">
        <v>2654</v>
      </c>
      <c r="B502" t="s">
        <v>3870</v>
      </c>
      <c r="C502">
        <v>35311972</v>
      </c>
      <c r="D502" t="s">
        <v>1379</v>
      </c>
      <c r="E502">
        <v>0</v>
      </c>
      <c r="F502" t="s">
        <v>143</v>
      </c>
      <c r="G502">
        <v>386</v>
      </c>
      <c r="H502">
        <v>3</v>
      </c>
      <c r="K502" t="s">
        <v>4368</v>
      </c>
      <c r="L502">
        <v>3</v>
      </c>
      <c r="M502" t="s">
        <v>4369</v>
      </c>
      <c r="N502" t="s">
        <v>4370</v>
      </c>
      <c r="O502" t="s">
        <v>1714</v>
      </c>
      <c r="P502" t="s">
        <v>4371</v>
      </c>
      <c r="Q502" t="s">
        <v>1716</v>
      </c>
      <c r="R502" t="s">
        <v>1526</v>
      </c>
      <c r="S502">
        <v>2022</v>
      </c>
      <c r="T502" s="2">
        <v>44641</v>
      </c>
      <c r="W502" t="s">
        <v>1718</v>
      </c>
      <c r="Y502">
        <f t="shared" si="21"/>
        <v>1158</v>
      </c>
      <c r="Z502">
        <f t="shared" si="22"/>
        <v>12</v>
      </c>
      <c r="AA502">
        <f t="shared" si="23"/>
        <v>0</v>
      </c>
    </row>
    <row r="503" spans="1:27" x14ac:dyDescent="0.3">
      <c r="A503" t="s">
        <v>2654</v>
      </c>
      <c r="B503" t="s">
        <v>3870</v>
      </c>
      <c r="C503">
        <v>35130933</v>
      </c>
      <c r="D503" t="s">
        <v>4317</v>
      </c>
      <c r="E503">
        <v>0</v>
      </c>
      <c r="F503" t="s">
        <v>143</v>
      </c>
      <c r="H503">
        <v>3</v>
      </c>
      <c r="J503">
        <v>4</v>
      </c>
      <c r="K503" t="s">
        <v>4372</v>
      </c>
      <c r="L503">
        <v>4</v>
      </c>
      <c r="M503" t="s">
        <v>4373</v>
      </c>
      <c r="N503" t="s">
        <v>4374</v>
      </c>
      <c r="O503" t="s">
        <v>4375</v>
      </c>
      <c r="P503" t="s">
        <v>4376</v>
      </c>
      <c r="Q503" t="s">
        <v>4377</v>
      </c>
      <c r="R503" t="s">
        <v>454</v>
      </c>
      <c r="S503">
        <v>2022</v>
      </c>
      <c r="T503" s="2">
        <v>44600</v>
      </c>
      <c r="U503" t="s">
        <v>4378</v>
      </c>
      <c r="W503" t="s">
        <v>2148</v>
      </c>
      <c r="Y503">
        <f t="shared" si="21"/>
        <v>0</v>
      </c>
      <c r="Z503">
        <f t="shared" si="22"/>
        <v>0</v>
      </c>
      <c r="AA503">
        <f t="shared" si="23"/>
        <v>0</v>
      </c>
    </row>
    <row r="504" spans="1:27" x14ac:dyDescent="0.3">
      <c r="A504" t="s">
        <v>2654</v>
      </c>
      <c r="B504" t="s">
        <v>3870</v>
      </c>
      <c r="C504">
        <v>35123212</v>
      </c>
      <c r="D504" t="s">
        <v>4318</v>
      </c>
      <c r="E504">
        <v>0</v>
      </c>
      <c r="F504" t="s">
        <v>23</v>
      </c>
      <c r="H504">
        <v>1</v>
      </c>
      <c r="K504" t="s">
        <v>4379</v>
      </c>
      <c r="L504">
        <v>1</v>
      </c>
      <c r="M504" t="s">
        <v>4380</v>
      </c>
      <c r="N504" t="s">
        <v>4381</v>
      </c>
      <c r="O504" t="s">
        <v>4382</v>
      </c>
      <c r="P504" t="s">
        <v>4383</v>
      </c>
      <c r="Q504" t="s">
        <v>4384</v>
      </c>
      <c r="R504" t="s">
        <v>2899</v>
      </c>
      <c r="S504">
        <v>2022</v>
      </c>
      <c r="T504" s="2">
        <v>44597</v>
      </c>
      <c r="W504" t="s">
        <v>2155</v>
      </c>
      <c r="Y504">
        <f t="shared" si="21"/>
        <v>0</v>
      </c>
      <c r="Z504">
        <f t="shared" si="22"/>
        <v>0</v>
      </c>
      <c r="AA504">
        <f t="shared" si="23"/>
        <v>0</v>
      </c>
    </row>
    <row r="505" spans="1:27" x14ac:dyDescent="0.3">
      <c r="A505" t="s">
        <v>2654</v>
      </c>
      <c r="B505" t="s">
        <v>3870</v>
      </c>
      <c r="C505">
        <v>35229997</v>
      </c>
      <c r="D505" t="s">
        <v>4319</v>
      </c>
      <c r="E505">
        <v>0</v>
      </c>
      <c r="F505" t="s">
        <v>4320</v>
      </c>
      <c r="G505">
        <v>118</v>
      </c>
      <c r="H505">
        <v>1</v>
      </c>
      <c r="J505">
        <v>1</v>
      </c>
      <c r="K505" t="s">
        <v>835</v>
      </c>
      <c r="L505">
        <v>1</v>
      </c>
      <c r="M505" t="s">
        <v>4385</v>
      </c>
      <c r="N505" t="s">
        <v>4386</v>
      </c>
      <c r="O505" t="s">
        <v>4387</v>
      </c>
      <c r="P505" t="s">
        <v>4388</v>
      </c>
      <c r="Q505" t="s">
        <v>4389</v>
      </c>
      <c r="R505" t="s">
        <v>1707</v>
      </c>
      <c r="S505">
        <v>2022</v>
      </c>
      <c r="T505" s="2">
        <v>44621</v>
      </c>
      <c r="U505" t="s">
        <v>4390</v>
      </c>
      <c r="W505" t="s">
        <v>2165</v>
      </c>
      <c r="Y505">
        <f t="shared" si="21"/>
        <v>118</v>
      </c>
      <c r="Z505">
        <f t="shared" si="22"/>
        <v>1</v>
      </c>
      <c r="AA505">
        <f t="shared" si="23"/>
        <v>0</v>
      </c>
    </row>
    <row r="506" spans="1:27" x14ac:dyDescent="0.3">
      <c r="A506" t="s">
        <v>2654</v>
      </c>
      <c r="B506" t="s">
        <v>3870</v>
      </c>
      <c r="C506">
        <v>33759425</v>
      </c>
      <c r="D506" t="s">
        <v>4321</v>
      </c>
      <c r="E506">
        <v>0</v>
      </c>
      <c r="F506" t="s">
        <v>4322</v>
      </c>
      <c r="G506">
        <v>184</v>
      </c>
      <c r="H506">
        <v>1</v>
      </c>
      <c r="K506" t="s">
        <v>835</v>
      </c>
      <c r="L506">
        <v>1</v>
      </c>
      <c r="M506" t="s">
        <v>4391</v>
      </c>
      <c r="N506" t="s">
        <v>4392</v>
      </c>
      <c r="O506" t="s">
        <v>4393</v>
      </c>
      <c r="P506" t="s">
        <v>4394</v>
      </c>
      <c r="Q506" t="s">
        <v>4395</v>
      </c>
      <c r="R506" t="s">
        <v>187</v>
      </c>
      <c r="S506">
        <v>2021</v>
      </c>
      <c r="T506" s="2">
        <v>44279</v>
      </c>
      <c r="W506" t="s">
        <v>2173</v>
      </c>
      <c r="Y506">
        <f t="shared" si="21"/>
        <v>184</v>
      </c>
      <c r="Z506">
        <f t="shared" si="22"/>
        <v>1</v>
      </c>
      <c r="AA506">
        <f t="shared" si="23"/>
        <v>1</v>
      </c>
    </row>
    <row r="507" spans="1:27" x14ac:dyDescent="0.3">
      <c r="A507" t="s">
        <v>2654</v>
      </c>
      <c r="B507" t="s">
        <v>3870</v>
      </c>
      <c r="C507">
        <v>35041115</v>
      </c>
      <c r="D507" t="s">
        <v>4323</v>
      </c>
      <c r="E507">
        <v>0</v>
      </c>
      <c r="F507" t="s">
        <v>1103</v>
      </c>
      <c r="G507">
        <v>148</v>
      </c>
      <c r="H507">
        <v>1</v>
      </c>
      <c r="J507">
        <v>1</v>
      </c>
      <c r="K507" t="s">
        <v>835</v>
      </c>
      <c r="L507">
        <v>1</v>
      </c>
      <c r="M507" t="s">
        <v>4396</v>
      </c>
      <c r="O507" t="s">
        <v>4397</v>
      </c>
      <c r="P507" t="s">
        <v>4398</v>
      </c>
      <c r="Q507" t="s">
        <v>4399</v>
      </c>
      <c r="R507" t="s">
        <v>4400</v>
      </c>
      <c r="S507">
        <v>2022</v>
      </c>
      <c r="T507" s="2">
        <v>44579</v>
      </c>
      <c r="W507" t="s">
        <v>2182</v>
      </c>
      <c r="Y507">
        <f t="shared" si="21"/>
        <v>148</v>
      </c>
      <c r="Z507">
        <f t="shared" si="22"/>
        <v>1</v>
      </c>
      <c r="AA507">
        <f t="shared" si="23"/>
        <v>1</v>
      </c>
    </row>
    <row r="508" spans="1:27" x14ac:dyDescent="0.3">
      <c r="A508" t="s">
        <v>2654</v>
      </c>
      <c r="B508" t="s">
        <v>3870</v>
      </c>
      <c r="C508">
        <v>35098969</v>
      </c>
      <c r="D508" t="s">
        <v>4324</v>
      </c>
      <c r="E508">
        <v>0</v>
      </c>
      <c r="F508" t="s">
        <v>143</v>
      </c>
      <c r="G508">
        <v>115</v>
      </c>
      <c r="H508">
        <v>2</v>
      </c>
      <c r="J508">
        <v>2</v>
      </c>
      <c r="K508" t="s">
        <v>2591</v>
      </c>
      <c r="L508">
        <v>1</v>
      </c>
      <c r="N508" t="s">
        <v>4401</v>
      </c>
      <c r="O508" t="s">
        <v>4402</v>
      </c>
      <c r="P508" t="s">
        <v>4403</v>
      </c>
      <c r="Q508" t="s">
        <v>4404</v>
      </c>
      <c r="R508" t="s">
        <v>4405</v>
      </c>
      <c r="S508">
        <v>2022</v>
      </c>
      <c r="T508" s="2">
        <v>44592</v>
      </c>
      <c r="W508" t="s">
        <v>2190</v>
      </c>
      <c r="Y508">
        <f t="shared" si="21"/>
        <v>115</v>
      </c>
      <c r="Z508">
        <f t="shared" si="22"/>
        <v>1</v>
      </c>
      <c r="AA508">
        <f t="shared" si="23"/>
        <v>0</v>
      </c>
    </row>
    <row r="509" spans="1:27" x14ac:dyDescent="0.3">
      <c r="A509" t="s">
        <v>2654</v>
      </c>
      <c r="B509" t="s">
        <v>3870</v>
      </c>
      <c r="C509">
        <v>35149357</v>
      </c>
      <c r="D509" t="s">
        <v>4325</v>
      </c>
      <c r="E509">
        <v>0</v>
      </c>
      <c r="F509" t="s">
        <v>4326</v>
      </c>
      <c r="G509">
        <v>16</v>
      </c>
      <c r="H509">
        <v>5</v>
      </c>
      <c r="J509">
        <v>3</v>
      </c>
      <c r="K509" t="s">
        <v>4406</v>
      </c>
      <c r="L509">
        <v>1</v>
      </c>
      <c r="N509" t="s">
        <v>4407</v>
      </c>
      <c r="O509" t="s">
        <v>4408</v>
      </c>
      <c r="P509" t="s">
        <v>4409</v>
      </c>
      <c r="Q509" t="s">
        <v>4410</v>
      </c>
      <c r="R509" t="s">
        <v>1897</v>
      </c>
      <c r="S509">
        <v>2022</v>
      </c>
      <c r="T509" s="2">
        <v>44604</v>
      </c>
      <c r="W509" t="s">
        <v>2196</v>
      </c>
      <c r="Y509">
        <f t="shared" si="21"/>
        <v>16</v>
      </c>
      <c r="Z509">
        <f t="shared" si="22"/>
        <v>0</v>
      </c>
      <c r="AA509">
        <f t="shared" si="23"/>
        <v>0</v>
      </c>
    </row>
    <row r="510" spans="1:27" x14ac:dyDescent="0.3">
      <c r="A510" t="s">
        <v>2654</v>
      </c>
      <c r="B510" t="s">
        <v>3870</v>
      </c>
      <c r="C510">
        <v>35360274</v>
      </c>
      <c r="D510" t="s">
        <v>4327</v>
      </c>
      <c r="E510">
        <v>0</v>
      </c>
      <c r="F510" t="s">
        <v>143</v>
      </c>
      <c r="G510">
        <v>70</v>
      </c>
      <c r="H510">
        <v>3</v>
      </c>
      <c r="J510">
        <v>0</v>
      </c>
      <c r="K510" t="s">
        <v>4411</v>
      </c>
      <c r="L510">
        <v>1</v>
      </c>
      <c r="M510" t="s">
        <v>4412</v>
      </c>
      <c r="N510" t="s">
        <v>4413</v>
      </c>
      <c r="O510" t="s">
        <v>4414</v>
      </c>
      <c r="P510" t="s">
        <v>4415</v>
      </c>
      <c r="Q510" t="s">
        <v>4416</v>
      </c>
      <c r="R510" t="s">
        <v>4417</v>
      </c>
      <c r="S510">
        <v>2022</v>
      </c>
      <c r="T510" s="2">
        <v>44652</v>
      </c>
      <c r="U510" t="s">
        <v>4418</v>
      </c>
      <c r="W510" t="s">
        <v>2201</v>
      </c>
      <c r="Y510">
        <f t="shared" si="21"/>
        <v>70</v>
      </c>
      <c r="Z510">
        <f t="shared" si="22"/>
        <v>0</v>
      </c>
      <c r="AA510">
        <f t="shared" si="23"/>
        <v>1</v>
      </c>
    </row>
    <row r="511" spans="1:27" x14ac:dyDescent="0.3">
      <c r="A511" t="s">
        <v>2654</v>
      </c>
      <c r="B511" t="s">
        <v>3870</v>
      </c>
      <c r="C511">
        <v>35264424</v>
      </c>
      <c r="D511" t="s">
        <v>4328</v>
      </c>
      <c r="E511">
        <v>0</v>
      </c>
      <c r="F511" t="s">
        <v>143</v>
      </c>
      <c r="G511">
        <v>129</v>
      </c>
      <c r="H511">
        <v>1</v>
      </c>
      <c r="J511">
        <v>1</v>
      </c>
      <c r="K511" t="s">
        <v>835</v>
      </c>
      <c r="L511">
        <v>2</v>
      </c>
      <c r="M511" t="s">
        <v>4419</v>
      </c>
      <c r="N511" t="s">
        <v>4420</v>
      </c>
      <c r="O511" t="s">
        <v>4421</v>
      </c>
      <c r="P511" t="s">
        <v>4422</v>
      </c>
      <c r="Q511" t="s">
        <v>4423</v>
      </c>
      <c r="R511" t="s">
        <v>143</v>
      </c>
      <c r="S511">
        <v>2022</v>
      </c>
      <c r="T511" s="2">
        <v>44630</v>
      </c>
      <c r="W511" t="s">
        <v>2208</v>
      </c>
      <c r="Y511">
        <f t="shared" si="21"/>
        <v>258</v>
      </c>
      <c r="Z511">
        <f t="shared" si="22"/>
        <v>2</v>
      </c>
      <c r="AA511">
        <f t="shared" si="23"/>
        <v>1</v>
      </c>
    </row>
    <row r="512" spans="1:27" x14ac:dyDescent="0.3">
      <c r="A512" t="s">
        <v>2654</v>
      </c>
      <c r="B512" t="s">
        <v>3870</v>
      </c>
      <c r="C512">
        <v>35195758</v>
      </c>
      <c r="D512" t="s">
        <v>4329</v>
      </c>
      <c r="E512">
        <v>0</v>
      </c>
      <c r="F512" t="s">
        <v>1405</v>
      </c>
      <c r="G512">
        <v>312</v>
      </c>
      <c r="H512">
        <v>6</v>
      </c>
      <c r="J512">
        <v>3</v>
      </c>
      <c r="K512" t="s">
        <v>4424</v>
      </c>
      <c r="L512">
        <v>1</v>
      </c>
      <c r="M512" t="s">
        <v>4425</v>
      </c>
      <c r="N512" t="s">
        <v>4426</v>
      </c>
      <c r="O512" t="s">
        <v>4427</v>
      </c>
      <c r="P512" t="s">
        <v>4428</v>
      </c>
      <c r="Q512" t="s">
        <v>4429</v>
      </c>
      <c r="R512" t="s">
        <v>4430</v>
      </c>
      <c r="S512">
        <v>2022</v>
      </c>
      <c r="T512" s="2">
        <v>44615</v>
      </c>
      <c r="U512" t="s">
        <v>4431</v>
      </c>
      <c r="W512" t="s">
        <v>4432</v>
      </c>
      <c r="Y512">
        <f t="shared" si="21"/>
        <v>312</v>
      </c>
      <c r="Z512">
        <f t="shared" si="22"/>
        <v>3</v>
      </c>
      <c r="AA512">
        <f t="shared" si="23"/>
        <v>0</v>
      </c>
    </row>
    <row r="513" spans="1:27" x14ac:dyDescent="0.3">
      <c r="A513" t="s">
        <v>2654</v>
      </c>
      <c r="B513" t="s">
        <v>3870</v>
      </c>
      <c r="C513">
        <v>35280304</v>
      </c>
      <c r="D513" t="s">
        <v>4330</v>
      </c>
      <c r="E513">
        <v>0</v>
      </c>
      <c r="F513" t="s">
        <v>4331</v>
      </c>
      <c r="G513">
        <v>60</v>
      </c>
      <c r="H513">
        <v>6</v>
      </c>
      <c r="J513">
        <v>3</v>
      </c>
      <c r="K513" t="s">
        <v>4433</v>
      </c>
      <c r="L513">
        <v>1</v>
      </c>
      <c r="M513" t="s">
        <v>4434</v>
      </c>
      <c r="N513" t="s">
        <v>4435</v>
      </c>
      <c r="O513" t="s">
        <v>4436</v>
      </c>
      <c r="P513" t="s">
        <v>4437</v>
      </c>
      <c r="Q513" t="s">
        <v>4438</v>
      </c>
      <c r="R513" t="s">
        <v>1970</v>
      </c>
      <c r="S513">
        <v>2022</v>
      </c>
      <c r="T513" s="2">
        <v>44634</v>
      </c>
      <c r="U513" t="s">
        <v>4439</v>
      </c>
      <c r="W513" t="s">
        <v>2216</v>
      </c>
      <c r="Y513">
        <f t="shared" si="21"/>
        <v>60</v>
      </c>
      <c r="Z513">
        <f t="shared" si="22"/>
        <v>0</v>
      </c>
      <c r="AA513">
        <f t="shared" si="23"/>
        <v>1</v>
      </c>
    </row>
    <row r="514" spans="1:27" x14ac:dyDescent="0.3">
      <c r="A514" t="s">
        <v>2654</v>
      </c>
      <c r="B514" t="s">
        <v>3870</v>
      </c>
      <c r="C514">
        <v>35132426</v>
      </c>
      <c r="D514" t="s">
        <v>4332</v>
      </c>
      <c r="E514">
        <v>0</v>
      </c>
      <c r="F514" t="s">
        <v>4333</v>
      </c>
      <c r="K514" t="s">
        <v>4440</v>
      </c>
      <c r="M514" t="s">
        <v>4441</v>
      </c>
      <c r="O514" t="s">
        <v>4442</v>
      </c>
      <c r="P514" t="s">
        <v>4443</v>
      </c>
      <c r="Q514" t="s">
        <v>4444</v>
      </c>
      <c r="R514" t="s">
        <v>3949</v>
      </c>
      <c r="S514">
        <v>2022</v>
      </c>
      <c r="T514" s="2">
        <v>44600</v>
      </c>
      <c r="U514" t="s">
        <v>4445</v>
      </c>
      <c r="W514" t="s">
        <v>2222</v>
      </c>
      <c r="Y514">
        <f t="shared" si="21"/>
        <v>0</v>
      </c>
      <c r="Z514">
        <f t="shared" si="22"/>
        <v>0</v>
      </c>
      <c r="AA514">
        <f t="shared" si="23"/>
        <v>0</v>
      </c>
    </row>
    <row r="515" spans="1:27" x14ac:dyDescent="0.3">
      <c r="A515" t="s">
        <v>2654</v>
      </c>
      <c r="B515" t="s">
        <v>3870</v>
      </c>
      <c r="C515">
        <v>35250809</v>
      </c>
      <c r="D515" t="s">
        <v>4334</v>
      </c>
      <c r="E515">
        <v>0</v>
      </c>
      <c r="F515" t="s">
        <v>4335</v>
      </c>
      <c r="G515">
        <v>98</v>
      </c>
      <c r="H515">
        <v>2</v>
      </c>
      <c r="J515">
        <v>0</v>
      </c>
      <c r="K515" t="s">
        <v>1786</v>
      </c>
      <c r="L515">
        <v>2</v>
      </c>
      <c r="M515" t="s">
        <v>4446</v>
      </c>
      <c r="N515" t="s">
        <v>4447</v>
      </c>
      <c r="O515" t="s">
        <v>4448</v>
      </c>
      <c r="P515" t="s">
        <v>4449</v>
      </c>
      <c r="Q515" t="s">
        <v>4450</v>
      </c>
      <c r="R515" t="s">
        <v>1970</v>
      </c>
      <c r="S515">
        <v>2022</v>
      </c>
      <c r="T515" s="2">
        <v>44627</v>
      </c>
      <c r="U515" t="s">
        <v>4451</v>
      </c>
      <c r="W515" t="s">
        <v>2230</v>
      </c>
      <c r="Y515">
        <f t="shared" ref="Y515:Y578" si="24">IFERROR(L515*G515,"N/A")</f>
        <v>196</v>
      </c>
      <c r="Z515">
        <f t="shared" ref="Z515:Z578" si="25">IFERROR(ROUNDDOWN(Y515/96,0),"")</f>
        <v>2</v>
      </c>
      <c r="AA515">
        <f t="shared" ref="AA515:AA578" si="26">IFERROR(ROUNDDOWN((MOD(Y515,96)/48),0),"")</f>
        <v>0</v>
      </c>
    </row>
    <row r="516" spans="1:27" x14ac:dyDescent="0.3">
      <c r="A516" t="s">
        <v>2654</v>
      </c>
      <c r="B516" t="s">
        <v>3870</v>
      </c>
      <c r="C516">
        <v>34776417</v>
      </c>
      <c r="D516" t="s">
        <v>4336</v>
      </c>
      <c r="E516">
        <v>0</v>
      </c>
      <c r="F516" t="s">
        <v>4335</v>
      </c>
      <c r="G516">
        <v>50</v>
      </c>
      <c r="H516">
        <v>2</v>
      </c>
      <c r="J516">
        <v>0</v>
      </c>
      <c r="K516" t="s">
        <v>4452</v>
      </c>
      <c r="L516">
        <v>1</v>
      </c>
      <c r="N516" t="s">
        <v>4453</v>
      </c>
      <c r="O516" t="s">
        <v>4454</v>
      </c>
      <c r="P516" t="s">
        <v>4455</v>
      </c>
      <c r="Q516" t="s">
        <v>4456</v>
      </c>
      <c r="R516" t="s">
        <v>4457</v>
      </c>
      <c r="S516">
        <v>2022</v>
      </c>
      <c r="T516" s="2">
        <v>44515</v>
      </c>
      <c r="W516" t="s">
        <v>2239</v>
      </c>
      <c r="Y516">
        <f t="shared" si="24"/>
        <v>50</v>
      </c>
      <c r="Z516">
        <f t="shared" si="25"/>
        <v>0</v>
      </c>
      <c r="AA516">
        <f t="shared" si="26"/>
        <v>1</v>
      </c>
    </row>
    <row r="517" spans="1:27" x14ac:dyDescent="0.3">
      <c r="A517" t="s">
        <v>2654</v>
      </c>
      <c r="B517" t="s">
        <v>3870</v>
      </c>
      <c r="C517">
        <v>35452865</v>
      </c>
      <c r="D517" t="s">
        <v>4337</v>
      </c>
      <c r="E517">
        <v>0</v>
      </c>
      <c r="F517" t="s">
        <v>4338</v>
      </c>
      <c r="G517">
        <v>7758</v>
      </c>
      <c r="H517">
        <v>3</v>
      </c>
      <c r="J517">
        <v>1</v>
      </c>
      <c r="K517" t="s">
        <v>4458</v>
      </c>
      <c r="L517">
        <v>1</v>
      </c>
      <c r="M517" t="s">
        <v>4459</v>
      </c>
      <c r="N517" t="s">
        <v>4460</v>
      </c>
      <c r="O517" t="s">
        <v>4461</v>
      </c>
      <c r="P517" t="s">
        <v>4462</v>
      </c>
      <c r="Q517" t="s">
        <v>4463</v>
      </c>
      <c r="R517" t="s">
        <v>889</v>
      </c>
      <c r="S517">
        <v>2022</v>
      </c>
      <c r="T517" s="2">
        <v>44673</v>
      </c>
      <c r="W517" t="s">
        <v>2245</v>
      </c>
      <c r="Y517">
        <f t="shared" si="24"/>
        <v>7758</v>
      </c>
      <c r="Z517">
        <f t="shared" si="25"/>
        <v>80</v>
      </c>
      <c r="AA517">
        <f t="shared" si="26"/>
        <v>1</v>
      </c>
    </row>
    <row r="518" spans="1:27" x14ac:dyDescent="0.3">
      <c r="A518" t="s">
        <v>2654</v>
      </c>
      <c r="B518" t="s">
        <v>3870</v>
      </c>
      <c r="C518">
        <v>35084051</v>
      </c>
      <c r="D518" t="s">
        <v>4339</v>
      </c>
      <c r="E518">
        <v>0</v>
      </c>
      <c r="F518" t="s">
        <v>143</v>
      </c>
      <c r="G518">
        <v>244</v>
      </c>
      <c r="H518">
        <v>3</v>
      </c>
      <c r="J518">
        <v>1</v>
      </c>
      <c r="K518" t="s">
        <v>4464</v>
      </c>
      <c r="L518">
        <v>2</v>
      </c>
      <c r="N518" t="s">
        <v>4465</v>
      </c>
      <c r="O518" t="s">
        <v>4466</v>
      </c>
      <c r="P518" t="s">
        <v>4467</v>
      </c>
      <c r="Q518" t="s">
        <v>4468</v>
      </c>
      <c r="R518" t="s">
        <v>4469</v>
      </c>
      <c r="S518">
        <v>2022</v>
      </c>
      <c r="T518" s="2">
        <v>44588</v>
      </c>
      <c r="W518" t="s">
        <v>2253</v>
      </c>
      <c r="Y518">
        <f t="shared" si="24"/>
        <v>488</v>
      </c>
      <c r="Z518">
        <f t="shared" si="25"/>
        <v>5</v>
      </c>
      <c r="AA518">
        <f t="shared" si="26"/>
        <v>0</v>
      </c>
    </row>
    <row r="519" spans="1:27" x14ac:dyDescent="0.3">
      <c r="A519" t="s">
        <v>2654</v>
      </c>
      <c r="B519" t="s">
        <v>3870</v>
      </c>
      <c r="C519" s="16">
        <v>35131863</v>
      </c>
      <c r="D519" s="16" t="s">
        <v>4340</v>
      </c>
      <c r="E519" s="16">
        <v>1</v>
      </c>
      <c r="F519" s="16" t="s">
        <v>82</v>
      </c>
      <c r="G519" s="16">
        <v>507</v>
      </c>
      <c r="H519" s="16">
        <v>1</v>
      </c>
      <c r="J519" s="16">
        <v>1</v>
      </c>
      <c r="K519" s="16" t="s">
        <v>4470</v>
      </c>
      <c r="L519" s="16">
        <v>1</v>
      </c>
      <c r="M519" s="16" t="s">
        <v>4471</v>
      </c>
      <c r="N519" s="16" t="s">
        <v>4472</v>
      </c>
      <c r="O519" s="16" t="s">
        <v>4473</v>
      </c>
      <c r="P519" s="16" t="s">
        <v>4474</v>
      </c>
      <c r="Q519" s="16" t="s">
        <v>4475</v>
      </c>
      <c r="R519" s="16" t="s">
        <v>2892</v>
      </c>
      <c r="S519" s="16">
        <v>2022</v>
      </c>
      <c r="T519" s="18">
        <v>44600</v>
      </c>
      <c r="U519" s="16" t="s">
        <v>4476</v>
      </c>
      <c r="V519" s="16"/>
      <c r="W519" s="16" t="s">
        <v>2261</v>
      </c>
      <c r="Y519">
        <f t="shared" si="24"/>
        <v>507</v>
      </c>
      <c r="Z519">
        <f t="shared" si="25"/>
        <v>5</v>
      </c>
      <c r="AA519">
        <f t="shared" si="26"/>
        <v>0</v>
      </c>
    </row>
    <row r="520" spans="1:27" x14ac:dyDescent="0.3">
      <c r="A520" t="s">
        <v>2654</v>
      </c>
      <c r="B520" t="s">
        <v>3870</v>
      </c>
      <c r="C520">
        <v>35309573</v>
      </c>
      <c r="D520" t="s">
        <v>4341</v>
      </c>
      <c r="E520">
        <v>0</v>
      </c>
      <c r="F520" t="s">
        <v>143</v>
      </c>
      <c r="G520">
        <v>60</v>
      </c>
      <c r="H520">
        <v>1</v>
      </c>
      <c r="J520">
        <v>1</v>
      </c>
      <c r="K520" t="s">
        <v>835</v>
      </c>
      <c r="L520">
        <v>1</v>
      </c>
      <c r="M520" t="s">
        <v>4477</v>
      </c>
      <c r="N520" t="s">
        <v>4478</v>
      </c>
      <c r="O520" t="s">
        <v>4479</v>
      </c>
      <c r="P520" t="s">
        <v>4480</v>
      </c>
      <c r="Q520" t="s">
        <v>4481</v>
      </c>
      <c r="R520" t="s">
        <v>1970</v>
      </c>
      <c r="S520">
        <v>2022</v>
      </c>
      <c r="T520" s="2">
        <v>44641</v>
      </c>
      <c r="U520" t="s">
        <v>4482</v>
      </c>
      <c r="W520" t="s">
        <v>2269</v>
      </c>
      <c r="Y520">
        <f t="shared" si="24"/>
        <v>60</v>
      </c>
      <c r="Z520">
        <f t="shared" si="25"/>
        <v>0</v>
      </c>
      <c r="AA520">
        <f t="shared" si="26"/>
        <v>1</v>
      </c>
    </row>
    <row r="521" spans="1:27" x14ac:dyDescent="0.3">
      <c r="A521" t="s">
        <v>2654</v>
      </c>
      <c r="B521" t="s">
        <v>3870</v>
      </c>
      <c r="C521">
        <v>35124870</v>
      </c>
      <c r="D521" t="s">
        <v>4342</v>
      </c>
      <c r="E521">
        <v>0</v>
      </c>
      <c r="F521" t="s">
        <v>143</v>
      </c>
      <c r="G521">
        <v>140</v>
      </c>
      <c r="H521">
        <v>3</v>
      </c>
      <c r="J521">
        <v>3</v>
      </c>
      <c r="K521" t="s">
        <v>4483</v>
      </c>
      <c r="L521">
        <v>1</v>
      </c>
      <c r="M521" t="s">
        <v>4484</v>
      </c>
      <c r="N521" t="s">
        <v>4485</v>
      </c>
      <c r="O521" t="s">
        <v>4486</v>
      </c>
      <c r="P521" t="s">
        <v>4487</v>
      </c>
      <c r="Q521" t="s">
        <v>4488</v>
      </c>
      <c r="R521" t="s">
        <v>1571</v>
      </c>
      <c r="S521">
        <v>2022</v>
      </c>
      <c r="T521" s="2">
        <v>44598</v>
      </c>
      <c r="W521" t="s">
        <v>2278</v>
      </c>
      <c r="Y521">
        <f t="shared" si="24"/>
        <v>140</v>
      </c>
      <c r="Z521">
        <f t="shared" si="25"/>
        <v>1</v>
      </c>
      <c r="AA521">
        <f t="shared" si="26"/>
        <v>0</v>
      </c>
    </row>
    <row r="522" spans="1:27" x14ac:dyDescent="0.3">
      <c r="A522" t="s">
        <v>2654</v>
      </c>
      <c r="B522" t="s">
        <v>3870</v>
      </c>
      <c r="C522">
        <v>35126292</v>
      </c>
      <c r="D522" t="s">
        <v>4343</v>
      </c>
      <c r="E522">
        <v>0</v>
      </c>
      <c r="F522" t="s">
        <v>143</v>
      </c>
      <c r="G522">
        <v>369</v>
      </c>
      <c r="H522">
        <v>4</v>
      </c>
      <c r="K522" t="s">
        <v>4489</v>
      </c>
      <c r="L522">
        <v>1</v>
      </c>
      <c r="M522" t="s">
        <v>2141</v>
      </c>
      <c r="N522" t="s">
        <v>4490</v>
      </c>
      <c r="O522" t="s">
        <v>4491</v>
      </c>
      <c r="P522" t="s">
        <v>4492</v>
      </c>
      <c r="Q522" t="s">
        <v>4493</v>
      </c>
      <c r="R522" t="s">
        <v>1970</v>
      </c>
      <c r="S522">
        <v>2022</v>
      </c>
      <c r="T522" s="2">
        <v>44599</v>
      </c>
      <c r="U522" t="s">
        <v>4494</v>
      </c>
      <c r="W522" t="s">
        <v>2284</v>
      </c>
      <c r="Y522">
        <f t="shared" si="24"/>
        <v>369</v>
      </c>
      <c r="Z522">
        <f t="shared" si="25"/>
        <v>3</v>
      </c>
      <c r="AA522">
        <f t="shared" si="26"/>
        <v>1</v>
      </c>
    </row>
    <row r="523" spans="1:27" x14ac:dyDescent="0.3">
      <c r="A523" t="s">
        <v>2654</v>
      </c>
      <c r="B523" t="s">
        <v>3870</v>
      </c>
      <c r="C523">
        <v>35386690</v>
      </c>
      <c r="D523" t="s">
        <v>4344</v>
      </c>
      <c r="E523">
        <v>0</v>
      </c>
      <c r="F523" t="s">
        <v>4345</v>
      </c>
      <c r="G523">
        <v>138</v>
      </c>
      <c r="H523">
        <v>1</v>
      </c>
      <c r="J523">
        <v>0</v>
      </c>
      <c r="K523" t="s">
        <v>835</v>
      </c>
      <c r="L523">
        <v>1</v>
      </c>
      <c r="M523" t="s">
        <v>4495</v>
      </c>
      <c r="N523" t="s">
        <v>4496</v>
      </c>
      <c r="O523" t="s">
        <v>4497</v>
      </c>
      <c r="P523" t="s">
        <v>4498</v>
      </c>
      <c r="Q523" t="s">
        <v>4499</v>
      </c>
      <c r="R523" t="s">
        <v>99</v>
      </c>
      <c r="S523">
        <v>2022</v>
      </c>
      <c r="T523" s="2">
        <v>44658</v>
      </c>
      <c r="U523" t="s">
        <v>4500</v>
      </c>
      <c r="W523" t="s">
        <v>2293</v>
      </c>
      <c r="Y523">
        <f t="shared" si="24"/>
        <v>138</v>
      </c>
      <c r="Z523">
        <f t="shared" si="25"/>
        <v>1</v>
      </c>
      <c r="AA523">
        <f t="shared" si="26"/>
        <v>0</v>
      </c>
    </row>
    <row r="524" spans="1:27" x14ac:dyDescent="0.3">
      <c r="A524" t="s">
        <v>2654</v>
      </c>
      <c r="B524" t="s">
        <v>3870</v>
      </c>
      <c r="C524" s="16">
        <v>35031587</v>
      </c>
      <c r="D524" s="16" t="s">
        <v>4346</v>
      </c>
      <c r="E524" s="16">
        <v>0</v>
      </c>
      <c r="F524" s="16" t="s">
        <v>4345</v>
      </c>
      <c r="G524" s="16">
        <v>280</v>
      </c>
      <c r="H524" s="16">
        <v>2</v>
      </c>
      <c r="J524" s="16"/>
      <c r="K524" s="16" t="s">
        <v>4501</v>
      </c>
      <c r="L524" s="16">
        <v>2</v>
      </c>
      <c r="M524" s="16" t="s">
        <v>4502</v>
      </c>
      <c r="N524" s="16" t="s">
        <v>4503</v>
      </c>
      <c r="O524" s="16" t="s">
        <v>4504</v>
      </c>
      <c r="P524" s="16" t="s">
        <v>4505</v>
      </c>
      <c r="Q524" s="16" t="s">
        <v>4506</v>
      </c>
      <c r="R524" s="16" t="s">
        <v>2320</v>
      </c>
      <c r="S524" s="16">
        <v>2022</v>
      </c>
      <c r="T524" s="18">
        <v>44576</v>
      </c>
      <c r="U524" s="16" t="s">
        <v>4507</v>
      </c>
      <c r="V524" s="16"/>
      <c r="W524" s="16" t="s">
        <v>4508</v>
      </c>
      <c r="Y524">
        <f t="shared" si="24"/>
        <v>560</v>
      </c>
      <c r="Z524">
        <f t="shared" si="25"/>
        <v>5</v>
      </c>
      <c r="AA524">
        <f t="shared" si="26"/>
        <v>1</v>
      </c>
    </row>
    <row r="525" spans="1:27" x14ac:dyDescent="0.3">
      <c r="A525" t="s">
        <v>2654</v>
      </c>
      <c r="B525" t="s">
        <v>3870</v>
      </c>
      <c r="C525">
        <v>35194599</v>
      </c>
      <c r="D525" t="s">
        <v>4347</v>
      </c>
      <c r="E525">
        <v>1</v>
      </c>
      <c r="F525" t="s">
        <v>4348</v>
      </c>
      <c r="G525">
        <v>300</v>
      </c>
      <c r="H525">
        <v>1</v>
      </c>
      <c r="J525">
        <v>1</v>
      </c>
      <c r="K525" t="s">
        <v>4509</v>
      </c>
      <c r="L525">
        <v>1</v>
      </c>
      <c r="M525" t="s">
        <v>4510</v>
      </c>
      <c r="N525" t="s">
        <v>4511</v>
      </c>
      <c r="O525" t="s">
        <v>4512</v>
      </c>
      <c r="P525" t="s">
        <v>4513</v>
      </c>
      <c r="Q525" t="s">
        <v>4444</v>
      </c>
      <c r="R525" t="s">
        <v>291</v>
      </c>
      <c r="S525">
        <v>2022</v>
      </c>
      <c r="T525" s="2">
        <v>44615</v>
      </c>
      <c r="U525" t="s">
        <v>4514</v>
      </c>
      <c r="W525" t="s">
        <v>2299</v>
      </c>
      <c r="Y525">
        <f t="shared" si="24"/>
        <v>300</v>
      </c>
      <c r="Z525">
        <f t="shared" si="25"/>
        <v>3</v>
      </c>
      <c r="AA525">
        <f t="shared" si="26"/>
        <v>0</v>
      </c>
    </row>
    <row r="526" spans="1:27" x14ac:dyDescent="0.3">
      <c r="A526" t="s">
        <v>2654</v>
      </c>
      <c r="B526" t="s">
        <v>3870</v>
      </c>
      <c r="C526">
        <v>35334608</v>
      </c>
      <c r="D526" t="s">
        <v>4349</v>
      </c>
      <c r="E526">
        <v>0</v>
      </c>
      <c r="F526" t="s">
        <v>143</v>
      </c>
      <c r="G526">
        <v>474</v>
      </c>
      <c r="H526">
        <v>1</v>
      </c>
      <c r="J526">
        <v>1</v>
      </c>
      <c r="K526" t="s">
        <v>835</v>
      </c>
      <c r="L526">
        <v>1</v>
      </c>
      <c r="M526" t="s">
        <v>4515</v>
      </c>
      <c r="N526" t="s">
        <v>4516</v>
      </c>
      <c r="O526" t="s">
        <v>4517</v>
      </c>
      <c r="P526" t="s">
        <v>4518</v>
      </c>
      <c r="Q526" t="s">
        <v>4519</v>
      </c>
      <c r="R526" t="s">
        <v>4520</v>
      </c>
      <c r="S526">
        <v>2022</v>
      </c>
      <c r="T526" s="2">
        <v>44646</v>
      </c>
      <c r="U526" t="s">
        <v>4521</v>
      </c>
      <c r="W526" t="s">
        <v>2306</v>
      </c>
      <c r="Y526">
        <f t="shared" si="24"/>
        <v>474</v>
      </c>
      <c r="Z526">
        <f t="shared" si="25"/>
        <v>4</v>
      </c>
      <c r="AA526">
        <f t="shared" si="26"/>
        <v>1</v>
      </c>
    </row>
    <row r="527" spans="1:27" x14ac:dyDescent="0.3">
      <c r="A527" t="s">
        <v>2654</v>
      </c>
      <c r="B527" t="s">
        <v>3870</v>
      </c>
      <c r="C527">
        <v>35312143</v>
      </c>
      <c r="D527" t="s">
        <v>4350</v>
      </c>
      <c r="E527">
        <v>0</v>
      </c>
      <c r="F527" t="s">
        <v>143</v>
      </c>
      <c r="G527">
        <v>776</v>
      </c>
      <c r="J527">
        <v>4</v>
      </c>
      <c r="K527" t="s">
        <v>4522</v>
      </c>
      <c r="L527">
        <v>1</v>
      </c>
      <c r="N527" t="s">
        <v>4523</v>
      </c>
      <c r="O527" t="s">
        <v>4524</v>
      </c>
      <c r="P527" t="s">
        <v>4525</v>
      </c>
      <c r="Q527" t="s">
        <v>4526</v>
      </c>
      <c r="R527" t="s">
        <v>4527</v>
      </c>
      <c r="S527">
        <v>2022</v>
      </c>
      <c r="T527" s="2">
        <v>44641</v>
      </c>
      <c r="U527" t="s">
        <v>4528</v>
      </c>
      <c r="V527" t="s">
        <v>4529</v>
      </c>
      <c r="W527" t="s">
        <v>2314</v>
      </c>
      <c r="Y527">
        <f t="shared" si="24"/>
        <v>776</v>
      </c>
      <c r="Z527">
        <f t="shared" si="25"/>
        <v>8</v>
      </c>
      <c r="AA527">
        <f t="shared" si="26"/>
        <v>0</v>
      </c>
    </row>
    <row r="528" spans="1:27" x14ac:dyDescent="0.3">
      <c r="A528" t="s">
        <v>2654</v>
      </c>
      <c r="B528" t="s">
        <v>3870</v>
      </c>
      <c r="C528">
        <v>35280289</v>
      </c>
      <c r="D528" t="s">
        <v>4351</v>
      </c>
      <c r="E528">
        <v>0</v>
      </c>
      <c r="F528" t="s">
        <v>1494</v>
      </c>
      <c r="G528">
        <v>114</v>
      </c>
      <c r="H528">
        <v>1</v>
      </c>
      <c r="J528">
        <v>1</v>
      </c>
      <c r="K528" t="s">
        <v>835</v>
      </c>
      <c r="L528">
        <v>1</v>
      </c>
      <c r="N528" t="s">
        <v>4530</v>
      </c>
      <c r="O528" t="s">
        <v>4531</v>
      </c>
      <c r="P528" t="s">
        <v>4532</v>
      </c>
      <c r="Q528" t="s">
        <v>4533</v>
      </c>
      <c r="R528" t="s">
        <v>1970</v>
      </c>
      <c r="S528">
        <v>2022</v>
      </c>
      <c r="T528" s="2">
        <v>44634</v>
      </c>
      <c r="U528" t="s">
        <v>4534</v>
      </c>
      <c r="W528" t="s">
        <v>2323</v>
      </c>
      <c r="Y528">
        <f t="shared" si="24"/>
        <v>114</v>
      </c>
      <c r="Z528">
        <f t="shared" si="25"/>
        <v>1</v>
      </c>
      <c r="AA528">
        <f t="shared" si="26"/>
        <v>0</v>
      </c>
    </row>
    <row r="529" spans="1:27" x14ac:dyDescent="0.3">
      <c r="A529" t="s">
        <v>2654</v>
      </c>
      <c r="B529" t="s">
        <v>3870</v>
      </c>
      <c r="C529">
        <v>35401142</v>
      </c>
      <c r="D529" t="s">
        <v>4352</v>
      </c>
      <c r="E529">
        <v>0</v>
      </c>
      <c r="F529" t="s">
        <v>143</v>
      </c>
      <c r="G529">
        <v>449</v>
      </c>
      <c r="H529">
        <v>3</v>
      </c>
      <c r="J529">
        <v>1</v>
      </c>
      <c r="K529" t="s">
        <v>4535</v>
      </c>
      <c r="L529">
        <v>1</v>
      </c>
      <c r="M529" t="s">
        <v>4536</v>
      </c>
      <c r="N529" t="s">
        <v>4537</v>
      </c>
      <c r="O529" t="s">
        <v>4538</v>
      </c>
      <c r="P529" t="s">
        <v>4539</v>
      </c>
      <c r="Q529" t="s">
        <v>4540</v>
      </c>
      <c r="R529" t="s">
        <v>1829</v>
      </c>
      <c r="S529">
        <v>2022</v>
      </c>
      <c r="T529" s="2">
        <v>44662</v>
      </c>
      <c r="U529" t="s">
        <v>4541</v>
      </c>
      <c r="W529" t="s">
        <v>2332</v>
      </c>
      <c r="Y529">
        <f t="shared" si="24"/>
        <v>449</v>
      </c>
      <c r="Z529">
        <f t="shared" si="25"/>
        <v>4</v>
      </c>
      <c r="AA529">
        <f t="shared" si="26"/>
        <v>1</v>
      </c>
    </row>
    <row r="530" spans="1:27" x14ac:dyDescent="0.3">
      <c r="A530" t="s">
        <v>2654</v>
      </c>
      <c r="B530" t="s">
        <v>3870</v>
      </c>
      <c r="C530">
        <v>35256481</v>
      </c>
      <c r="D530" t="s">
        <v>4353</v>
      </c>
      <c r="E530">
        <v>0</v>
      </c>
      <c r="F530" t="s">
        <v>4354</v>
      </c>
      <c r="G530">
        <v>64</v>
      </c>
      <c r="H530">
        <v>3</v>
      </c>
      <c r="J530">
        <v>3</v>
      </c>
      <c r="K530" t="s">
        <v>4542</v>
      </c>
      <c r="L530">
        <v>3</v>
      </c>
      <c r="M530" t="s">
        <v>4543</v>
      </c>
      <c r="N530" t="s">
        <v>4544</v>
      </c>
      <c r="O530" t="s">
        <v>4545</v>
      </c>
      <c r="P530" t="s">
        <v>4546</v>
      </c>
      <c r="Q530" t="s">
        <v>4547</v>
      </c>
      <c r="R530" t="s">
        <v>2320</v>
      </c>
      <c r="S530">
        <v>2022</v>
      </c>
      <c r="T530" s="2">
        <v>44628</v>
      </c>
      <c r="U530" t="s">
        <v>4548</v>
      </c>
      <c r="W530" t="s">
        <v>2342</v>
      </c>
      <c r="Y530">
        <f t="shared" si="24"/>
        <v>192</v>
      </c>
      <c r="Z530">
        <f t="shared" si="25"/>
        <v>2</v>
      </c>
      <c r="AA530">
        <f t="shared" si="26"/>
        <v>0</v>
      </c>
    </row>
    <row r="531" spans="1:27" x14ac:dyDescent="0.3">
      <c r="A531" t="s">
        <v>2654</v>
      </c>
      <c r="B531" t="s">
        <v>3870</v>
      </c>
      <c r="C531">
        <v>35318733</v>
      </c>
      <c r="D531" t="s">
        <v>1433</v>
      </c>
      <c r="E531">
        <v>0</v>
      </c>
      <c r="F531" t="s">
        <v>143</v>
      </c>
      <c r="G531">
        <v>146</v>
      </c>
      <c r="H531">
        <v>1</v>
      </c>
      <c r="J531">
        <v>0</v>
      </c>
      <c r="K531" t="s">
        <v>4549</v>
      </c>
      <c r="L531">
        <v>1</v>
      </c>
      <c r="M531" t="s">
        <v>4550</v>
      </c>
      <c r="N531" t="s">
        <v>4551</v>
      </c>
      <c r="O531" t="s">
        <v>2097</v>
      </c>
      <c r="P531" t="s">
        <v>4552</v>
      </c>
      <c r="Q531" t="s">
        <v>2099</v>
      </c>
      <c r="R531" t="s">
        <v>681</v>
      </c>
      <c r="S531">
        <v>2022</v>
      </c>
      <c r="T531" s="2">
        <v>44643</v>
      </c>
      <c r="W531" t="s">
        <v>2101</v>
      </c>
      <c r="Y531">
        <f t="shared" si="24"/>
        <v>146</v>
      </c>
      <c r="Z531">
        <f t="shared" si="25"/>
        <v>1</v>
      </c>
      <c r="AA531">
        <f t="shared" si="26"/>
        <v>1</v>
      </c>
    </row>
    <row r="532" spans="1:27" x14ac:dyDescent="0.3">
      <c r="A532" t="s">
        <v>2654</v>
      </c>
      <c r="B532" t="s">
        <v>3870</v>
      </c>
      <c r="C532">
        <v>35234288</v>
      </c>
      <c r="D532" t="s">
        <v>4355</v>
      </c>
      <c r="E532">
        <v>0</v>
      </c>
      <c r="F532" t="s">
        <v>4326</v>
      </c>
      <c r="G532">
        <v>65</v>
      </c>
      <c r="H532">
        <v>6</v>
      </c>
      <c r="J532">
        <v>2</v>
      </c>
      <c r="K532" t="s">
        <v>4553</v>
      </c>
      <c r="L532">
        <v>3</v>
      </c>
      <c r="M532" t="s">
        <v>4554</v>
      </c>
      <c r="N532" t="s">
        <v>4555</v>
      </c>
      <c r="O532" t="s">
        <v>4556</v>
      </c>
      <c r="P532" t="s">
        <v>4557</v>
      </c>
      <c r="Q532" t="s">
        <v>4558</v>
      </c>
      <c r="R532" t="s">
        <v>1768</v>
      </c>
      <c r="S532">
        <v>2022</v>
      </c>
      <c r="T532" s="2">
        <v>44622</v>
      </c>
      <c r="W532" t="s">
        <v>2358</v>
      </c>
      <c r="Y532">
        <f t="shared" si="24"/>
        <v>195</v>
      </c>
      <c r="Z532">
        <f t="shared" si="25"/>
        <v>2</v>
      </c>
      <c r="AA532">
        <f t="shared" si="26"/>
        <v>0</v>
      </c>
    </row>
    <row r="533" spans="1:27" x14ac:dyDescent="0.3">
      <c r="A533" t="s">
        <v>2654</v>
      </c>
      <c r="B533" t="s">
        <v>3870</v>
      </c>
      <c r="C533">
        <v>35333481</v>
      </c>
      <c r="D533" t="s">
        <v>4356</v>
      </c>
      <c r="E533">
        <v>0</v>
      </c>
      <c r="F533" t="s">
        <v>4357</v>
      </c>
      <c r="G533">
        <v>240</v>
      </c>
      <c r="H533">
        <v>2</v>
      </c>
      <c r="K533" t="s">
        <v>1695</v>
      </c>
      <c r="L533">
        <v>1</v>
      </c>
      <c r="M533" t="s">
        <v>4559</v>
      </c>
      <c r="N533" t="s">
        <v>4560</v>
      </c>
      <c r="O533" t="s">
        <v>4561</v>
      </c>
      <c r="P533" t="s">
        <v>4562</v>
      </c>
      <c r="Q533" t="s">
        <v>4563</v>
      </c>
      <c r="R533" t="s">
        <v>187</v>
      </c>
      <c r="S533">
        <v>2022</v>
      </c>
      <c r="T533" s="2">
        <v>44645</v>
      </c>
      <c r="W533" t="s">
        <v>2373</v>
      </c>
      <c r="Y533">
        <f t="shared" si="24"/>
        <v>240</v>
      </c>
      <c r="Z533">
        <f t="shared" si="25"/>
        <v>2</v>
      </c>
      <c r="AA533">
        <f t="shared" si="26"/>
        <v>1</v>
      </c>
    </row>
    <row r="534" spans="1:27" x14ac:dyDescent="0.3">
      <c r="A534" t="s">
        <v>2654</v>
      </c>
      <c r="B534" t="s">
        <v>3870</v>
      </c>
      <c r="C534">
        <v>35280296</v>
      </c>
      <c r="D534" t="s">
        <v>4358</v>
      </c>
      <c r="E534">
        <v>0</v>
      </c>
      <c r="F534" t="s">
        <v>1494</v>
      </c>
      <c r="G534">
        <v>66</v>
      </c>
      <c r="H534">
        <v>2</v>
      </c>
      <c r="K534" t="s">
        <v>4564</v>
      </c>
      <c r="L534">
        <v>1</v>
      </c>
      <c r="M534" t="s">
        <v>4565</v>
      </c>
      <c r="N534" t="s">
        <v>4566</v>
      </c>
      <c r="O534" t="s">
        <v>4567</v>
      </c>
      <c r="P534" t="s">
        <v>4568</v>
      </c>
      <c r="Q534" t="s">
        <v>4569</v>
      </c>
      <c r="R534" t="s">
        <v>1970</v>
      </c>
      <c r="S534">
        <v>2022</v>
      </c>
      <c r="T534" s="2">
        <v>44634</v>
      </c>
      <c r="U534" t="s">
        <v>4570</v>
      </c>
      <c r="W534" t="s">
        <v>2380</v>
      </c>
      <c r="Y534">
        <f t="shared" si="24"/>
        <v>66</v>
      </c>
      <c r="Z534">
        <f t="shared" si="25"/>
        <v>0</v>
      </c>
      <c r="AA534">
        <f t="shared" si="26"/>
        <v>1</v>
      </c>
    </row>
    <row r="535" spans="1:27" x14ac:dyDescent="0.3">
      <c r="A535" t="s">
        <v>2654</v>
      </c>
      <c r="B535" t="s">
        <v>3870</v>
      </c>
      <c r="C535">
        <v>35173015</v>
      </c>
      <c r="D535" t="s">
        <v>4359</v>
      </c>
      <c r="E535">
        <v>0</v>
      </c>
      <c r="F535" t="s">
        <v>143</v>
      </c>
      <c r="G535">
        <v>101</v>
      </c>
      <c r="H535">
        <v>1</v>
      </c>
      <c r="J535">
        <v>1</v>
      </c>
      <c r="K535" t="s">
        <v>835</v>
      </c>
      <c r="L535">
        <v>1</v>
      </c>
      <c r="M535" t="s">
        <v>4571</v>
      </c>
      <c r="N535" t="s">
        <v>4572</v>
      </c>
      <c r="O535" t="s">
        <v>4573</v>
      </c>
      <c r="P535" t="s">
        <v>4574</v>
      </c>
      <c r="Q535" t="s">
        <v>4575</v>
      </c>
      <c r="R535" t="s">
        <v>143</v>
      </c>
      <c r="S535">
        <v>2022</v>
      </c>
      <c r="T535" s="2">
        <v>44609</v>
      </c>
      <c r="U535" t="s">
        <v>4576</v>
      </c>
      <c r="W535" t="s">
        <v>2387</v>
      </c>
      <c r="Y535">
        <f t="shared" si="24"/>
        <v>101</v>
      </c>
      <c r="Z535">
        <f t="shared" si="25"/>
        <v>1</v>
      </c>
      <c r="AA535">
        <f t="shared" si="26"/>
        <v>0</v>
      </c>
    </row>
    <row r="536" spans="1:27" x14ac:dyDescent="0.3">
      <c r="A536" t="s">
        <v>2654</v>
      </c>
      <c r="B536" t="s">
        <v>3870</v>
      </c>
      <c r="C536">
        <v>35282740</v>
      </c>
      <c r="D536" t="s">
        <v>1448</v>
      </c>
      <c r="E536">
        <v>0</v>
      </c>
      <c r="F536" t="s">
        <v>1494</v>
      </c>
      <c r="G536">
        <v>328</v>
      </c>
      <c r="H536">
        <v>1</v>
      </c>
      <c r="J536">
        <v>1</v>
      </c>
      <c r="K536" t="s">
        <v>835</v>
      </c>
      <c r="L536">
        <v>1</v>
      </c>
      <c r="N536" t="s">
        <v>2191</v>
      </c>
      <c r="O536" t="s">
        <v>2192</v>
      </c>
      <c r="P536" t="s">
        <v>4577</v>
      </c>
      <c r="Q536" t="s">
        <v>2194</v>
      </c>
      <c r="R536" t="s">
        <v>2050</v>
      </c>
      <c r="S536">
        <v>2022</v>
      </c>
      <c r="T536" s="2">
        <v>44634</v>
      </c>
      <c r="W536" t="s">
        <v>2195</v>
      </c>
      <c r="Y536">
        <f t="shared" si="24"/>
        <v>328</v>
      </c>
      <c r="Z536">
        <f t="shared" si="25"/>
        <v>3</v>
      </c>
      <c r="AA536">
        <f t="shared" si="26"/>
        <v>0</v>
      </c>
    </row>
    <row r="537" spans="1:27" x14ac:dyDescent="0.3">
      <c r="A537" t="s">
        <v>2654</v>
      </c>
      <c r="B537" t="s">
        <v>3870</v>
      </c>
      <c r="C537">
        <v>35035990</v>
      </c>
      <c r="D537" t="s">
        <v>4360</v>
      </c>
      <c r="E537">
        <v>0</v>
      </c>
      <c r="F537" t="s">
        <v>1494</v>
      </c>
      <c r="G537">
        <v>91</v>
      </c>
      <c r="H537">
        <v>1</v>
      </c>
      <c r="J537">
        <v>1</v>
      </c>
      <c r="K537" t="s">
        <v>835</v>
      </c>
      <c r="L537">
        <v>1</v>
      </c>
      <c r="N537" t="s">
        <v>4578</v>
      </c>
      <c r="O537" t="s">
        <v>4579</v>
      </c>
      <c r="P537" t="s">
        <v>4580</v>
      </c>
      <c r="Q537" t="s">
        <v>4581</v>
      </c>
      <c r="R537" t="s">
        <v>4582</v>
      </c>
      <c r="S537">
        <v>2022</v>
      </c>
      <c r="T537" s="2">
        <v>44578</v>
      </c>
      <c r="U537" t="s">
        <v>4583</v>
      </c>
      <c r="W537" t="s">
        <v>2400</v>
      </c>
      <c r="Y537">
        <f t="shared" si="24"/>
        <v>91</v>
      </c>
      <c r="Z537">
        <f t="shared" si="25"/>
        <v>0</v>
      </c>
      <c r="AA537">
        <f t="shared" si="26"/>
        <v>1</v>
      </c>
    </row>
    <row r="538" spans="1:27" x14ac:dyDescent="0.3">
      <c r="A538" t="s">
        <v>2654</v>
      </c>
      <c r="B538" t="s">
        <v>3870</v>
      </c>
      <c r="C538">
        <v>35166073</v>
      </c>
      <c r="D538" t="s">
        <v>4361</v>
      </c>
      <c r="E538">
        <v>0</v>
      </c>
      <c r="F538" t="s">
        <v>4362</v>
      </c>
      <c r="H538">
        <v>1</v>
      </c>
      <c r="K538" t="s">
        <v>4584</v>
      </c>
      <c r="L538">
        <v>1</v>
      </c>
      <c r="N538" t="s">
        <v>4585</v>
      </c>
      <c r="O538" t="s">
        <v>2273</v>
      </c>
      <c r="P538" t="s">
        <v>4586</v>
      </c>
      <c r="Q538" t="s">
        <v>2275</v>
      </c>
      <c r="R538" t="s">
        <v>914</v>
      </c>
      <c r="S538">
        <v>2022</v>
      </c>
      <c r="T538" s="2">
        <v>44607</v>
      </c>
      <c r="W538" t="s">
        <v>2277</v>
      </c>
      <c r="Y538">
        <f t="shared" si="24"/>
        <v>0</v>
      </c>
      <c r="Z538">
        <f t="shared" si="25"/>
        <v>0</v>
      </c>
      <c r="AA538">
        <f t="shared" si="26"/>
        <v>0</v>
      </c>
    </row>
    <row r="539" spans="1:27" x14ac:dyDescent="0.3">
      <c r="A539" t="s">
        <v>2654</v>
      </c>
      <c r="B539" t="s">
        <v>3870</v>
      </c>
      <c r="C539">
        <v>35072765</v>
      </c>
      <c r="D539" t="s">
        <v>4363</v>
      </c>
      <c r="E539">
        <v>0</v>
      </c>
      <c r="F539" t="s">
        <v>1494</v>
      </c>
      <c r="G539">
        <v>223</v>
      </c>
      <c r="H539">
        <v>1</v>
      </c>
      <c r="K539" t="s">
        <v>835</v>
      </c>
      <c r="L539">
        <v>1</v>
      </c>
      <c r="M539" t="s">
        <v>4587</v>
      </c>
      <c r="N539" t="s">
        <v>4588</v>
      </c>
      <c r="O539" t="s">
        <v>4589</v>
      </c>
      <c r="P539" t="s">
        <v>4590</v>
      </c>
      <c r="Q539" t="s">
        <v>4591</v>
      </c>
      <c r="R539" t="s">
        <v>4592</v>
      </c>
      <c r="S539">
        <v>2022</v>
      </c>
      <c r="T539" s="2">
        <v>44585</v>
      </c>
      <c r="U539" t="s">
        <v>4593</v>
      </c>
      <c r="W539" t="s">
        <v>2415</v>
      </c>
      <c r="Y539">
        <f t="shared" si="24"/>
        <v>223</v>
      </c>
      <c r="Z539">
        <f t="shared" si="25"/>
        <v>2</v>
      </c>
      <c r="AA539">
        <f t="shared" si="26"/>
        <v>0</v>
      </c>
    </row>
    <row r="540" spans="1:27" x14ac:dyDescent="0.3">
      <c r="A540" t="s">
        <v>2654</v>
      </c>
      <c r="B540" t="s">
        <v>3870</v>
      </c>
      <c r="C540">
        <v>35078917</v>
      </c>
      <c r="D540" t="s">
        <v>4364</v>
      </c>
      <c r="E540">
        <v>0</v>
      </c>
      <c r="F540" t="s">
        <v>143</v>
      </c>
      <c r="G540">
        <v>300</v>
      </c>
      <c r="H540">
        <v>4</v>
      </c>
      <c r="J540">
        <v>3</v>
      </c>
      <c r="K540" t="s">
        <v>4594</v>
      </c>
      <c r="L540">
        <v>1</v>
      </c>
      <c r="M540" t="s">
        <v>1727</v>
      </c>
      <c r="N540" t="s">
        <v>4595</v>
      </c>
      <c r="O540" t="s">
        <v>4596</v>
      </c>
      <c r="P540" t="s">
        <v>4597</v>
      </c>
      <c r="Q540" t="s">
        <v>4598</v>
      </c>
      <c r="R540" t="s">
        <v>1625</v>
      </c>
      <c r="S540">
        <v>2022</v>
      </c>
      <c r="T540" s="2">
        <v>44587</v>
      </c>
      <c r="W540" t="s">
        <v>2422</v>
      </c>
      <c r="Y540">
        <f t="shared" si="24"/>
        <v>300</v>
      </c>
      <c r="Z540">
        <f t="shared" si="25"/>
        <v>3</v>
      </c>
      <c r="AA540">
        <f t="shared" si="26"/>
        <v>0</v>
      </c>
    </row>
    <row r="541" spans="1:27" x14ac:dyDescent="0.3">
      <c r="A541" t="s">
        <v>2654</v>
      </c>
      <c r="B541" t="s">
        <v>3870</v>
      </c>
      <c r="C541">
        <v>35415202</v>
      </c>
      <c r="D541" t="s">
        <v>4365</v>
      </c>
      <c r="E541">
        <v>0</v>
      </c>
      <c r="F541" t="s">
        <v>143</v>
      </c>
      <c r="G541">
        <v>794</v>
      </c>
      <c r="H541">
        <v>1</v>
      </c>
      <c r="J541">
        <v>1</v>
      </c>
      <c r="K541" t="s">
        <v>4599</v>
      </c>
      <c r="L541">
        <v>1</v>
      </c>
      <c r="M541" t="s">
        <v>4600</v>
      </c>
      <c r="N541" t="s">
        <v>4601</v>
      </c>
      <c r="O541" t="s">
        <v>4602</v>
      </c>
      <c r="P541" t="s">
        <v>4603</v>
      </c>
      <c r="Q541" t="s">
        <v>4604</v>
      </c>
      <c r="R541" t="s">
        <v>1869</v>
      </c>
      <c r="S541">
        <v>2022</v>
      </c>
      <c r="T541" s="2">
        <v>44664</v>
      </c>
      <c r="U541" t="s">
        <v>4605</v>
      </c>
      <c r="W541" t="s">
        <v>2431</v>
      </c>
      <c r="Y541">
        <f t="shared" si="24"/>
        <v>794</v>
      </c>
      <c r="Z541">
        <f t="shared" si="25"/>
        <v>8</v>
      </c>
      <c r="AA541">
        <f t="shared" si="26"/>
        <v>0</v>
      </c>
    </row>
    <row r="542" spans="1:27" x14ac:dyDescent="0.3">
      <c r="A542" t="s">
        <v>2654</v>
      </c>
      <c r="B542" t="s">
        <v>3870</v>
      </c>
      <c r="C542">
        <v>35458401</v>
      </c>
      <c r="D542" t="s">
        <v>4366</v>
      </c>
      <c r="E542">
        <v>0</v>
      </c>
      <c r="F542" t="s">
        <v>1400</v>
      </c>
      <c r="G542">
        <v>101</v>
      </c>
      <c r="H542">
        <v>1</v>
      </c>
      <c r="J542">
        <v>0</v>
      </c>
      <c r="K542" t="s">
        <v>835</v>
      </c>
      <c r="L542">
        <v>1</v>
      </c>
      <c r="M542" t="s">
        <v>4606</v>
      </c>
      <c r="N542" t="s">
        <v>4607</v>
      </c>
      <c r="O542" t="s">
        <v>4608</v>
      </c>
      <c r="P542" t="s">
        <v>4609</v>
      </c>
      <c r="Q542" t="s">
        <v>4610</v>
      </c>
      <c r="R542" t="s">
        <v>1800</v>
      </c>
      <c r="S542">
        <v>2022</v>
      </c>
      <c r="T542" s="2">
        <v>44674</v>
      </c>
      <c r="U542" t="s">
        <v>4611</v>
      </c>
      <c r="W542" t="s">
        <v>2438</v>
      </c>
      <c r="Y542">
        <f t="shared" si="24"/>
        <v>101</v>
      </c>
      <c r="Z542">
        <f t="shared" si="25"/>
        <v>1</v>
      </c>
      <c r="AA542">
        <f t="shared" si="26"/>
        <v>0</v>
      </c>
    </row>
    <row r="543" spans="1:27" x14ac:dyDescent="0.3">
      <c r="A543" t="s">
        <v>2654</v>
      </c>
      <c r="B543" t="s">
        <v>3870</v>
      </c>
      <c r="C543">
        <v>35093267</v>
      </c>
      <c r="D543" t="s">
        <v>4367</v>
      </c>
      <c r="E543">
        <v>0</v>
      </c>
      <c r="F543" t="s">
        <v>143</v>
      </c>
      <c r="G543">
        <v>1257</v>
      </c>
      <c r="H543">
        <v>3</v>
      </c>
      <c r="J543">
        <v>2</v>
      </c>
      <c r="K543" t="s">
        <v>4612</v>
      </c>
      <c r="L543">
        <v>1</v>
      </c>
      <c r="M543" t="s">
        <v>4613</v>
      </c>
      <c r="O543" t="s">
        <v>4614</v>
      </c>
      <c r="P543" t="s">
        <v>4615</v>
      </c>
      <c r="Q543" t="s">
        <v>4616</v>
      </c>
      <c r="R543" t="s">
        <v>3970</v>
      </c>
      <c r="S543">
        <v>2022</v>
      </c>
      <c r="T543" s="2">
        <v>44591</v>
      </c>
      <c r="W543" t="s">
        <v>2446</v>
      </c>
      <c r="Y543">
        <f t="shared" si="24"/>
        <v>1257</v>
      </c>
      <c r="Z543">
        <f t="shared" si="25"/>
        <v>13</v>
      </c>
      <c r="AA543">
        <f t="shared" si="26"/>
        <v>0</v>
      </c>
    </row>
    <row r="544" spans="1:27" x14ac:dyDescent="0.3">
      <c r="A544" t="s">
        <v>3822</v>
      </c>
      <c r="B544" t="s">
        <v>3870</v>
      </c>
      <c r="C544" s="16">
        <v>35197258</v>
      </c>
      <c r="D544" s="16" t="s">
        <v>4617</v>
      </c>
      <c r="E544" s="16">
        <v>0</v>
      </c>
      <c r="F544" s="16" t="s">
        <v>4618</v>
      </c>
      <c r="G544" s="16">
        <v>498</v>
      </c>
      <c r="H544" s="16">
        <v>8</v>
      </c>
      <c r="J544" s="34"/>
      <c r="K544" s="16" t="s">
        <v>4620</v>
      </c>
      <c r="L544" s="16">
        <v>1</v>
      </c>
      <c r="M544" s="16" t="s">
        <v>4621</v>
      </c>
      <c r="N544" s="16" t="s">
        <v>4622</v>
      </c>
      <c r="O544" s="16" t="s">
        <v>4623</v>
      </c>
      <c r="P544" s="16" t="s">
        <v>4624</v>
      </c>
      <c r="Q544" s="16" t="s">
        <v>4625</v>
      </c>
      <c r="R544" s="16" t="s">
        <v>3683</v>
      </c>
      <c r="S544" s="16">
        <v>2022</v>
      </c>
      <c r="T544" s="18">
        <v>44616</v>
      </c>
      <c r="U544" s="16" t="s">
        <v>4626</v>
      </c>
      <c r="V544" s="16"/>
      <c r="W544" s="16" t="s">
        <v>4627</v>
      </c>
      <c r="Y544">
        <f t="shared" si="24"/>
        <v>498</v>
      </c>
      <c r="Z544">
        <f t="shared" si="25"/>
        <v>5</v>
      </c>
      <c r="AA544">
        <f t="shared" si="26"/>
        <v>0</v>
      </c>
    </row>
    <row r="545" spans="1:27" x14ac:dyDescent="0.3">
      <c r="A545" t="s">
        <v>3822</v>
      </c>
      <c r="B545" t="s">
        <v>3870</v>
      </c>
      <c r="C545">
        <v>35132128</v>
      </c>
      <c r="D545" t="s">
        <v>4628</v>
      </c>
      <c r="E545">
        <v>0</v>
      </c>
      <c r="F545" t="s">
        <v>655</v>
      </c>
      <c r="G545">
        <v>50</v>
      </c>
      <c r="H545">
        <v>576</v>
      </c>
      <c r="J545" s="11">
        <v>4</v>
      </c>
      <c r="K545" t="s">
        <v>4629</v>
      </c>
      <c r="L545">
        <v>1</v>
      </c>
      <c r="M545" t="s">
        <v>4630</v>
      </c>
      <c r="N545" t="s">
        <v>4631</v>
      </c>
      <c r="O545" t="s">
        <v>4632</v>
      </c>
      <c r="P545" t="s">
        <v>4633</v>
      </c>
      <c r="Q545" t="s">
        <v>4634</v>
      </c>
      <c r="R545" t="s">
        <v>3072</v>
      </c>
      <c r="S545">
        <v>2022</v>
      </c>
      <c r="T545" s="2">
        <v>44600</v>
      </c>
      <c r="W545" t="s">
        <v>4635</v>
      </c>
      <c r="Y545">
        <f t="shared" si="24"/>
        <v>50</v>
      </c>
      <c r="Z545">
        <f t="shared" si="25"/>
        <v>0</v>
      </c>
      <c r="AA545">
        <f t="shared" si="26"/>
        <v>1</v>
      </c>
    </row>
    <row r="546" spans="1:27" x14ac:dyDescent="0.3">
      <c r="A546" t="s">
        <v>3822</v>
      </c>
      <c r="B546" t="s">
        <v>3870</v>
      </c>
      <c r="C546">
        <v>35019712</v>
      </c>
      <c r="D546" t="s">
        <v>4636</v>
      </c>
      <c r="E546">
        <v>0</v>
      </c>
      <c r="F546" t="s">
        <v>2802</v>
      </c>
      <c r="G546">
        <v>92</v>
      </c>
      <c r="H546">
        <v>1300</v>
      </c>
      <c r="J546" s="11"/>
      <c r="L546">
        <v>1</v>
      </c>
      <c r="M546" t="s">
        <v>4638</v>
      </c>
      <c r="N546" t="s">
        <v>4639</v>
      </c>
      <c r="O546" t="s">
        <v>4640</v>
      </c>
      <c r="P546" t="s">
        <v>4641</v>
      </c>
      <c r="Q546" t="s">
        <v>4642</v>
      </c>
      <c r="R546" t="s">
        <v>4643</v>
      </c>
      <c r="S546">
        <v>2022</v>
      </c>
      <c r="T546" s="2">
        <v>44573</v>
      </c>
      <c r="U546" t="s">
        <v>4644</v>
      </c>
      <c r="W546" t="s">
        <v>4645</v>
      </c>
      <c r="Y546">
        <f t="shared" si="24"/>
        <v>92</v>
      </c>
      <c r="Z546">
        <f t="shared" si="25"/>
        <v>0</v>
      </c>
      <c r="AA546">
        <f t="shared" si="26"/>
        <v>1</v>
      </c>
    </row>
    <row r="547" spans="1:27" x14ac:dyDescent="0.3">
      <c r="A547" t="s">
        <v>3822</v>
      </c>
      <c r="B547" t="s">
        <v>3870</v>
      </c>
      <c r="C547">
        <v>35239952</v>
      </c>
      <c r="D547" t="s">
        <v>4646</v>
      </c>
      <c r="E547">
        <v>0</v>
      </c>
      <c r="F547" t="s">
        <v>4647</v>
      </c>
      <c r="G547">
        <v>36</v>
      </c>
      <c r="H547">
        <v>1300</v>
      </c>
      <c r="J547" s="11">
        <v>1</v>
      </c>
      <c r="K547" t="s">
        <v>4648</v>
      </c>
      <c r="L547">
        <v>1</v>
      </c>
      <c r="M547" t="s">
        <v>4649</v>
      </c>
      <c r="N547" t="s">
        <v>4650</v>
      </c>
      <c r="O547" t="s">
        <v>4651</v>
      </c>
      <c r="P547" t="s">
        <v>4652</v>
      </c>
      <c r="Q547" t="s">
        <v>4653</v>
      </c>
      <c r="R547" t="s">
        <v>2565</v>
      </c>
      <c r="S547">
        <v>2022</v>
      </c>
      <c r="T547" s="2">
        <v>44623</v>
      </c>
      <c r="U547" t="s">
        <v>4654</v>
      </c>
      <c r="W547" t="s">
        <v>4655</v>
      </c>
      <c r="Y547">
        <f t="shared" si="24"/>
        <v>36</v>
      </c>
      <c r="Z547">
        <f t="shared" si="25"/>
        <v>0</v>
      </c>
      <c r="AA547">
        <f t="shared" si="26"/>
        <v>0</v>
      </c>
    </row>
    <row r="548" spans="1:27" x14ac:dyDescent="0.3">
      <c r="A548" t="s">
        <v>3822</v>
      </c>
      <c r="B548" t="s">
        <v>3870</v>
      </c>
      <c r="C548" s="16">
        <v>35202437</v>
      </c>
      <c r="D548" s="16" t="s">
        <v>4656</v>
      </c>
      <c r="E548" s="16">
        <v>0</v>
      </c>
      <c r="F548" s="16" t="s">
        <v>4657</v>
      </c>
      <c r="G548" s="16">
        <v>971</v>
      </c>
      <c r="H548" s="16">
        <v>1300</v>
      </c>
      <c r="I548" s="16"/>
      <c r="J548" s="34"/>
      <c r="K548" s="16"/>
      <c r="L548" s="16">
        <v>1</v>
      </c>
      <c r="M548" s="16"/>
      <c r="N548" s="16" t="s">
        <v>4658</v>
      </c>
      <c r="O548" s="16" t="s">
        <v>4659</v>
      </c>
      <c r="P548" s="16" t="s">
        <v>4660</v>
      </c>
      <c r="Q548" s="16" t="s">
        <v>4661</v>
      </c>
      <c r="R548" s="16" t="s">
        <v>623</v>
      </c>
      <c r="S548" s="16">
        <v>2022</v>
      </c>
      <c r="T548" s="18">
        <v>44616</v>
      </c>
      <c r="U548" s="16" t="s">
        <v>4662</v>
      </c>
      <c r="V548" s="16"/>
      <c r="W548" s="16" t="s">
        <v>4663</v>
      </c>
      <c r="Y548">
        <f t="shared" si="24"/>
        <v>971</v>
      </c>
      <c r="Z548">
        <f t="shared" si="25"/>
        <v>10</v>
      </c>
      <c r="AA548">
        <f t="shared" si="26"/>
        <v>0</v>
      </c>
    </row>
    <row r="549" spans="1:27" x14ac:dyDescent="0.3">
      <c r="A549" t="s">
        <v>3822</v>
      </c>
      <c r="B549" t="s">
        <v>3870</v>
      </c>
      <c r="C549" s="16">
        <v>35187107</v>
      </c>
      <c r="D549" s="16" t="s">
        <v>4664</v>
      </c>
      <c r="E549" s="16">
        <v>0</v>
      </c>
      <c r="F549" s="16" t="s">
        <v>23</v>
      </c>
      <c r="G549" s="16">
        <v>544</v>
      </c>
      <c r="H549" s="16">
        <v>12</v>
      </c>
      <c r="J549" s="34">
        <v>4</v>
      </c>
      <c r="K549" s="16" t="s">
        <v>4666</v>
      </c>
      <c r="L549" s="16">
        <v>1</v>
      </c>
      <c r="M549" s="16" t="s">
        <v>4667</v>
      </c>
      <c r="N549" s="16"/>
      <c r="O549" s="16" t="s">
        <v>4668</v>
      </c>
      <c r="P549" s="16" t="s">
        <v>4669</v>
      </c>
      <c r="Q549" s="16" t="s">
        <v>4670</v>
      </c>
      <c r="R549" s="16" t="s">
        <v>272</v>
      </c>
      <c r="S549" s="16">
        <v>2022</v>
      </c>
      <c r="T549" s="18">
        <v>44613</v>
      </c>
      <c r="U549" s="16" t="s">
        <v>4671</v>
      </c>
      <c r="V549" s="16"/>
      <c r="W549" s="16" t="s">
        <v>4672</v>
      </c>
      <c r="Y549">
        <f t="shared" si="24"/>
        <v>544</v>
      </c>
      <c r="Z549">
        <f t="shared" si="25"/>
        <v>5</v>
      </c>
      <c r="AA549">
        <f t="shared" si="26"/>
        <v>1</v>
      </c>
    </row>
    <row r="550" spans="1:27" x14ac:dyDescent="0.3">
      <c r="A550" t="s">
        <v>3822</v>
      </c>
      <c r="B550" t="s">
        <v>3870</v>
      </c>
      <c r="C550">
        <v>35079000</v>
      </c>
      <c r="D550" t="s">
        <v>4673</v>
      </c>
      <c r="E550">
        <v>0</v>
      </c>
      <c r="F550" t="s">
        <v>4674</v>
      </c>
      <c r="G550">
        <v>5343</v>
      </c>
      <c r="H550">
        <v>1942</v>
      </c>
      <c r="J550" s="11"/>
      <c r="L550">
        <v>1</v>
      </c>
      <c r="M550" t="s">
        <v>4675</v>
      </c>
      <c r="O550" t="s">
        <v>4676</v>
      </c>
      <c r="P550" t="s">
        <v>4677</v>
      </c>
      <c r="Q550" t="s">
        <v>4678</v>
      </c>
      <c r="R550" t="s">
        <v>2619</v>
      </c>
      <c r="S550">
        <v>2022</v>
      </c>
      <c r="T550" s="2">
        <v>44587</v>
      </c>
      <c r="U550" t="s">
        <v>4679</v>
      </c>
      <c r="W550" t="s">
        <v>4680</v>
      </c>
      <c r="Y550">
        <f t="shared" si="24"/>
        <v>5343</v>
      </c>
      <c r="Z550">
        <f t="shared" si="25"/>
        <v>55</v>
      </c>
      <c r="AA550">
        <f t="shared" si="26"/>
        <v>1</v>
      </c>
    </row>
    <row r="551" spans="1:27" x14ac:dyDescent="0.3">
      <c r="A551" t="s">
        <v>3822</v>
      </c>
      <c r="B551" t="s">
        <v>3870</v>
      </c>
      <c r="C551">
        <v>35081018</v>
      </c>
      <c r="D551" t="s">
        <v>3647</v>
      </c>
      <c r="E551">
        <v>0</v>
      </c>
      <c r="F551" t="s">
        <v>23</v>
      </c>
      <c r="G551">
        <v>872</v>
      </c>
      <c r="H551">
        <v>31</v>
      </c>
      <c r="J551" s="11">
        <v>6</v>
      </c>
      <c r="L551">
        <v>1</v>
      </c>
      <c r="N551" t="s">
        <v>4682</v>
      </c>
      <c r="O551" t="s">
        <v>4683</v>
      </c>
      <c r="P551" t="s">
        <v>4684</v>
      </c>
      <c r="Q551" t="s">
        <v>3651</v>
      </c>
      <c r="R551" t="s">
        <v>3652</v>
      </c>
      <c r="S551">
        <v>2022</v>
      </c>
      <c r="T551" s="2">
        <v>44587</v>
      </c>
      <c r="W551" t="s">
        <v>3653</v>
      </c>
      <c r="Y551">
        <f t="shared" si="24"/>
        <v>872</v>
      </c>
      <c r="Z551">
        <f t="shared" si="25"/>
        <v>9</v>
      </c>
      <c r="AA551">
        <f t="shared" si="26"/>
        <v>0</v>
      </c>
    </row>
    <row r="552" spans="1:27" x14ac:dyDescent="0.3">
      <c r="A552" t="s">
        <v>3822</v>
      </c>
      <c r="B552" t="s">
        <v>3870</v>
      </c>
      <c r="C552">
        <v>35078996</v>
      </c>
      <c r="D552" t="s">
        <v>4685</v>
      </c>
      <c r="E552">
        <v>0</v>
      </c>
      <c r="F552" t="s">
        <v>4674</v>
      </c>
      <c r="G552" s="25">
        <v>5368</v>
      </c>
      <c r="H552">
        <v>2091</v>
      </c>
      <c r="J552" s="11"/>
      <c r="L552">
        <v>1</v>
      </c>
      <c r="N552" t="s">
        <v>4686</v>
      </c>
      <c r="O552" t="s">
        <v>4687</v>
      </c>
      <c r="P552" t="s">
        <v>4688</v>
      </c>
      <c r="Q552" t="s">
        <v>4689</v>
      </c>
      <c r="R552" t="s">
        <v>2619</v>
      </c>
      <c r="S552">
        <v>2022</v>
      </c>
      <c r="T552" s="2">
        <v>44587</v>
      </c>
      <c r="U552" t="s">
        <v>4690</v>
      </c>
      <c r="W552" t="s">
        <v>4691</v>
      </c>
      <c r="Y552">
        <f t="shared" si="24"/>
        <v>5368</v>
      </c>
      <c r="Z552">
        <f t="shared" si="25"/>
        <v>55</v>
      </c>
      <c r="AA552">
        <f t="shared" si="26"/>
        <v>1</v>
      </c>
    </row>
    <row r="553" spans="1:27" x14ac:dyDescent="0.3">
      <c r="A553" t="s">
        <v>3822</v>
      </c>
      <c r="B553" t="s">
        <v>3870</v>
      </c>
      <c r="C553" s="16">
        <v>35264566</v>
      </c>
      <c r="D553" s="16" t="s">
        <v>4692</v>
      </c>
      <c r="E553" s="16">
        <v>0</v>
      </c>
      <c r="F553" s="16" t="s">
        <v>23</v>
      </c>
      <c r="G553" s="16"/>
      <c r="H553" s="16"/>
      <c r="I553" s="16"/>
      <c r="J553" s="34">
        <v>2</v>
      </c>
      <c r="K553" s="16" t="s">
        <v>4693</v>
      </c>
      <c r="L553" s="16">
        <v>1</v>
      </c>
      <c r="M553" s="16"/>
      <c r="N553" s="16" t="s">
        <v>4694</v>
      </c>
      <c r="O553" s="16" t="s">
        <v>4695</v>
      </c>
      <c r="P553" s="16" t="s">
        <v>4696</v>
      </c>
      <c r="Q553" s="16" t="s">
        <v>4697</v>
      </c>
      <c r="R553" s="16" t="s">
        <v>2619</v>
      </c>
      <c r="S553" s="16">
        <v>2022</v>
      </c>
      <c r="T553" s="18">
        <v>44630</v>
      </c>
      <c r="U553" s="16" t="s">
        <v>4698</v>
      </c>
      <c r="V553" s="16"/>
      <c r="W553" s="16" t="s">
        <v>4699</v>
      </c>
      <c r="Y553">
        <f t="shared" si="24"/>
        <v>0</v>
      </c>
      <c r="Z553">
        <f t="shared" si="25"/>
        <v>0</v>
      </c>
      <c r="AA553">
        <f t="shared" si="26"/>
        <v>0</v>
      </c>
    </row>
    <row r="554" spans="1:27" x14ac:dyDescent="0.3">
      <c r="A554" t="s">
        <v>3822</v>
      </c>
      <c r="B554" t="s">
        <v>3870</v>
      </c>
      <c r="C554">
        <v>35189047</v>
      </c>
      <c r="D554" t="s">
        <v>4700</v>
      </c>
      <c r="E554">
        <v>0</v>
      </c>
      <c r="F554" t="s">
        <v>153</v>
      </c>
      <c r="H554">
        <v>1300</v>
      </c>
      <c r="J554" s="11">
        <v>3</v>
      </c>
      <c r="K554" t="s">
        <v>4701</v>
      </c>
      <c r="L554">
        <v>1</v>
      </c>
      <c r="N554" t="s">
        <v>4702</v>
      </c>
      <c r="O554" t="s">
        <v>4703</v>
      </c>
      <c r="P554" t="s">
        <v>4704</v>
      </c>
      <c r="Q554" t="s">
        <v>3807</v>
      </c>
      <c r="R554" t="s">
        <v>914</v>
      </c>
      <c r="S554">
        <v>2022</v>
      </c>
      <c r="T554" s="2">
        <v>44613</v>
      </c>
      <c r="W554" t="s">
        <v>3810</v>
      </c>
      <c r="Y554">
        <f t="shared" si="24"/>
        <v>0</v>
      </c>
      <c r="Z554">
        <f t="shared" si="25"/>
        <v>0</v>
      </c>
      <c r="AA554">
        <f t="shared" si="26"/>
        <v>0</v>
      </c>
    </row>
    <row r="555" spans="1:27" x14ac:dyDescent="0.3">
      <c r="A555" t="s">
        <v>3822</v>
      </c>
      <c r="B555" t="s">
        <v>3870</v>
      </c>
      <c r="C555">
        <v>35065420</v>
      </c>
      <c r="D555" t="s">
        <v>4705</v>
      </c>
      <c r="E555">
        <v>0</v>
      </c>
      <c r="F555" t="s">
        <v>3085</v>
      </c>
      <c r="G555">
        <v>1594</v>
      </c>
      <c r="H555">
        <v>12</v>
      </c>
      <c r="J555" s="11">
        <v>1</v>
      </c>
      <c r="K555" t="s">
        <v>4706</v>
      </c>
      <c r="L555">
        <v>1</v>
      </c>
      <c r="N555" t="s">
        <v>4707</v>
      </c>
      <c r="O555" t="s">
        <v>3798</v>
      </c>
      <c r="P555" t="s">
        <v>4708</v>
      </c>
      <c r="Q555" t="s">
        <v>3800</v>
      </c>
      <c r="R555" t="s">
        <v>782</v>
      </c>
      <c r="S555">
        <v>2022</v>
      </c>
      <c r="T555" s="2">
        <v>44583</v>
      </c>
      <c r="U555" t="s">
        <v>4709</v>
      </c>
      <c r="W555" t="s">
        <v>4710</v>
      </c>
      <c r="Y555">
        <f t="shared" si="24"/>
        <v>1594</v>
      </c>
      <c r="Z555">
        <f t="shared" si="25"/>
        <v>16</v>
      </c>
      <c r="AA555">
        <f t="shared" si="26"/>
        <v>1</v>
      </c>
    </row>
    <row r="556" spans="1:27" x14ac:dyDescent="0.3">
      <c r="A556" t="s">
        <v>3822</v>
      </c>
      <c r="B556" t="s">
        <v>3870</v>
      </c>
      <c r="C556">
        <v>35026285</v>
      </c>
      <c r="D556" t="s">
        <v>4711</v>
      </c>
      <c r="E556">
        <v>0</v>
      </c>
      <c r="F556" t="s">
        <v>4712</v>
      </c>
      <c r="H556">
        <v>8</v>
      </c>
      <c r="J556" s="11"/>
      <c r="K556" t="s">
        <v>4713</v>
      </c>
      <c r="L556">
        <v>1</v>
      </c>
      <c r="N556" t="s">
        <v>4714</v>
      </c>
      <c r="O556" t="s">
        <v>4715</v>
      </c>
      <c r="P556" t="s">
        <v>4716</v>
      </c>
      <c r="Q556" t="s">
        <v>4717</v>
      </c>
      <c r="R556" t="s">
        <v>4718</v>
      </c>
      <c r="S556">
        <v>2022</v>
      </c>
      <c r="T556" s="2">
        <v>44574</v>
      </c>
      <c r="W556" t="s">
        <v>4719</v>
      </c>
      <c r="Y556">
        <f t="shared" si="24"/>
        <v>0</v>
      </c>
      <c r="Z556">
        <f t="shared" si="25"/>
        <v>0</v>
      </c>
      <c r="AA556">
        <f t="shared" si="26"/>
        <v>0</v>
      </c>
    </row>
    <row r="557" spans="1:27" x14ac:dyDescent="0.3">
      <c r="A557" t="s">
        <v>3822</v>
      </c>
      <c r="B557" t="s">
        <v>3870</v>
      </c>
      <c r="C557">
        <v>35209739</v>
      </c>
      <c r="D557" t="s">
        <v>3787</v>
      </c>
      <c r="E557">
        <v>0</v>
      </c>
      <c r="F557" t="s">
        <v>143</v>
      </c>
      <c r="G557">
        <v>26</v>
      </c>
      <c r="H557">
        <v>42</v>
      </c>
      <c r="J557" s="11"/>
      <c r="L557">
        <v>1</v>
      </c>
      <c r="M557" t="s">
        <v>4720</v>
      </c>
      <c r="N557" t="s">
        <v>4721</v>
      </c>
      <c r="O557" t="s">
        <v>3791</v>
      </c>
      <c r="P557" t="s">
        <v>4722</v>
      </c>
      <c r="Q557" t="s">
        <v>3793</v>
      </c>
      <c r="R557" t="s">
        <v>3124</v>
      </c>
      <c r="S557">
        <v>2022</v>
      </c>
      <c r="T557" s="2">
        <v>44617</v>
      </c>
      <c r="W557" t="s">
        <v>3794</v>
      </c>
      <c r="Y557">
        <f t="shared" si="24"/>
        <v>26</v>
      </c>
      <c r="Z557">
        <f t="shared" si="25"/>
        <v>0</v>
      </c>
      <c r="AA557">
        <f t="shared" si="26"/>
        <v>0</v>
      </c>
    </row>
    <row r="558" spans="1:27" x14ac:dyDescent="0.3">
      <c r="A558" t="s">
        <v>3822</v>
      </c>
      <c r="B558" t="s">
        <v>3870</v>
      </c>
      <c r="C558">
        <v>33998853</v>
      </c>
      <c r="D558" t="s">
        <v>4723</v>
      </c>
      <c r="E558">
        <v>0</v>
      </c>
      <c r="F558" t="s">
        <v>2833</v>
      </c>
      <c r="G558">
        <v>24</v>
      </c>
      <c r="H558">
        <v>13</v>
      </c>
      <c r="J558" s="11"/>
      <c r="L558">
        <v>1</v>
      </c>
      <c r="M558" t="s">
        <v>4724</v>
      </c>
      <c r="O558" t="s">
        <v>4725</v>
      </c>
      <c r="P558" t="s">
        <v>4726</v>
      </c>
      <c r="Q558" t="s">
        <v>4727</v>
      </c>
      <c r="R558" t="s">
        <v>4728</v>
      </c>
      <c r="S558">
        <v>2022</v>
      </c>
      <c r="T558" s="2">
        <v>44333</v>
      </c>
      <c r="U558" t="s">
        <v>4729</v>
      </c>
      <c r="W558" t="s">
        <v>4730</v>
      </c>
      <c r="Y558">
        <f t="shared" si="24"/>
        <v>24</v>
      </c>
      <c r="Z558">
        <f t="shared" si="25"/>
        <v>0</v>
      </c>
      <c r="AA558">
        <f t="shared" si="26"/>
        <v>0</v>
      </c>
    </row>
    <row r="559" spans="1:27" x14ac:dyDescent="0.3">
      <c r="A559" t="s">
        <v>3822</v>
      </c>
      <c r="B559" t="s">
        <v>4857</v>
      </c>
      <c r="C559" s="12">
        <v>34894159</v>
      </c>
      <c r="D559" s="12" t="s">
        <v>4731</v>
      </c>
      <c r="E559" s="12">
        <v>0</v>
      </c>
      <c r="F559" s="12" t="s">
        <v>82</v>
      </c>
      <c r="G559" s="12">
        <v>38</v>
      </c>
      <c r="H559">
        <v>22</v>
      </c>
      <c r="J559">
        <v>13</v>
      </c>
      <c r="K559" t="s">
        <v>4749</v>
      </c>
      <c r="L559">
        <v>1</v>
      </c>
      <c r="M559" t="s">
        <v>4750</v>
      </c>
      <c r="N559" t="s">
        <v>4751</v>
      </c>
      <c r="O559" t="s">
        <v>4752</v>
      </c>
      <c r="P559" t="s">
        <v>4753</v>
      </c>
      <c r="Q559" t="s">
        <v>4754</v>
      </c>
      <c r="R559" t="s">
        <v>4755</v>
      </c>
      <c r="S559">
        <v>2021</v>
      </c>
      <c r="T559" s="2">
        <v>44541</v>
      </c>
      <c r="W559" t="s">
        <v>4756</v>
      </c>
      <c r="Y559">
        <f t="shared" si="24"/>
        <v>38</v>
      </c>
      <c r="Z559">
        <f t="shared" si="25"/>
        <v>0</v>
      </c>
      <c r="AA559">
        <f t="shared" si="26"/>
        <v>0</v>
      </c>
    </row>
    <row r="560" spans="1:27" x14ac:dyDescent="0.3">
      <c r="A560" t="s">
        <v>3822</v>
      </c>
      <c r="B560" t="s">
        <v>4857</v>
      </c>
      <c r="C560" s="12">
        <v>34116230</v>
      </c>
      <c r="D560" s="12" t="s">
        <v>4732</v>
      </c>
      <c r="E560" s="12">
        <v>2</v>
      </c>
      <c r="F560" s="12" t="s">
        <v>627</v>
      </c>
      <c r="G560" s="12"/>
      <c r="H560">
        <v>1305</v>
      </c>
      <c r="K560" t="s">
        <v>51</v>
      </c>
      <c r="M560" t="s">
        <v>4757</v>
      </c>
      <c r="N560" t="s">
        <v>4758</v>
      </c>
      <c r="O560" t="s">
        <v>4759</v>
      </c>
      <c r="P560" t="s">
        <v>4760</v>
      </c>
      <c r="Q560" t="s">
        <v>4761</v>
      </c>
      <c r="R560" t="s">
        <v>4762</v>
      </c>
      <c r="S560">
        <v>2021</v>
      </c>
      <c r="T560" s="2">
        <v>44358</v>
      </c>
      <c r="U560" t="s">
        <v>4763</v>
      </c>
      <c r="W560" t="s">
        <v>4764</v>
      </c>
      <c r="Y560">
        <f t="shared" si="24"/>
        <v>0</v>
      </c>
      <c r="Z560">
        <f t="shared" si="25"/>
        <v>0</v>
      </c>
      <c r="AA560">
        <f t="shared" si="26"/>
        <v>0</v>
      </c>
    </row>
    <row r="561" spans="1:27" x14ac:dyDescent="0.3">
      <c r="A561" t="s">
        <v>3822</v>
      </c>
      <c r="B561" t="s">
        <v>4857</v>
      </c>
      <c r="C561" s="12">
        <v>34913041</v>
      </c>
      <c r="D561" s="12" t="s">
        <v>4733</v>
      </c>
      <c r="E561" s="12">
        <v>0</v>
      </c>
      <c r="F561" s="12" t="s">
        <v>4734</v>
      </c>
      <c r="G561" s="12">
        <v>576</v>
      </c>
      <c r="H561">
        <v>119</v>
      </c>
      <c r="J561">
        <v>20</v>
      </c>
      <c r="K561" t="s">
        <v>4765</v>
      </c>
      <c r="L561">
        <v>1</v>
      </c>
      <c r="N561" t="s">
        <v>4766</v>
      </c>
      <c r="O561" t="s">
        <v>4767</v>
      </c>
      <c r="P561" t="s">
        <v>4768</v>
      </c>
      <c r="Q561" t="s">
        <v>4769</v>
      </c>
      <c r="R561" t="s">
        <v>4770</v>
      </c>
      <c r="S561">
        <v>2021</v>
      </c>
      <c r="T561" s="2">
        <v>44546</v>
      </c>
      <c r="U561" t="s">
        <v>4771</v>
      </c>
      <c r="V561" t="s">
        <v>4772</v>
      </c>
      <c r="W561" t="s">
        <v>4773</v>
      </c>
      <c r="Y561">
        <f t="shared" si="24"/>
        <v>576</v>
      </c>
      <c r="Z561">
        <f t="shared" si="25"/>
        <v>6</v>
      </c>
      <c r="AA561">
        <f t="shared" si="26"/>
        <v>0</v>
      </c>
    </row>
    <row r="562" spans="1:27" x14ac:dyDescent="0.3">
      <c r="A562" t="s">
        <v>3822</v>
      </c>
      <c r="B562" t="s">
        <v>4857</v>
      </c>
      <c r="C562" s="12">
        <v>34765854</v>
      </c>
      <c r="D562" s="12" t="s">
        <v>4735</v>
      </c>
      <c r="E562" s="12">
        <v>0</v>
      </c>
      <c r="F562" s="12" t="s">
        <v>4736</v>
      </c>
      <c r="G562" s="12">
        <v>749</v>
      </c>
      <c r="H562" s="12">
        <v>1305</v>
      </c>
      <c r="J562">
        <v>66</v>
      </c>
      <c r="K562" s="35" t="s">
        <v>4774</v>
      </c>
      <c r="L562">
        <v>1</v>
      </c>
      <c r="M562" t="s">
        <v>4775</v>
      </c>
      <c r="O562" t="s">
        <v>4776</v>
      </c>
      <c r="P562" t="s">
        <v>4777</v>
      </c>
      <c r="Q562" t="s">
        <v>4778</v>
      </c>
      <c r="R562" t="s">
        <v>4779</v>
      </c>
      <c r="S562">
        <v>2021</v>
      </c>
      <c r="T562" s="2">
        <v>44512</v>
      </c>
      <c r="U562" t="s">
        <v>4780</v>
      </c>
      <c r="W562" t="s">
        <v>4781</v>
      </c>
      <c r="Y562">
        <f t="shared" si="24"/>
        <v>749</v>
      </c>
      <c r="Z562">
        <f t="shared" si="25"/>
        <v>7</v>
      </c>
      <c r="AA562">
        <f t="shared" si="26"/>
        <v>1</v>
      </c>
    </row>
    <row r="563" spans="1:27" x14ac:dyDescent="0.3">
      <c r="A563" t="s">
        <v>3822</v>
      </c>
      <c r="B563" t="s">
        <v>4857</v>
      </c>
      <c r="C563" s="12">
        <v>34867950</v>
      </c>
      <c r="D563" s="12" t="s">
        <v>4737</v>
      </c>
      <c r="E563" s="12">
        <v>0</v>
      </c>
      <c r="F563" s="12" t="s">
        <v>2823</v>
      </c>
      <c r="G563" s="12">
        <v>130</v>
      </c>
      <c r="H563">
        <v>200</v>
      </c>
      <c r="J563">
        <v>200</v>
      </c>
      <c r="K563" t="s">
        <v>4782</v>
      </c>
      <c r="L563">
        <v>1</v>
      </c>
      <c r="M563" t="s">
        <v>4783</v>
      </c>
      <c r="O563" t="s">
        <v>4784</v>
      </c>
      <c r="P563" t="s">
        <v>4785</v>
      </c>
      <c r="Q563" t="s">
        <v>4786</v>
      </c>
      <c r="R563" t="s">
        <v>99</v>
      </c>
      <c r="S563">
        <v>2021</v>
      </c>
      <c r="T563" s="2">
        <v>44536</v>
      </c>
      <c r="U563" t="s">
        <v>4787</v>
      </c>
      <c r="W563" t="s">
        <v>4788</v>
      </c>
      <c r="Y563">
        <f t="shared" si="24"/>
        <v>130</v>
      </c>
      <c r="Z563">
        <f t="shared" si="25"/>
        <v>1</v>
      </c>
      <c r="AA563">
        <f t="shared" si="26"/>
        <v>0</v>
      </c>
    </row>
    <row r="564" spans="1:27" x14ac:dyDescent="0.3">
      <c r="A564" t="s">
        <v>3822</v>
      </c>
      <c r="B564" t="s">
        <v>4857</v>
      </c>
      <c r="C564" s="12">
        <v>34689792</v>
      </c>
      <c r="D564" s="12" t="s">
        <v>4738</v>
      </c>
      <c r="E564" s="12">
        <v>0</v>
      </c>
      <c r="F564" s="12" t="s">
        <v>3668</v>
      </c>
      <c r="G564" s="12">
        <v>66</v>
      </c>
      <c r="H564">
        <v>34</v>
      </c>
      <c r="J564">
        <v>5</v>
      </c>
      <c r="K564" t="s">
        <v>4789</v>
      </c>
      <c r="L564">
        <v>1</v>
      </c>
      <c r="M564" t="s">
        <v>4790</v>
      </c>
      <c r="N564" t="s">
        <v>4791</v>
      </c>
      <c r="O564" t="s">
        <v>4792</v>
      </c>
      <c r="P564" t="s">
        <v>4793</v>
      </c>
      <c r="Q564" t="s">
        <v>4794</v>
      </c>
      <c r="R564" t="s">
        <v>282</v>
      </c>
      <c r="S564">
        <v>2021</v>
      </c>
      <c r="T564" s="2">
        <v>44494</v>
      </c>
      <c r="U564" t="s">
        <v>4795</v>
      </c>
      <c r="W564" t="s">
        <v>4796</v>
      </c>
      <c r="Y564">
        <f t="shared" si="24"/>
        <v>66</v>
      </c>
      <c r="Z564">
        <f t="shared" si="25"/>
        <v>0</v>
      </c>
      <c r="AA564">
        <f t="shared" si="26"/>
        <v>1</v>
      </c>
    </row>
    <row r="565" spans="1:27" x14ac:dyDescent="0.3">
      <c r="A565" t="s">
        <v>3822</v>
      </c>
      <c r="B565" t="s">
        <v>4857</v>
      </c>
      <c r="C565" s="12">
        <v>34618712</v>
      </c>
      <c r="D565" s="12" t="s">
        <v>4739</v>
      </c>
      <c r="E565" s="12">
        <v>0</v>
      </c>
      <c r="F565" s="12" t="s">
        <v>4740</v>
      </c>
      <c r="G565" s="12">
        <v>10</v>
      </c>
      <c r="H565" s="12">
        <v>1310</v>
      </c>
      <c r="K565" t="s">
        <v>4797</v>
      </c>
      <c r="L565">
        <v>1</v>
      </c>
      <c r="M565" t="s">
        <v>4798</v>
      </c>
      <c r="N565" t="s">
        <v>4799</v>
      </c>
      <c r="O565" t="s">
        <v>4800</v>
      </c>
      <c r="P565" t="s">
        <v>4801</v>
      </c>
      <c r="Q565" t="s">
        <v>3662</v>
      </c>
      <c r="R565" t="s">
        <v>4802</v>
      </c>
      <c r="S565">
        <v>2021</v>
      </c>
      <c r="T565" s="2">
        <v>44476</v>
      </c>
      <c r="U565" t="s">
        <v>4803</v>
      </c>
      <c r="V565" t="s">
        <v>4804</v>
      </c>
      <c r="W565" t="s">
        <v>4805</v>
      </c>
      <c r="Y565">
        <f t="shared" si="24"/>
        <v>10</v>
      </c>
      <c r="Z565">
        <f t="shared" si="25"/>
        <v>0</v>
      </c>
      <c r="AA565">
        <f t="shared" si="26"/>
        <v>0</v>
      </c>
    </row>
    <row r="566" spans="1:27" x14ac:dyDescent="0.3">
      <c r="A566" t="s">
        <v>3822</v>
      </c>
      <c r="B566" t="s">
        <v>4857</v>
      </c>
      <c r="C566" s="12">
        <v>34962102</v>
      </c>
      <c r="D566" s="12" t="s">
        <v>3756</v>
      </c>
      <c r="E566" s="12">
        <v>0</v>
      </c>
      <c r="F566" s="12" t="s">
        <v>532</v>
      </c>
      <c r="G566" s="12">
        <v>120</v>
      </c>
      <c r="H566">
        <v>9</v>
      </c>
      <c r="J566">
        <v>5</v>
      </c>
      <c r="K566" t="s">
        <v>4806</v>
      </c>
      <c r="L566">
        <v>1</v>
      </c>
      <c r="N566" t="s">
        <v>4807</v>
      </c>
      <c r="O566" t="s">
        <v>3759</v>
      </c>
      <c r="P566" t="s">
        <v>4808</v>
      </c>
      <c r="Q566" t="s">
        <v>3761</v>
      </c>
      <c r="R566" t="s">
        <v>3762</v>
      </c>
      <c r="S566">
        <v>2021</v>
      </c>
      <c r="T566" s="2">
        <v>44558</v>
      </c>
      <c r="W566" t="s">
        <v>3764</v>
      </c>
      <c r="Y566">
        <f t="shared" si="24"/>
        <v>120</v>
      </c>
      <c r="Z566">
        <f t="shared" si="25"/>
        <v>1</v>
      </c>
      <c r="AA566">
        <f t="shared" si="26"/>
        <v>0</v>
      </c>
    </row>
    <row r="567" spans="1:27" x14ac:dyDescent="0.3">
      <c r="A567" t="s">
        <v>3822</v>
      </c>
      <c r="B567" t="s">
        <v>4857</v>
      </c>
      <c r="C567" s="12">
        <v>34226637</v>
      </c>
      <c r="D567" s="12" t="s">
        <v>4741</v>
      </c>
      <c r="E567" s="12">
        <v>0</v>
      </c>
      <c r="F567" s="12" t="s">
        <v>532</v>
      </c>
      <c r="G567" s="12"/>
      <c r="J567">
        <v>3</v>
      </c>
      <c r="K567" t="s">
        <v>4809</v>
      </c>
      <c r="M567" t="s">
        <v>4810</v>
      </c>
      <c r="N567" t="s">
        <v>4811</v>
      </c>
      <c r="O567" t="s">
        <v>4812</v>
      </c>
      <c r="P567" t="s">
        <v>4813</v>
      </c>
      <c r="Q567" t="s">
        <v>4814</v>
      </c>
      <c r="R567" t="s">
        <v>4815</v>
      </c>
      <c r="S567">
        <v>2021</v>
      </c>
      <c r="T567" s="2">
        <v>44383</v>
      </c>
      <c r="U567" t="s">
        <v>4816</v>
      </c>
      <c r="V567" t="s">
        <v>4817</v>
      </c>
      <c r="W567" t="s">
        <v>4818</v>
      </c>
      <c r="Y567">
        <f t="shared" si="24"/>
        <v>0</v>
      </c>
      <c r="Z567">
        <f t="shared" si="25"/>
        <v>0</v>
      </c>
      <c r="AA567">
        <f t="shared" si="26"/>
        <v>0</v>
      </c>
    </row>
    <row r="568" spans="1:27" x14ac:dyDescent="0.3">
      <c r="A568" t="s">
        <v>3822</v>
      </c>
      <c r="B568" t="s">
        <v>4857</v>
      </c>
      <c r="C568" s="12">
        <v>34114357</v>
      </c>
      <c r="D568" s="12" t="s">
        <v>4742</v>
      </c>
      <c r="E568" s="12">
        <v>0</v>
      </c>
      <c r="F568" s="12" t="s">
        <v>2823</v>
      </c>
      <c r="G568" s="12">
        <v>36</v>
      </c>
      <c r="H568" s="12">
        <v>1129</v>
      </c>
      <c r="J568">
        <v>175</v>
      </c>
      <c r="K568" s="35" t="s">
        <v>4819</v>
      </c>
      <c r="L568">
        <v>1</v>
      </c>
      <c r="M568" t="s">
        <v>4820</v>
      </c>
      <c r="N568" t="s">
        <v>4821</v>
      </c>
      <c r="O568" t="s">
        <v>4822</v>
      </c>
      <c r="P568" t="s">
        <v>4823</v>
      </c>
      <c r="Q568" t="s">
        <v>4824</v>
      </c>
      <c r="R568" t="s">
        <v>914</v>
      </c>
      <c r="S568">
        <v>2022</v>
      </c>
      <c r="T568" s="2">
        <v>44358</v>
      </c>
      <c r="W568" t="s">
        <v>4825</v>
      </c>
      <c r="Y568">
        <f t="shared" si="24"/>
        <v>36</v>
      </c>
      <c r="Z568">
        <f t="shared" si="25"/>
        <v>0</v>
      </c>
      <c r="AA568">
        <f t="shared" si="26"/>
        <v>0</v>
      </c>
    </row>
    <row r="569" spans="1:27" x14ac:dyDescent="0.3">
      <c r="A569" t="s">
        <v>3822</v>
      </c>
      <c r="B569" t="s">
        <v>4857</v>
      </c>
      <c r="C569" s="12">
        <v>34962717</v>
      </c>
      <c r="D569" s="12" t="s">
        <v>4743</v>
      </c>
      <c r="E569" s="12">
        <v>0</v>
      </c>
      <c r="F569" s="12" t="s">
        <v>3668</v>
      </c>
      <c r="G569" s="12">
        <v>85</v>
      </c>
      <c r="H569">
        <v>1238</v>
      </c>
      <c r="J569">
        <v>365</v>
      </c>
      <c r="L569">
        <v>1</v>
      </c>
      <c r="M569" t="s">
        <v>4826</v>
      </c>
      <c r="O569" t="s">
        <v>4827</v>
      </c>
      <c r="P569" t="s">
        <v>4828</v>
      </c>
      <c r="Q569" t="s">
        <v>4829</v>
      </c>
      <c r="R569" t="s">
        <v>793</v>
      </c>
      <c r="S569">
        <v>2021</v>
      </c>
      <c r="T569" s="2">
        <v>44558</v>
      </c>
      <c r="U569" t="s">
        <v>4830</v>
      </c>
      <c r="W569" t="s">
        <v>4831</v>
      </c>
      <c r="Y569">
        <f t="shared" si="24"/>
        <v>85</v>
      </c>
      <c r="Z569">
        <f t="shared" si="25"/>
        <v>0</v>
      </c>
      <c r="AA569">
        <f t="shared" si="26"/>
        <v>1</v>
      </c>
    </row>
    <row r="570" spans="1:27" x14ac:dyDescent="0.3">
      <c r="A570" t="s">
        <v>3822</v>
      </c>
      <c r="B570" t="s">
        <v>4857</v>
      </c>
      <c r="C570" s="12">
        <v>34831332</v>
      </c>
      <c r="D570" s="12" t="s">
        <v>4744</v>
      </c>
      <c r="E570" s="12">
        <v>0</v>
      </c>
      <c r="F570" s="12" t="s">
        <v>4745</v>
      </c>
      <c r="G570" s="12">
        <v>51</v>
      </c>
      <c r="H570">
        <v>16</v>
      </c>
      <c r="J570">
        <v>10</v>
      </c>
      <c r="K570" t="s">
        <v>4832</v>
      </c>
      <c r="L570">
        <v>1</v>
      </c>
      <c r="M570" t="s">
        <v>4833</v>
      </c>
      <c r="N570" t="s">
        <v>4834</v>
      </c>
      <c r="O570" t="s">
        <v>4835</v>
      </c>
      <c r="P570" t="s">
        <v>4836</v>
      </c>
      <c r="Q570" t="s">
        <v>4837</v>
      </c>
      <c r="R570" t="s">
        <v>2875</v>
      </c>
      <c r="S570">
        <v>2021</v>
      </c>
      <c r="T570" s="2">
        <v>44527</v>
      </c>
      <c r="U570" t="s">
        <v>4838</v>
      </c>
      <c r="W570" t="s">
        <v>4839</v>
      </c>
      <c r="Y570">
        <f t="shared" si="24"/>
        <v>51</v>
      </c>
      <c r="Z570">
        <f t="shared" si="25"/>
        <v>0</v>
      </c>
      <c r="AA570">
        <f t="shared" si="26"/>
        <v>1</v>
      </c>
    </row>
    <row r="571" spans="1:27" x14ac:dyDescent="0.3">
      <c r="A571" t="s">
        <v>3822</v>
      </c>
      <c r="B571" t="s">
        <v>4857</v>
      </c>
      <c r="C571" s="12">
        <v>34796696</v>
      </c>
      <c r="D571" s="12" t="s">
        <v>4746</v>
      </c>
      <c r="E571" s="12">
        <v>0</v>
      </c>
      <c r="F571" s="12" t="s">
        <v>532</v>
      </c>
      <c r="G571" s="12">
        <v>468</v>
      </c>
      <c r="H571">
        <v>51</v>
      </c>
      <c r="J571">
        <v>12</v>
      </c>
      <c r="K571" t="s">
        <v>4840</v>
      </c>
      <c r="L571">
        <v>1</v>
      </c>
      <c r="M571" t="s">
        <v>4841</v>
      </c>
      <c r="N571" t="s">
        <v>4842</v>
      </c>
      <c r="O571" t="s">
        <v>4843</v>
      </c>
      <c r="P571" t="s">
        <v>4844</v>
      </c>
      <c r="Q571" t="s">
        <v>4845</v>
      </c>
      <c r="R571" t="s">
        <v>1038</v>
      </c>
      <c r="S571">
        <v>2022</v>
      </c>
      <c r="T571" s="2">
        <v>44519</v>
      </c>
      <c r="U571" t="s">
        <v>4846</v>
      </c>
      <c r="V571" t="s">
        <v>4847</v>
      </c>
      <c r="W571" t="s">
        <v>4848</v>
      </c>
      <c r="Y571">
        <f t="shared" si="24"/>
        <v>468</v>
      </c>
      <c r="Z571">
        <f t="shared" si="25"/>
        <v>4</v>
      </c>
      <c r="AA571">
        <f t="shared" si="26"/>
        <v>1</v>
      </c>
    </row>
    <row r="572" spans="1:27" x14ac:dyDescent="0.3">
      <c r="A572" t="s">
        <v>3822</v>
      </c>
      <c r="B572" t="s">
        <v>4857</v>
      </c>
      <c r="C572" s="12">
        <v>34619249</v>
      </c>
      <c r="D572" s="12" t="s">
        <v>4747</v>
      </c>
      <c r="E572" s="12">
        <v>0</v>
      </c>
      <c r="F572" s="12" t="s">
        <v>4748</v>
      </c>
      <c r="G572" s="12">
        <v>167</v>
      </c>
      <c r="H572">
        <v>3</v>
      </c>
      <c r="J572">
        <v>2</v>
      </c>
      <c r="K572" t="s">
        <v>4849</v>
      </c>
      <c r="L572">
        <v>1</v>
      </c>
      <c r="M572" t="s">
        <v>4850</v>
      </c>
      <c r="N572" t="s">
        <v>4851</v>
      </c>
      <c r="O572" t="s">
        <v>4852</v>
      </c>
      <c r="P572" t="s">
        <v>4853</v>
      </c>
      <c r="Q572" t="s">
        <v>4854</v>
      </c>
      <c r="R572" t="s">
        <v>4855</v>
      </c>
      <c r="S572">
        <v>2021</v>
      </c>
      <c r="T572" s="2">
        <v>44476</v>
      </c>
      <c r="W572" t="s">
        <v>4856</v>
      </c>
      <c r="Y572">
        <f t="shared" si="24"/>
        <v>167</v>
      </c>
      <c r="Z572">
        <f t="shared" si="25"/>
        <v>1</v>
      </c>
      <c r="AA572">
        <f t="shared" si="26"/>
        <v>1</v>
      </c>
    </row>
    <row r="573" spans="1:27" x14ac:dyDescent="0.3">
      <c r="A573" t="s">
        <v>1350</v>
      </c>
      <c r="B573" t="s">
        <v>4857</v>
      </c>
      <c r="C573">
        <v>34298022</v>
      </c>
      <c r="D573" t="s">
        <v>4858</v>
      </c>
      <c r="E573">
        <v>0</v>
      </c>
      <c r="F573" t="s">
        <v>2823</v>
      </c>
      <c r="G573">
        <v>441</v>
      </c>
      <c r="H573">
        <v>92</v>
      </c>
      <c r="I573">
        <v>6</v>
      </c>
      <c r="J573">
        <v>4</v>
      </c>
      <c r="K573" t="s">
        <v>4859</v>
      </c>
      <c r="L573">
        <v>1</v>
      </c>
      <c r="M573" t="s">
        <v>4860</v>
      </c>
      <c r="N573" t="s">
        <v>4861</v>
      </c>
      <c r="O573" t="s">
        <v>4862</v>
      </c>
      <c r="P573" t="s">
        <v>4863</v>
      </c>
      <c r="Q573" t="s">
        <v>4864</v>
      </c>
      <c r="R573" t="s">
        <v>4865</v>
      </c>
      <c r="S573">
        <v>2021</v>
      </c>
      <c r="T573" s="2">
        <v>44400</v>
      </c>
      <c r="W573" t="s">
        <v>4866</v>
      </c>
      <c r="Y573">
        <f t="shared" si="24"/>
        <v>441</v>
      </c>
      <c r="Z573">
        <f t="shared" si="25"/>
        <v>4</v>
      </c>
      <c r="AA573">
        <f t="shared" si="26"/>
        <v>1</v>
      </c>
    </row>
    <row r="574" spans="1:27" x14ac:dyDescent="0.3">
      <c r="A574" t="s">
        <v>1350</v>
      </c>
      <c r="B574" t="s">
        <v>4857</v>
      </c>
      <c r="C574">
        <v>34223649</v>
      </c>
      <c r="D574" t="s">
        <v>4867</v>
      </c>
      <c r="E574">
        <v>0</v>
      </c>
      <c r="G574" t="s">
        <v>51</v>
      </c>
      <c r="O574" t="s">
        <v>4868</v>
      </c>
      <c r="P574" t="s">
        <v>4869</v>
      </c>
      <c r="Q574" t="s">
        <v>4870</v>
      </c>
      <c r="R574" t="s">
        <v>4871</v>
      </c>
      <c r="S574">
        <v>2021</v>
      </c>
      <c r="T574" s="2">
        <v>44382</v>
      </c>
      <c r="W574" t="s">
        <v>4872</v>
      </c>
      <c r="Y574" t="str">
        <f t="shared" si="24"/>
        <v>N/A</v>
      </c>
      <c r="Z574" t="str">
        <f t="shared" si="25"/>
        <v/>
      </c>
      <c r="AA574" t="str">
        <f t="shared" si="26"/>
        <v/>
      </c>
    </row>
    <row r="575" spans="1:27" x14ac:dyDescent="0.3">
      <c r="A575" t="s">
        <v>1350</v>
      </c>
      <c r="B575" t="s">
        <v>4857</v>
      </c>
      <c r="C575">
        <v>34888239</v>
      </c>
      <c r="D575" t="s">
        <v>4873</v>
      </c>
      <c r="E575">
        <v>0</v>
      </c>
      <c r="F575" t="s">
        <v>82</v>
      </c>
      <c r="G575">
        <v>179</v>
      </c>
      <c r="H575">
        <v>261</v>
      </c>
      <c r="I575">
        <v>25</v>
      </c>
      <c r="J575">
        <v>0</v>
      </c>
      <c r="L575">
        <v>3</v>
      </c>
      <c r="M575" t="s">
        <v>4874</v>
      </c>
      <c r="N575" t="s">
        <v>4875</v>
      </c>
      <c r="O575" t="s">
        <v>4876</v>
      </c>
      <c r="P575" t="s">
        <v>4877</v>
      </c>
      <c r="Q575" t="s">
        <v>4878</v>
      </c>
      <c r="R575" t="s">
        <v>1156</v>
      </c>
      <c r="S575">
        <v>2021</v>
      </c>
      <c r="T575" s="2">
        <v>44540</v>
      </c>
      <c r="U575" t="s">
        <v>4879</v>
      </c>
      <c r="W575" t="s">
        <v>4880</v>
      </c>
      <c r="Y575">
        <f t="shared" si="24"/>
        <v>537</v>
      </c>
      <c r="Z575">
        <f t="shared" si="25"/>
        <v>5</v>
      </c>
      <c r="AA575">
        <f t="shared" si="26"/>
        <v>1</v>
      </c>
    </row>
    <row r="576" spans="1:27" x14ac:dyDescent="0.3">
      <c r="A576" t="s">
        <v>1350</v>
      </c>
      <c r="B576" t="s">
        <v>4857</v>
      </c>
      <c r="C576" s="16">
        <v>34845919</v>
      </c>
      <c r="D576" s="16" t="s">
        <v>4881</v>
      </c>
      <c r="E576">
        <v>0</v>
      </c>
      <c r="F576" s="16" t="s">
        <v>23</v>
      </c>
      <c r="G576" s="16">
        <v>826</v>
      </c>
      <c r="H576" s="16">
        <v>742</v>
      </c>
      <c r="I576" s="16"/>
      <c r="J576" s="16" t="s">
        <v>4882</v>
      </c>
      <c r="K576" s="16"/>
      <c r="L576" s="16">
        <v>9</v>
      </c>
      <c r="M576" s="16" t="s">
        <v>4883</v>
      </c>
      <c r="N576" s="16" t="s">
        <v>4884</v>
      </c>
      <c r="O576" s="16" t="s">
        <v>4885</v>
      </c>
      <c r="P576" s="16" t="s">
        <v>4886</v>
      </c>
      <c r="Q576" s="16" t="s">
        <v>4887</v>
      </c>
      <c r="R576" s="16" t="s">
        <v>4888</v>
      </c>
      <c r="S576" s="16">
        <v>2021</v>
      </c>
      <c r="T576" s="18">
        <v>44530</v>
      </c>
      <c r="U576" s="16"/>
      <c r="V576" s="16"/>
      <c r="W576" s="16" t="s">
        <v>4889</v>
      </c>
      <c r="Y576">
        <f t="shared" si="24"/>
        <v>7434</v>
      </c>
      <c r="Z576">
        <f t="shared" si="25"/>
        <v>77</v>
      </c>
      <c r="AA576">
        <f t="shared" si="26"/>
        <v>0</v>
      </c>
    </row>
    <row r="577" spans="1:27" x14ac:dyDescent="0.3">
      <c r="A577" t="s">
        <v>1350</v>
      </c>
      <c r="B577" t="s">
        <v>4857</v>
      </c>
      <c r="C577">
        <v>34964538</v>
      </c>
      <c r="D577" t="s">
        <v>4890</v>
      </c>
      <c r="E577">
        <v>0</v>
      </c>
      <c r="F577" t="s">
        <v>4891</v>
      </c>
      <c r="G577">
        <v>662</v>
      </c>
      <c r="I577">
        <v>14</v>
      </c>
      <c r="J577">
        <v>2</v>
      </c>
      <c r="K577" t="s">
        <v>4892</v>
      </c>
      <c r="L577">
        <v>1</v>
      </c>
      <c r="M577" t="s">
        <v>4893</v>
      </c>
      <c r="O577" t="s">
        <v>4894</v>
      </c>
      <c r="P577" t="s">
        <v>4895</v>
      </c>
      <c r="Q577" t="s">
        <v>4896</v>
      </c>
      <c r="R577" t="s">
        <v>4897</v>
      </c>
      <c r="S577">
        <v>2021</v>
      </c>
      <c r="T577" s="2">
        <v>44559</v>
      </c>
      <c r="W577" t="s">
        <v>4898</v>
      </c>
      <c r="Y577">
        <f t="shared" si="24"/>
        <v>662</v>
      </c>
      <c r="Z577">
        <f t="shared" si="25"/>
        <v>6</v>
      </c>
      <c r="AA577">
        <f t="shared" si="26"/>
        <v>1</v>
      </c>
    </row>
    <row r="578" spans="1:27" x14ac:dyDescent="0.3">
      <c r="A578" t="s">
        <v>1350</v>
      </c>
      <c r="B578" t="s">
        <v>4857</v>
      </c>
      <c r="C578">
        <v>34758886</v>
      </c>
      <c r="D578" t="s">
        <v>4899</v>
      </c>
      <c r="E578">
        <v>0</v>
      </c>
      <c r="F578" t="s">
        <v>4900</v>
      </c>
      <c r="G578">
        <v>1781</v>
      </c>
      <c r="H578">
        <v>86</v>
      </c>
      <c r="I578">
        <v>9</v>
      </c>
      <c r="J578">
        <v>1</v>
      </c>
      <c r="K578" t="s">
        <v>4901</v>
      </c>
      <c r="L578">
        <v>1</v>
      </c>
      <c r="M578" t="s">
        <v>4902</v>
      </c>
      <c r="N578" t="s">
        <v>4903</v>
      </c>
      <c r="O578" t="s">
        <v>4904</v>
      </c>
      <c r="P578" t="s">
        <v>4905</v>
      </c>
      <c r="Q578" t="s">
        <v>4887</v>
      </c>
      <c r="R578" t="s">
        <v>4906</v>
      </c>
      <c r="S578">
        <v>2021</v>
      </c>
      <c r="T578" s="2">
        <v>44511</v>
      </c>
      <c r="U578" t="s">
        <v>4907</v>
      </c>
      <c r="W578" t="s">
        <v>4908</v>
      </c>
      <c r="Y578">
        <f t="shared" si="24"/>
        <v>1781</v>
      </c>
      <c r="Z578">
        <f t="shared" si="25"/>
        <v>18</v>
      </c>
      <c r="AA578">
        <f t="shared" si="26"/>
        <v>1</v>
      </c>
    </row>
    <row r="579" spans="1:27" x14ac:dyDescent="0.3">
      <c r="A579" t="s">
        <v>1350</v>
      </c>
      <c r="B579" t="s">
        <v>4857</v>
      </c>
      <c r="C579">
        <v>34129689</v>
      </c>
      <c r="D579" t="s">
        <v>4909</v>
      </c>
      <c r="E579">
        <v>0</v>
      </c>
      <c r="F579" t="s">
        <v>4910</v>
      </c>
      <c r="G579">
        <v>623</v>
      </c>
      <c r="H579">
        <v>368</v>
      </c>
      <c r="I579">
        <v>36</v>
      </c>
      <c r="J579">
        <v>19</v>
      </c>
      <c r="K579" t="s">
        <v>4911</v>
      </c>
      <c r="L579">
        <v>4</v>
      </c>
      <c r="M579" t="s">
        <v>4912</v>
      </c>
      <c r="N579" t="s">
        <v>4913</v>
      </c>
      <c r="O579" t="s">
        <v>4914</v>
      </c>
      <c r="P579" t="s">
        <v>4915</v>
      </c>
      <c r="Q579" t="s">
        <v>4916</v>
      </c>
      <c r="R579" t="s">
        <v>597</v>
      </c>
      <c r="S579">
        <v>2021</v>
      </c>
      <c r="T579" s="2">
        <v>44362</v>
      </c>
      <c r="W579" t="s">
        <v>4917</v>
      </c>
      <c r="Y579">
        <f t="shared" ref="Y579:Y642" si="27">IFERROR(L579*G579,"N/A")</f>
        <v>2492</v>
      </c>
      <c r="Z579">
        <f t="shared" ref="Z579:Z642" si="28">IFERROR(ROUNDDOWN(Y579/96,0),"")</f>
        <v>25</v>
      </c>
      <c r="AA579">
        <f t="shared" ref="AA579:AA642" si="29">IFERROR(ROUNDDOWN((MOD(Y579,96)/48),0),"")</f>
        <v>1</v>
      </c>
    </row>
    <row r="580" spans="1:27" x14ac:dyDescent="0.3">
      <c r="A580" t="s">
        <v>1350</v>
      </c>
      <c r="B580" t="s">
        <v>4857</v>
      </c>
      <c r="C580" s="16">
        <v>34960725</v>
      </c>
      <c r="D580" s="16" t="s">
        <v>4918</v>
      </c>
      <c r="E580">
        <v>0</v>
      </c>
      <c r="F580" s="16" t="s">
        <v>286</v>
      </c>
      <c r="G580" s="16">
        <v>161</v>
      </c>
      <c r="H580" s="16">
        <v>177</v>
      </c>
      <c r="I580" s="16"/>
      <c r="J580" s="16">
        <v>26</v>
      </c>
      <c r="K580" s="16" t="s">
        <v>4919</v>
      </c>
      <c r="L580" s="16">
        <v>2</v>
      </c>
      <c r="M580" s="16" t="s">
        <v>4920</v>
      </c>
      <c r="N580" s="16" t="s">
        <v>4921</v>
      </c>
      <c r="O580" s="16" t="s">
        <v>4922</v>
      </c>
      <c r="P580" s="16" t="s">
        <v>4923</v>
      </c>
      <c r="Q580" s="16" t="s">
        <v>4924</v>
      </c>
      <c r="R580" s="16" t="s">
        <v>1800</v>
      </c>
      <c r="S580" s="16">
        <v>2021</v>
      </c>
      <c r="T580" s="18">
        <v>44558</v>
      </c>
      <c r="U580" s="16" t="s">
        <v>4925</v>
      </c>
      <c r="V580" s="16"/>
      <c r="W580" s="16" t="s">
        <v>4926</v>
      </c>
      <c r="Y580">
        <f t="shared" si="27"/>
        <v>322</v>
      </c>
      <c r="Z580">
        <f t="shared" si="28"/>
        <v>3</v>
      </c>
      <c r="AA580">
        <f t="shared" si="29"/>
        <v>0</v>
      </c>
    </row>
    <row r="581" spans="1:27" x14ac:dyDescent="0.3">
      <c r="A581" t="s">
        <v>1350</v>
      </c>
      <c r="B581" t="s">
        <v>4857</v>
      </c>
      <c r="C581">
        <v>34649700</v>
      </c>
      <c r="D581" t="s">
        <v>4927</v>
      </c>
      <c r="E581">
        <v>0</v>
      </c>
      <c r="F581" t="s">
        <v>4928</v>
      </c>
      <c r="G581">
        <v>2770</v>
      </c>
      <c r="H581">
        <v>92</v>
      </c>
      <c r="I581">
        <v>92</v>
      </c>
      <c r="J581" t="s">
        <v>4929</v>
      </c>
      <c r="K581" t="s">
        <v>4930</v>
      </c>
      <c r="L581">
        <v>2</v>
      </c>
      <c r="M581" t="s">
        <v>4118</v>
      </c>
      <c r="N581" t="s">
        <v>4931</v>
      </c>
      <c r="O581" t="s">
        <v>4932</v>
      </c>
      <c r="P581" t="s">
        <v>4933</v>
      </c>
      <c r="Q581" t="s">
        <v>4934</v>
      </c>
      <c r="R581" t="s">
        <v>4935</v>
      </c>
      <c r="S581">
        <v>2021</v>
      </c>
      <c r="T581" s="2">
        <v>44484</v>
      </c>
      <c r="W581" t="s">
        <v>4936</v>
      </c>
      <c r="Y581">
        <f t="shared" si="27"/>
        <v>5540</v>
      </c>
      <c r="Z581">
        <f t="shared" si="28"/>
        <v>57</v>
      </c>
      <c r="AA581">
        <f t="shared" si="29"/>
        <v>1</v>
      </c>
    </row>
    <row r="582" spans="1:27" x14ac:dyDescent="0.3">
      <c r="A582" t="s">
        <v>1350</v>
      </c>
      <c r="B582" t="s">
        <v>4857</v>
      </c>
      <c r="C582">
        <v>34612501</v>
      </c>
      <c r="D582" t="s">
        <v>249</v>
      </c>
      <c r="E582">
        <v>0</v>
      </c>
      <c r="F582" t="s">
        <v>4937</v>
      </c>
      <c r="G582">
        <v>2782</v>
      </c>
      <c r="H582">
        <v>71</v>
      </c>
      <c r="I582">
        <v>52</v>
      </c>
      <c r="J582" s="36" t="s">
        <v>4938</v>
      </c>
      <c r="K582" t="s">
        <v>4939</v>
      </c>
      <c r="L582">
        <v>1</v>
      </c>
      <c r="M582" t="s">
        <v>4940</v>
      </c>
      <c r="N582" t="s">
        <v>4941</v>
      </c>
      <c r="O582" t="s">
        <v>252</v>
      </c>
      <c r="P582" t="s">
        <v>4942</v>
      </c>
      <c r="Q582" t="s">
        <v>254</v>
      </c>
      <c r="R582" t="s">
        <v>255</v>
      </c>
      <c r="S582">
        <v>2021</v>
      </c>
      <c r="T582" s="2">
        <v>44475</v>
      </c>
      <c r="W582" t="s">
        <v>256</v>
      </c>
      <c r="Y582">
        <f t="shared" si="27"/>
        <v>2782</v>
      </c>
      <c r="Z582">
        <f t="shared" si="28"/>
        <v>28</v>
      </c>
      <c r="AA582">
        <f t="shared" si="29"/>
        <v>1</v>
      </c>
    </row>
    <row r="583" spans="1:27" x14ac:dyDescent="0.3">
      <c r="A583" t="s">
        <v>1350</v>
      </c>
      <c r="B583" t="s">
        <v>4857</v>
      </c>
      <c r="C583">
        <v>34654463</v>
      </c>
      <c r="D583" t="s">
        <v>4943</v>
      </c>
      <c r="E583">
        <v>0</v>
      </c>
      <c r="F583" t="s">
        <v>4944</v>
      </c>
      <c r="G583">
        <v>74</v>
      </c>
      <c r="H583">
        <v>911</v>
      </c>
      <c r="I583">
        <v>70</v>
      </c>
      <c r="J583">
        <v>39</v>
      </c>
      <c r="K583" s="35" t="s">
        <v>4945</v>
      </c>
      <c r="L583">
        <v>10</v>
      </c>
      <c r="M583" t="s">
        <v>4946</v>
      </c>
      <c r="N583" t="s">
        <v>4947</v>
      </c>
      <c r="O583" t="s">
        <v>4948</v>
      </c>
      <c r="P583" t="s">
        <v>4949</v>
      </c>
      <c r="Q583" t="s">
        <v>4950</v>
      </c>
      <c r="R583" t="s">
        <v>2162</v>
      </c>
      <c r="S583">
        <v>2021</v>
      </c>
      <c r="T583" s="2">
        <v>44485</v>
      </c>
      <c r="U583" t="s">
        <v>4951</v>
      </c>
      <c r="W583" t="s">
        <v>4952</v>
      </c>
      <c r="Y583">
        <f t="shared" si="27"/>
        <v>740</v>
      </c>
      <c r="Z583">
        <f t="shared" si="28"/>
        <v>7</v>
      </c>
      <c r="AA583">
        <f t="shared" si="29"/>
        <v>1</v>
      </c>
    </row>
    <row r="584" spans="1:27" x14ac:dyDescent="0.3">
      <c r="A584" t="s">
        <v>1350</v>
      </c>
      <c r="B584" t="s">
        <v>4857</v>
      </c>
      <c r="C584">
        <v>34961662</v>
      </c>
      <c r="D584" t="s">
        <v>4953</v>
      </c>
      <c r="E584">
        <v>0</v>
      </c>
      <c r="F584" t="s">
        <v>4954</v>
      </c>
      <c r="G584">
        <v>1665</v>
      </c>
      <c r="H584">
        <v>78</v>
      </c>
      <c r="J584">
        <v>2</v>
      </c>
      <c r="K584" t="s">
        <v>4955</v>
      </c>
      <c r="L584">
        <v>4</v>
      </c>
      <c r="M584" t="s">
        <v>4912</v>
      </c>
      <c r="N584" t="s">
        <v>4956</v>
      </c>
      <c r="O584" t="s">
        <v>4957</v>
      </c>
      <c r="P584" t="s">
        <v>4958</v>
      </c>
      <c r="Q584" t="s">
        <v>2444</v>
      </c>
      <c r="R584" t="s">
        <v>4959</v>
      </c>
      <c r="S584">
        <v>2021</v>
      </c>
      <c r="T584" s="2">
        <v>44558</v>
      </c>
      <c r="W584" t="s">
        <v>4960</v>
      </c>
      <c r="Y584">
        <f t="shared" si="27"/>
        <v>6660</v>
      </c>
      <c r="Z584">
        <f t="shared" si="28"/>
        <v>69</v>
      </c>
      <c r="AA584">
        <f t="shared" si="29"/>
        <v>0</v>
      </c>
    </row>
    <row r="585" spans="1:27" x14ac:dyDescent="0.3">
      <c r="A585" t="s">
        <v>1350</v>
      </c>
      <c r="B585" t="s">
        <v>4857</v>
      </c>
      <c r="C585">
        <v>33768639</v>
      </c>
      <c r="D585" t="s">
        <v>4961</v>
      </c>
      <c r="E585">
        <v>0</v>
      </c>
      <c r="F585" t="s">
        <v>82</v>
      </c>
      <c r="G585">
        <v>14</v>
      </c>
      <c r="H585">
        <v>163</v>
      </c>
      <c r="I585" t="s">
        <v>4962</v>
      </c>
      <c r="J585" t="s">
        <v>4963</v>
      </c>
      <c r="K585" t="s">
        <v>4964</v>
      </c>
      <c r="L585">
        <v>2</v>
      </c>
      <c r="M585" t="s">
        <v>4965</v>
      </c>
      <c r="N585" t="s">
        <v>4966</v>
      </c>
      <c r="O585" t="s">
        <v>4967</v>
      </c>
      <c r="P585" t="s">
        <v>4968</v>
      </c>
      <c r="Q585" t="s">
        <v>4969</v>
      </c>
      <c r="R585" t="s">
        <v>344</v>
      </c>
      <c r="S585">
        <v>2021</v>
      </c>
      <c r="T585" s="2">
        <v>44281</v>
      </c>
      <c r="U585" t="s">
        <v>4970</v>
      </c>
      <c r="W585" t="s">
        <v>4971</v>
      </c>
      <c r="Y585">
        <f t="shared" si="27"/>
        <v>28</v>
      </c>
      <c r="Z585">
        <f t="shared" si="28"/>
        <v>0</v>
      </c>
      <c r="AA585">
        <f t="shared" si="29"/>
        <v>0</v>
      </c>
    </row>
    <row r="586" spans="1:27" x14ac:dyDescent="0.3">
      <c r="A586" t="s">
        <v>1350</v>
      </c>
      <c r="B586" t="s">
        <v>4857</v>
      </c>
      <c r="C586">
        <v>34710494</v>
      </c>
      <c r="D586" t="s">
        <v>4972</v>
      </c>
      <c r="E586">
        <v>0</v>
      </c>
      <c r="F586" t="s">
        <v>4900</v>
      </c>
      <c r="G586">
        <v>202</v>
      </c>
      <c r="H586">
        <v>69</v>
      </c>
      <c r="J586">
        <v>3</v>
      </c>
      <c r="K586" t="s">
        <v>4973</v>
      </c>
      <c r="L586">
        <v>3</v>
      </c>
      <c r="M586" t="s">
        <v>4974</v>
      </c>
      <c r="O586" t="s">
        <v>4975</v>
      </c>
      <c r="P586" t="s">
        <v>4976</v>
      </c>
      <c r="Q586" t="s">
        <v>4977</v>
      </c>
      <c r="R586" t="s">
        <v>318</v>
      </c>
      <c r="S586">
        <v>2021</v>
      </c>
      <c r="T586" s="2">
        <v>44497</v>
      </c>
      <c r="W586" t="s">
        <v>4978</v>
      </c>
      <c r="Y586">
        <f t="shared" si="27"/>
        <v>606</v>
      </c>
      <c r="Z586">
        <f t="shared" si="28"/>
        <v>6</v>
      </c>
      <c r="AA586">
        <f t="shared" si="29"/>
        <v>0</v>
      </c>
    </row>
    <row r="587" spans="1:27" x14ac:dyDescent="0.3">
      <c r="A587" t="s">
        <v>1350</v>
      </c>
      <c r="B587" t="s">
        <v>4857</v>
      </c>
      <c r="C587">
        <v>34602080</v>
      </c>
      <c r="D587" t="s">
        <v>4979</v>
      </c>
      <c r="E587">
        <v>0</v>
      </c>
      <c r="F587" t="s">
        <v>143</v>
      </c>
      <c r="G587">
        <v>110</v>
      </c>
      <c r="H587">
        <v>20</v>
      </c>
      <c r="J587">
        <v>7</v>
      </c>
      <c r="K587" t="s">
        <v>4980</v>
      </c>
      <c r="L587">
        <v>1</v>
      </c>
      <c r="M587" t="s">
        <v>4981</v>
      </c>
      <c r="O587" t="s">
        <v>4982</v>
      </c>
      <c r="P587" t="s">
        <v>4983</v>
      </c>
      <c r="Q587" t="s">
        <v>4984</v>
      </c>
      <c r="R587" t="s">
        <v>398</v>
      </c>
      <c r="S587">
        <v>2021</v>
      </c>
      <c r="T587" s="2">
        <v>44473</v>
      </c>
      <c r="U587" t="s">
        <v>4985</v>
      </c>
      <c r="W587" t="s">
        <v>4986</v>
      </c>
      <c r="Y587">
        <f t="shared" si="27"/>
        <v>110</v>
      </c>
      <c r="Z587">
        <f t="shared" si="28"/>
        <v>1</v>
      </c>
      <c r="AA587">
        <f t="shared" si="29"/>
        <v>0</v>
      </c>
    </row>
    <row r="588" spans="1:27" x14ac:dyDescent="0.3">
      <c r="A588" t="s">
        <v>1350</v>
      </c>
      <c r="B588" t="s">
        <v>4857</v>
      </c>
      <c r="C588">
        <v>34819519</v>
      </c>
      <c r="D588" t="s">
        <v>4987</v>
      </c>
      <c r="E588">
        <v>0</v>
      </c>
      <c r="F588" t="s">
        <v>4988</v>
      </c>
      <c r="G588" s="25">
        <v>12345</v>
      </c>
      <c r="H588">
        <v>1069</v>
      </c>
      <c r="I588" t="s">
        <v>4989</v>
      </c>
      <c r="J588" t="s">
        <v>4990</v>
      </c>
      <c r="K588" t="s">
        <v>4990</v>
      </c>
      <c r="L588">
        <v>12</v>
      </c>
      <c r="M588" t="s">
        <v>4991</v>
      </c>
      <c r="N588" t="s">
        <v>4992</v>
      </c>
      <c r="O588" t="s">
        <v>4993</v>
      </c>
      <c r="P588" t="s">
        <v>4994</v>
      </c>
      <c r="Q588" t="s">
        <v>4995</v>
      </c>
      <c r="R588" t="s">
        <v>2619</v>
      </c>
      <c r="S588">
        <v>2021</v>
      </c>
      <c r="T588" s="2">
        <v>44525</v>
      </c>
      <c r="U588" t="s">
        <v>4996</v>
      </c>
      <c r="W588" t="s">
        <v>4997</v>
      </c>
      <c r="Y588">
        <f t="shared" si="27"/>
        <v>148140</v>
      </c>
      <c r="Z588">
        <f t="shared" si="28"/>
        <v>1543</v>
      </c>
      <c r="AA588">
        <f t="shared" si="29"/>
        <v>0</v>
      </c>
    </row>
    <row r="589" spans="1:27" x14ac:dyDescent="0.3">
      <c r="A589" t="s">
        <v>1350</v>
      </c>
      <c r="B589" t="s">
        <v>4857</v>
      </c>
      <c r="C589">
        <v>34728734</v>
      </c>
      <c r="D589" t="s">
        <v>4998</v>
      </c>
      <c r="E589">
        <v>0</v>
      </c>
      <c r="F589" t="s">
        <v>34</v>
      </c>
      <c r="G589">
        <v>85</v>
      </c>
      <c r="H589">
        <v>266</v>
      </c>
      <c r="I589">
        <v>3</v>
      </c>
      <c r="J589">
        <v>1</v>
      </c>
      <c r="K589" t="s">
        <v>4999</v>
      </c>
      <c r="L589">
        <v>3</v>
      </c>
      <c r="M589" t="s">
        <v>5000</v>
      </c>
      <c r="N589" t="s">
        <v>5001</v>
      </c>
      <c r="O589" t="s">
        <v>5002</v>
      </c>
      <c r="P589" t="s">
        <v>5003</v>
      </c>
      <c r="Q589" t="s">
        <v>5004</v>
      </c>
      <c r="R589" t="s">
        <v>246</v>
      </c>
      <c r="S589">
        <v>2021</v>
      </c>
      <c r="T589" s="2">
        <v>44503</v>
      </c>
      <c r="U589" t="s">
        <v>5005</v>
      </c>
      <c r="W589" t="s">
        <v>5006</v>
      </c>
      <c r="Y589">
        <f t="shared" si="27"/>
        <v>255</v>
      </c>
      <c r="Z589">
        <f t="shared" si="28"/>
        <v>2</v>
      </c>
      <c r="AA589">
        <f t="shared" si="29"/>
        <v>1</v>
      </c>
    </row>
    <row r="590" spans="1:27" x14ac:dyDescent="0.3">
      <c r="A590" t="s">
        <v>1350</v>
      </c>
      <c r="B590" t="s">
        <v>4857</v>
      </c>
      <c r="C590">
        <v>34698823</v>
      </c>
      <c r="D590" t="s">
        <v>5007</v>
      </c>
      <c r="E590">
        <v>0</v>
      </c>
      <c r="F590" t="s">
        <v>5008</v>
      </c>
      <c r="G590">
        <v>276</v>
      </c>
      <c r="H590">
        <v>92</v>
      </c>
      <c r="J590">
        <v>14</v>
      </c>
      <c r="K590" t="s">
        <v>5009</v>
      </c>
      <c r="L590">
        <v>1</v>
      </c>
      <c r="M590" t="s">
        <v>5010</v>
      </c>
      <c r="N590" t="s">
        <v>5011</v>
      </c>
      <c r="O590" t="s">
        <v>5012</v>
      </c>
      <c r="P590" t="s">
        <v>5013</v>
      </c>
      <c r="Q590" t="s">
        <v>5014</v>
      </c>
      <c r="R590" t="s">
        <v>1289</v>
      </c>
      <c r="S590">
        <v>2021</v>
      </c>
      <c r="T590" s="2">
        <v>44495</v>
      </c>
      <c r="W590" t="s">
        <v>5015</v>
      </c>
      <c r="Y590">
        <f t="shared" si="27"/>
        <v>276</v>
      </c>
      <c r="Z590">
        <f t="shared" si="28"/>
        <v>2</v>
      </c>
      <c r="AA590">
        <f t="shared" si="29"/>
        <v>1</v>
      </c>
    </row>
    <row r="591" spans="1:27" x14ac:dyDescent="0.3">
      <c r="A591" t="s">
        <v>1350</v>
      </c>
      <c r="B591" t="s">
        <v>4857</v>
      </c>
      <c r="C591">
        <v>34680994</v>
      </c>
      <c r="D591" t="s">
        <v>5016</v>
      </c>
      <c r="E591">
        <v>0</v>
      </c>
      <c r="F591" t="s">
        <v>4900</v>
      </c>
      <c r="G591">
        <v>25</v>
      </c>
      <c r="H591">
        <v>184</v>
      </c>
      <c r="I591">
        <v>32</v>
      </c>
      <c r="J591" s="33" t="s">
        <v>5017</v>
      </c>
      <c r="K591" t="s">
        <v>5018</v>
      </c>
      <c r="L591">
        <v>2</v>
      </c>
      <c r="M591" t="s">
        <v>5019</v>
      </c>
      <c r="O591" t="s">
        <v>5020</v>
      </c>
      <c r="P591" t="s">
        <v>5021</v>
      </c>
      <c r="Q591" t="s">
        <v>5022</v>
      </c>
      <c r="R591" t="s">
        <v>5023</v>
      </c>
      <c r="S591">
        <v>2021</v>
      </c>
      <c r="T591" s="2">
        <v>44492</v>
      </c>
      <c r="U591" t="s">
        <v>5024</v>
      </c>
      <c r="W591" t="s">
        <v>5025</v>
      </c>
      <c r="Y591">
        <f t="shared" si="27"/>
        <v>50</v>
      </c>
      <c r="Z591">
        <f t="shared" si="28"/>
        <v>0</v>
      </c>
      <c r="AA591">
        <f t="shared" si="29"/>
        <v>1</v>
      </c>
    </row>
    <row r="592" spans="1:27" x14ac:dyDescent="0.3">
      <c r="A592" t="s">
        <v>1350</v>
      </c>
      <c r="B592" t="s">
        <v>4857</v>
      </c>
      <c r="C592">
        <v>34746064</v>
      </c>
      <c r="D592" t="s">
        <v>5026</v>
      </c>
      <c r="E592">
        <v>0</v>
      </c>
      <c r="F592" t="s">
        <v>5027</v>
      </c>
      <c r="G592">
        <v>40</v>
      </c>
      <c r="H592">
        <v>189</v>
      </c>
      <c r="I592">
        <v>18</v>
      </c>
      <c r="J592">
        <v>0</v>
      </c>
      <c r="K592" t="s">
        <v>5028</v>
      </c>
      <c r="L592">
        <v>3</v>
      </c>
      <c r="M592" t="s">
        <v>5029</v>
      </c>
      <c r="O592" t="s">
        <v>5030</v>
      </c>
      <c r="P592" t="s">
        <v>5031</v>
      </c>
      <c r="Q592" t="s">
        <v>5032</v>
      </c>
      <c r="R592" t="s">
        <v>2392</v>
      </c>
      <c r="S592">
        <v>2021</v>
      </c>
      <c r="T592" s="2">
        <v>44508</v>
      </c>
      <c r="U592" t="s">
        <v>5033</v>
      </c>
      <c r="W592" t="s">
        <v>5034</v>
      </c>
      <c r="Y592">
        <f t="shared" si="27"/>
        <v>120</v>
      </c>
      <c r="Z592">
        <f t="shared" si="28"/>
        <v>1</v>
      </c>
      <c r="AA592">
        <f t="shared" si="29"/>
        <v>0</v>
      </c>
    </row>
    <row r="593" spans="1:27" x14ac:dyDescent="0.3">
      <c r="A593" t="s">
        <v>1350</v>
      </c>
      <c r="B593" t="s">
        <v>4857</v>
      </c>
      <c r="C593">
        <v>34741019</v>
      </c>
      <c r="D593" t="s">
        <v>5035</v>
      </c>
      <c r="E593">
        <v>0</v>
      </c>
      <c r="F593" t="s">
        <v>4954</v>
      </c>
      <c r="G593">
        <v>51</v>
      </c>
      <c r="H593">
        <v>92</v>
      </c>
      <c r="I593">
        <v>42</v>
      </c>
      <c r="J593">
        <v>7</v>
      </c>
      <c r="K593" t="s">
        <v>5036</v>
      </c>
      <c r="L593">
        <v>1</v>
      </c>
      <c r="M593" t="s">
        <v>5037</v>
      </c>
      <c r="N593" t="s">
        <v>5038</v>
      </c>
      <c r="O593" t="s">
        <v>5039</v>
      </c>
      <c r="P593" t="s">
        <v>5040</v>
      </c>
      <c r="Q593" t="s">
        <v>5041</v>
      </c>
      <c r="R593" t="s">
        <v>1091</v>
      </c>
      <c r="S593">
        <v>2021</v>
      </c>
      <c r="T593" s="2">
        <v>44506</v>
      </c>
      <c r="U593" t="s">
        <v>5042</v>
      </c>
      <c r="W593" t="s">
        <v>5043</v>
      </c>
      <c r="Y593">
        <f t="shared" si="27"/>
        <v>51</v>
      </c>
      <c r="Z593">
        <f t="shared" si="28"/>
        <v>0</v>
      </c>
      <c r="AA593">
        <f t="shared" si="29"/>
        <v>1</v>
      </c>
    </row>
    <row r="594" spans="1:27" x14ac:dyDescent="0.3">
      <c r="A594" t="s">
        <v>1350</v>
      </c>
      <c r="B594" t="s">
        <v>4857</v>
      </c>
      <c r="C594">
        <v>34863228</v>
      </c>
      <c r="D594" t="s">
        <v>5044</v>
      </c>
      <c r="E594">
        <v>0</v>
      </c>
      <c r="F594" t="s">
        <v>143</v>
      </c>
      <c r="G594">
        <v>40</v>
      </c>
      <c r="H594">
        <v>92</v>
      </c>
      <c r="I594">
        <v>12</v>
      </c>
      <c r="J594">
        <v>0</v>
      </c>
      <c r="K594" t="s">
        <v>5045</v>
      </c>
      <c r="L594">
        <v>1</v>
      </c>
      <c r="M594" t="s">
        <v>5046</v>
      </c>
      <c r="N594" t="s">
        <v>5047</v>
      </c>
      <c r="O594" t="s">
        <v>5048</v>
      </c>
      <c r="P594" t="s">
        <v>5049</v>
      </c>
      <c r="Q594" t="s">
        <v>362</v>
      </c>
      <c r="R594" t="s">
        <v>363</v>
      </c>
      <c r="S594">
        <v>2021</v>
      </c>
      <c r="T594" s="2">
        <v>44535</v>
      </c>
      <c r="U594" t="s">
        <v>5050</v>
      </c>
      <c r="W594" t="s">
        <v>5051</v>
      </c>
      <c r="Y594">
        <f t="shared" si="27"/>
        <v>40</v>
      </c>
      <c r="Z594">
        <f t="shared" si="28"/>
        <v>0</v>
      </c>
      <c r="AA594">
        <f t="shared" si="29"/>
        <v>0</v>
      </c>
    </row>
    <row r="595" spans="1:27" x14ac:dyDescent="0.3">
      <c r="A595" t="s">
        <v>1350</v>
      </c>
      <c r="B595" t="s">
        <v>4857</v>
      </c>
      <c r="C595" s="16">
        <v>34814699</v>
      </c>
      <c r="D595" s="16" t="s">
        <v>5052</v>
      </c>
      <c r="E595" s="16">
        <v>0</v>
      </c>
      <c r="F595" s="16" t="s">
        <v>23</v>
      </c>
      <c r="G595" s="16">
        <v>1852</v>
      </c>
      <c r="H595" s="16">
        <v>1536</v>
      </c>
      <c r="I595" s="16"/>
      <c r="J595" s="16" t="s">
        <v>5053</v>
      </c>
      <c r="K595" s="16" t="s">
        <v>5054</v>
      </c>
      <c r="L595" s="16">
        <v>1</v>
      </c>
      <c r="M595" s="16" t="s">
        <v>5055</v>
      </c>
      <c r="N595" s="16" t="s">
        <v>5056</v>
      </c>
      <c r="O595" s="16" t="s">
        <v>5057</v>
      </c>
      <c r="P595" s="16" t="s">
        <v>5058</v>
      </c>
      <c r="Q595" s="16" t="s">
        <v>527</v>
      </c>
      <c r="R595" s="16" t="s">
        <v>3193</v>
      </c>
      <c r="S595" s="16">
        <v>2021</v>
      </c>
      <c r="T595" s="18">
        <v>44524</v>
      </c>
      <c r="U595" s="16"/>
      <c r="V595" s="16"/>
      <c r="W595" s="16" t="s">
        <v>5059</v>
      </c>
      <c r="Y595">
        <f t="shared" si="27"/>
        <v>1852</v>
      </c>
      <c r="Z595">
        <f t="shared" si="28"/>
        <v>19</v>
      </c>
      <c r="AA595">
        <f t="shared" si="29"/>
        <v>0</v>
      </c>
    </row>
    <row r="596" spans="1:27" x14ac:dyDescent="0.3">
      <c r="A596" t="s">
        <v>1350</v>
      </c>
      <c r="B596" t="s">
        <v>4857</v>
      </c>
      <c r="C596">
        <v>34780968</v>
      </c>
      <c r="D596" t="s">
        <v>5060</v>
      </c>
      <c r="E596">
        <v>0</v>
      </c>
      <c r="F596" t="s">
        <v>5061</v>
      </c>
      <c r="G596">
        <v>3308</v>
      </c>
      <c r="H596">
        <v>72</v>
      </c>
      <c r="I596">
        <v>14</v>
      </c>
      <c r="K596" t="s">
        <v>5062</v>
      </c>
      <c r="L596">
        <v>1</v>
      </c>
      <c r="M596" t="s">
        <v>4860</v>
      </c>
      <c r="O596" t="s">
        <v>5063</v>
      </c>
      <c r="P596" t="s">
        <v>5064</v>
      </c>
      <c r="Q596" t="s">
        <v>5065</v>
      </c>
      <c r="R596" t="s">
        <v>5066</v>
      </c>
      <c r="S596">
        <v>2021</v>
      </c>
      <c r="T596" s="2">
        <v>44515</v>
      </c>
      <c r="W596" t="s">
        <v>5067</v>
      </c>
      <c r="Y596">
        <f t="shared" si="27"/>
        <v>3308</v>
      </c>
      <c r="Z596">
        <f t="shared" si="28"/>
        <v>34</v>
      </c>
      <c r="AA596">
        <f t="shared" si="29"/>
        <v>0</v>
      </c>
    </row>
    <row r="597" spans="1:27" x14ac:dyDescent="0.3">
      <c r="A597" t="s">
        <v>1350</v>
      </c>
      <c r="B597" t="s">
        <v>4857</v>
      </c>
      <c r="C597">
        <v>34743218</v>
      </c>
      <c r="D597" t="s">
        <v>5068</v>
      </c>
      <c r="E597">
        <v>0</v>
      </c>
      <c r="F597" t="s">
        <v>5069</v>
      </c>
      <c r="G597">
        <v>44</v>
      </c>
      <c r="H597">
        <v>1</v>
      </c>
      <c r="J597">
        <v>1</v>
      </c>
      <c r="K597" t="s">
        <v>5070</v>
      </c>
      <c r="L597">
        <v>1</v>
      </c>
      <c r="M597" t="s">
        <v>5071</v>
      </c>
      <c r="N597" t="s">
        <v>5072</v>
      </c>
      <c r="O597" t="s">
        <v>5073</v>
      </c>
      <c r="P597" t="s">
        <v>5074</v>
      </c>
      <c r="Q597" t="s">
        <v>5075</v>
      </c>
      <c r="R597" t="s">
        <v>841</v>
      </c>
      <c r="S597">
        <v>2022</v>
      </c>
      <c r="T597" s="2">
        <v>44507</v>
      </c>
      <c r="U597" t="s">
        <v>5076</v>
      </c>
      <c r="W597" t="s">
        <v>5077</v>
      </c>
      <c r="Y597">
        <f t="shared" si="27"/>
        <v>44</v>
      </c>
      <c r="Z597">
        <f t="shared" si="28"/>
        <v>0</v>
      </c>
      <c r="AA597">
        <f t="shared" si="29"/>
        <v>0</v>
      </c>
    </row>
    <row r="598" spans="1:27" x14ac:dyDescent="0.3">
      <c r="A598" t="s">
        <v>1350</v>
      </c>
      <c r="B598" t="s">
        <v>4857</v>
      </c>
      <c r="C598">
        <v>34710339</v>
      </c>
      <c r="D598" t="s">
        <v>5078</v>
      </c>
      <c r="E598">
        <v>0</v>
      </c>
      <c r="F598" t="s">
        <v>5079</v>
      </c>
      <c r="G598">
        <v>13</v>
      </c>
      <c r="H598">
        <v>316</v>
      </c>
      <c r="I598">
        <v>73</v>
      </c>
      <c r="K598" t="s">
        <v>5080</v>
      </c>
      <c r="L598">
        <v>4</v>
      </c>
      <c r="M598" t="s">
        <v>5081</v>
      </c>
      <c r="O598" t="s">
        <v>5082</v>
      </c>
      <c r="P598" t="s">
        <v>5083</v>
      </c>
      <c r="Q598" t="s">
        <v>5084</v>
      </c>
      <c r="R598" t="s">
        <v>803</v>
      </c>
      <c r="S598">
        <v>2021</v>
      </c>
      <c r="T598" s="2">
        <v>44497</v>
      </c>
      <c r="W598" t="s">
        <v>5085</v>
      </c>
      <c r="Y598">
        <f t="shared" si="27"/>
        <v>52</v>
      </c>
      <c r="Z598">
        <f t="shared" si="28"/>
        <v>0</v>
      </c>
      <c r="AA598">
        <f t="shared" si="29"/>
        <v>1</v>
      </c>
    </row>
    <row r="599" spans="1:27" x14ac:dyDescent="0.3">
      <c r="A599" t="s">
        <v>1350</v>
      </c>
      <c r="B599" t="s">
        <v>4857</v>
      </c>
      <c r="C599">
        <v>34375388</v>
      </c>
      <c r="D599" t="s">
        <v>5086</v>
      </c>
      <c r="E599">
        <v>0</v>
      </c>
      <c r="F599" t="s">
        <v>5087</v>
      </c>
      <c r="G599">
        <v>914</v>
      </c>
      <c r="H599">
        <v>236</v>
      </c>
      <c r="I599" t="s">
        <v>4893</v>
      </c>
      <c r="J599" t="s">
        <v>4893</v>
      </c>
      <c r="K599" t="s">
        <v>3188</v>
      </c>
      <c r="L599">
        <v>3</v>
      </c>
      <c r="M599" t="s">
        <v>5088</v>
      </c>
      <c r="N599" t="s">
        <v>5089</v>
      </c>
      <c r="O599" t="s">
        <v>5090</v>
      </c>
      <c r="P599" t="s">
        <v>5091</v>
      </c>
      <c r="Q599" t="s">
        <v>5092</v>
      </c>
      <c r="R599" t="s">
        <v>5093</v>
      </c>
      <c r="S599">
        <v>2021</v>
      </c>
      <c r="T599" s="2">
        <v>44418</v>
      </c>
      <c r="U599" t="s">
        <v>5094</v>
      </c>
      <c r="W599" t="s">
        <v>5095</v>
      </c>
      <c r="Y599">
        <f t="shared" si="27"/>
        <v>2742</v>
      </c>
      <c r="Z599">
        <f t="shared" si="28"/>
        <v>28</v>
      </c>
      <c r="AA599">
        <f t="shared" si="29"/>
        <v>1</v>
      </c>
    </row>
    <row r="600" spans="1:27" x14ac:dyDescent="0.3">
      <c r="A600" t="s">
        <v>2654</v>
      </c>
      <c r="B600" t="s">
        <v>4857</v>
      </c>
      <c r="C600">
        <v>34979181</v>
      </c>
      <c r="D600" t="s">
        <v>5096</v>
      </c>
      <c r="E600">
        <v>0</v>
      </c>
      <c r="F600" t="s">
        <v>1405</v>
      </c>
      <c r="G600">
        <v>74</v>
      </c>
      <c r="H600">
        <v>1</v>
      </c>
      <c r="J600">
        <v>1</v>
      </c>
      <c r="K600" t="s">
        <v>835</v>
      </c>
      <c r="L600">
        <v>1</v>
      </c>
      <c r="M600" t="s">
        <v>5154</v>
      </c>
      <c r="N600" t="s">
        <v>5155</v>
      </c>
      <c r="O600" t="s">
        <v>5156</v>
      </c>
      <c r="P600" t="s">
        <v>5157</v>
      </c>
      <c r="Q600" t="s">
        <v>5158</v>
      </c>
      <c r="R600" t="s">
        <v>5159</v>
      </c>
      <c r="S600">
        <v>2021</v>
      </c>
      <c r="T600" s="2">
        <v>44564</v>
      </c>
      <c r="W600" t="s">
        <v>1832</v>
      </c>
      <c r="Y600">
        <f t="shared" si="27"/>
        <v>74</v>
      </c>
      <c r="Z600">
        <f t="shared" si="28"/>
        <v>0</v>
      </c>
      <c r="AA600">
        <f t="shared" si="29"/>
        <v>1</v>
      </c>
    </row>
    <row r="601" spans="1:27" x14ac:dyDescent="0.3">
      <c r="A601" t="s">
        <v>2654</v>
      </c>
      <c r="B601" t="s">
        <v>4857</v>
      </c>
      <c r="C601">
        <v>33910450</v>
      </c>
      <c r="D601" t="s">
        <v>5097</v>
      </c>
      <c r="E601">
        <v>0</v>
      </c>
      <c r="F601" t="s">
        <v>1405</v>
      </c>
      <c r="G601" t="s">
        <v>51</v>
      </c>
      <c r="H601">
        <v>2</v>
      </c>
      <c r="J601">
        <v>2</v>
      </c>
      <c r="K601" t="s">
        <v>5160</v>
      </c>
      <c r="L601">
        <v>1</v>
      </c>
      <c r="M601" t="s">
        <v>5161</v>
      </c>
      <c r="N601" t="s">
        <v>5162</v>
      </c>
      <c r="O601" t="s">
        <v>5163</v>
      </c>
      <c r="P601" t="s">
        <v>5164</v>
      </c>
      <c r="Q601" t="s">
        <v>5165</v>
      </c>
      <c r="R601" t="s">
        <v>5166</v>
      </c>
      <c r="S601">
        <v>2021</v>
      </c>
      <c r="T601" s="2">
        <v>44315</v>
      </c>
      <c r="U601" t="s">
        <v>5167</v>
      </c>
      <c r="W601" t="s">
        <v>1840</v>
      </c>
      <c r="Y601" t="str">
        <f t="shared" si="27"/>
        <v>N/A</v>
      </c>
      <c r="Z601" t="str">
        <f t="shared" si="28"/>
        <v/>
      </c>
      <c r="AA601" t="str">
        <f t="shared" si="29"/>
        <v/>
      </c>
    </row>
    <row r="602" spans="1:27" x14ac:dyDescent="0.3">
      <c r="A602" t="s">
        <v>2654</v>
      </c>
      <c r="B602" t="s">
        <v>4857</v>
      </c>
      <c r="C602">
        <v>34790193</v>
      </c>
      <c r="D602" t="s">
        <v>5098</v>
      </c>
      <c r="E602">
        <v>0</v>
      </c>
      <c r="F602" t="s">
        <v>5099</v>
      </c>
      <c r="G602">
        <v>108</v>
      </c>
      <c r="H602">
        <v>1</v>
      </c>
      <c r="J602">
        <v>1</v>
      </c>
      <c r="K602" t="s">
        <v>5168</v>
      </c>
      <c r="L602">
        <v>1</v>
      </c>
      <c r="M602" t="s">
        <v>1611</v>
      </c>
      <c r="N602" t="s">
        <v>5169</v>
      </c>
      <c r="O602" t="s">
        <v>5170</v>
      </c>
      <c r="P602" t="s">
        <v>5171</v>
      </c>
      <c r="Q602" t="s">
        <v>5172</v>
      </c>
      <c r="R602" t="s">
        <v>99</v>
      </c>
      <c r="S602">
        <v>2021</v>
      </c>
      <c r="T602" s="2">
        <v>44518</v>
      </c>
      <c r="U602" t="s">
        <v>5173</v>
      </c>
      <c r="W602" t="s">
        <v>1846</v>
      </c>
      <c r="Y602">
        <f t="shared" si="27"/>
        <v>108</v>
      </c>
      <c r="Z602">
        <f t="shared" si="28"/>
        <v>1</v>
      </c>
      <c r="AA602">
        <f t="shared" si="29"/>
        <v>0</v>
      </c>
    </row>
    <row r="603" spans="1:27" x14ac:dyDescent="0.3">
      <c r="A603" t="s">
        <v>2654</v>
      </c>
      <c r="B603" t="s">
        <v>4857</v>
      </c>
      <c r="C603">
        <v>34935096</v>
      </c>
      <c r="D603" t="s">
        <v>5100</v>
      </c>
      <c r="E603">
        <v>0</v>
      </c>
      <c r="F603" t="s">
        <v>5101</v>
      </c>
      <c r="G603">
        <v>181</v>
      </c>
      <c r="H603">
        <v>2</v>
      </c>
      <c r="J603">
        <v>2</v>
      </c>
      <c r="K603" t="s">
        <v>5174</v>
      </c>
      <c r="L603">
        <v>1</v>
      </c>
      <c r="M603" t="s">
        <v>1611</v>
      </c>
      <c r="N603" t="s">
        <v>5175</v>
      </c>
      <c r="O603" t="s">
        <v>5176</v>
      </c>
      <c r="P603" t="s">
        <v>5177</v>
      </c>
      <c r="Q603" t="s">
        <v>5178</v>
      </c>
      <c r="R603" t="s">
        <v>5179</v>
      </c>
      <c r="S603">
        <v>2021</v>
      </c>
      <c r="T603" s="2">
        <v>44552</v>
      </c>
      <c r="W603" t="s">
        <v>1855</v>
      </c>
      <c r="Y603">
        <f t="shared" si="27"/>
        <v>181</v>
      </c>
      <c r="Z603">
        <f t="shared" si="28"/>
        <v>1</v>
      </c>
      <c r="AA603">
        <f t="shared" si="29"/>
        <v>1</v>
      </c>
    </row>
    <row r="604" spans="1:27" x14ac:dyDescent="0.3">
      <c r="A604" t="s">
        <v>2654</v>
      </c>
      <c r="B604" t="s">
        <v>4857</v>
      </c>
      <c r="C604">
        <v>34867542</v>
      </c>
      <c r="D604" t="s">
        <v>5102</v>
      </c>
      <c r="E604">
        <v>0</v>
      </c>
      <c r="F604" t="s">
        <v>5103</v>
      </c>
      <c r="G604">
        <v>100</v>
      </c>
      <c r="H604">
        <v>1</v>
      </c>
      <c r="J604">
        <v>1</v>
      </c>
      <c r="K604" t="s">
        <v>835</v>
      </c>
      <c r="L604">
        <v>1</v>
      </c>
      <c r="M604" t="s">
        <v>5154</v>
      </c>
      <c r="N604" t="s">
        <v>5180</v>
      </c>
      <c r="O604" t="s">
        <v>5181</v>
      </c>
      <c r="P604" t="s">
        <v>5182</v>
      </c>
      <c r="Q604" t="s">
        <v>5183</v>
      </c>
      <c r="R604" t="s">
        <v>5184</v>
      </c>
      <c r="S604">
        <v>2021</v>
      </c>
      <c r="T604" s="2">
        <v>44536</v>
      </c>
      <c r="U604" t="s">
        <v>5185</v>
      </c>
      <c r="W604" t="s">
        <v>1872</v>
      </c>
      <c r="Y604">
        <f t="shared" si="27"/>
        <v>100</v>
      </c>
      <c r="Z604">
        <f t="shared" si="28"/>
        <v>1</v>
      </c>
      <c r="AA604">
        <f t="shared" si="29"/>
        <v>0</v>
      </c>
    </row>
    <row r="605" spans="1:27" x14ac:dyDescent="0.3">
      <c r="A605" t="s">
        <v>2654</v>
      </c>
      <c r="B605" t="s">
        <v>4857</v>
      </c>
      <c r="C605" s="16">
        <v>34806619</v>
      </c>
      <c r="D605" s="16" t="s">
        <v>5104</v>
      </c>
      <c r="E605" s="16">
        <v>0</v>
      </c>
      <c r="F605" s="16" t="s">
        <v>143</v>
      </c>
      <c r="G605" s="16">
        <v>119</v>
      </c>
      <c r="H605" s="16">
        <v>1</v>
      </c>
      <c r="J605" s="16">
        <v>1</v>
      </c>
      <c r="K605" s="16" t="s">
        <v>835</v>
      </c>
      <c r="L605" s="16">
        <v>1</v>
      </c>
      <c r="M605" s="16" t="s">
        <v>5154</v>
      </c>
      <c r="N605" s="16" t="s">
        <v>5186</v>
      </c>
      <c r="O605" s="16" t="s">
        <v>5187</v>
      </c>
      <c r="P605" s="16" t="s">
        <v>5188</v>
      </c>
      <c r="Q605" s="16" t="s">
        <v>5189</v>
      </c>
      <c r="R605" s="16" t="s">
        <v>5190</v>
      </c>
      <c r="S605" s="16">
        <v>2021</v>
      </c>
      <c r="T605" s="18">
        <v>44522</v>
      </c>
      <c r="U605" s="16"/>
      <c r="V605" s="16"/>
      <c r="W605" s="16" t="s">
        <v>1881</v>
      </c>
      <c r="Y605">
        <f t="shared" si="27"/>
        <v>119</v>
      </c>
      <c r="Z605">
        <f t="shared" si="28"/>
        <v>1</v>
      </c>
      <c r="AA605">
        <f t="shared" si="29"/>
        <v>0</v>
      </c>
    </row>
    <row r="606" spans="1:27" x14ac:dyDescent="0.3">
      <c r="A606" t="s">
        <v>2654</v>
      </c>
      <c r="B606" t="s">
        <v>4857</v>
      </c>
      <c r="C606">
        <v>34924380</v>
      </c>
      <c r="D606" t="s">
        <v>5105</v>
      </c>
      <c r="E606">
        <v>0</v>
      </c>
      <c r="F606" t="s">
        <v>4322</v>
      </c>
      <c r="G606">
        <v>204</v>
      </c>
      <c r="H606">
        <v>4</v>
      </c>
      <c r="J606" t="s">
        <v>51</v>
      </c>
      <c r="K606" t="s">
        <v>5191</v>
      </c>
      <c r="L606">
        <v>2</v>
      </c>
      <c r="M606" t="s">
        <v>4929</v>
      </c>
      <c r="N606" t="s">
        <v>5192</v>
      </c>
      <c r="O606" t="s">
        <v>5193</v>
      </c>
      <c r="P606" t="s">
        <v>5194</v>
      </c>
      <c r="Q606" t="s">
        <v>5195</v>
      </c>
      <c r="R606" t="s">
        <v>1953</v>
      </c>
      <c r="S606">
        <v>2021</v>
      </c>
      <c r="T606" s="2">
        <v>44550</v>
      </c>
      <c r="W606" t="s">
        <v>1890</v>
      </c>
      <c r="Y606">
        <f t="shared" si="27"/>
        <v>408</v>
      </c>
      <c r="Z606">
        <f t="shared" si="28"/>
        <v>4</v>
      </c>
      <c r="AA606">
        <f t="shared" si="29"/>
        <v>0</v>
      </c>
    </row>
    <row r="607" spans="1:27" x14ac:dyDescent="0.3">
      <c r="A607" t="s">
        <v>2654</v>
      </c>
      <c r="B607" t="s">
        <v>4857</v>
      </c>
      <c r="C607">
        <v>33040187</v>
      </c>
      <c r="D607" t="s">
        <v>5106</v>
      </c>
      <c r="E607">
        <v>0</v>
      </c>
      <c r="F607" t="s">
        <v>5107</v>
      </c>
      <c r="G607">
        <v>72</v>
      </c>
      <c r="H607">
        <v>1</v>
      </c>
      <c r="J607">
        <v>1</v>
      </c>
      <c r="K607" t="s">
        <v>835</v>
      </c>
      <c r="L607">
        <v>1</v>
      </c>
      <c r="M607" t="s">
        <v>5196</v>
      </c>
      <c r="N607" t="s">
        <v>5197</v>
      </c>
      <c r="O607" t="s">
        <v>5198</v>
      </c>
      <c r="P607" t="s">
        <v>5199</v>
      </c>
      <c r="Q607" t="s">
        <v>5200</v>
      </c>
      <c r="R607" t="s">
        <v>5201</v>
      </c>
      <c r="S607">
        <v>2021</v>
      </c>
      <c r="T607" s="2">
        <v>44115</v>
      </c>
      <c r="U607" t="s">
        <v>5202</v>
      </c>
      <c r="W607" t="s">
        <v>1899</v>
      </c>
      <c r="Y607">
        <f t="shared" si="27"/>
        <v>72</v>
      </c>
      <c r="Z607">
        <f t="shared" si="28"/>
        <v>0</v>
      </c>
      <c r="AA607">
        <f t="shared" si="29"/>
        <v>1</v>
      </c>
    </row>
    <row r="608" spans="1:27" x14ac:dyDescent="0.3">
      <c r="A608" t="s">
        <v>2654</v>
      </c>
      <c r="B608" t="s">
        <v>4857</v>
      </c>
      <c r="C608">
        <v>34851050</v>
      </c>
      <c r="D608" t="s">
        <v>5108</v>
      </c>
      <c r="E608">
        <v>0</v>
      </c>
      <c r="F608" t="s">
        <v>143</v>
      </c>
      <c r="G608">
        <v>74</v>
      </c>
      <c r="H608">
        <v>1</v>
      </c>
      <c r="J608">
        <v>0</v>
      </c>
      <c r="K608" t="s">
        <v>835</v>
      </c>
      <c r="L608">
        <v>1</v>
      </c>
      <c r="M608" t="s">
        <v>5203</v>
      </c>
      <c r="N608" t="s">
        <v>5204</v>
      </c>
      <c r="O608" t="s">
        <v>5205</v>
      </c>
      <c r="P608" t="s">
        <v>5206</v>
      </c>
      <c r="Q608" t="s">
        <v>5207</v>
      </c>
      <c r="R608" t="s">
        <v>2491</v>
      </c>
      <c r="S608">
        <v>2021</v>
      </c>
      <c r="T608" s="2">
        <v>44531</v>
      </c>
      <c r="W608" t="s">
        <v>5208</v>
      </c>
      <c r="Y608">
        <f t="shared" si="27"/>
        <v>74</v>
      </c>
      <c r="Z608">
        <f t="shared" si="28"/>
        <v>0</v>
      </c>
      <c r="AA608">
        <f t="shared" si="29"/>
        <v>1</v>
      </c>
    </row>
    <row r="609" spans="1:27" x14ac:dyDescent="0.3">
      <c r="A609" t="s">
        <v>2654</v>
      </c>
      <c r="B609" t="s">
        <v>4857</v>
      </c>
      <c r="C609">
        <v>34786556</v>
      </c>
      <c r="D609" t="s">
        <v>5109</v>
      </c>
      <c r="E609">
        <v>0</v>
      </c>
      <c r="F609" t="s">
        <v>4326</v>
      </c>
      <c r="G609">
        <v>783</v>
      </c>
      <c r="H609">
        <v>1</v>
      </c>
      <c r="J609">
        <v>1</v>
      </c>
      <c r="K609" t="s">
        <v>835</v>
      </c>
      <c r="L609">
        <v>1</v>
      </c>
      <c r="M609" t="s">
        <v>5203</v>
      </c>
      <c r="N609" t="s">
        <v>5209</v>
      </c>
      <c r="O609" t="s">
        <v>5210</v>
      </c>
      <c r="P609" t="s">
        <v>5211</v>
      </c>
      <c r="Q609" t="s">
        <v>5212</v>
      </c>
      <c r="R609" t="s">
        <v>5213</v>
      </c>
      <c r="S609">
        <v>2021</v>
      </c>
      <c r="T609" s="2">
        <v>44517</v>
      </c>
      <c r="U609" t="s">
        <v>5214</v>
      </c>
      <c r="W609" t="s">
        <v>1907</v>
      </c>
      <c r="Y609">
        <f t="shared" si="27"/>
        <v>783</v>
      </c>
      <c r="Z609">
        <f t="shared" si="28"/>
        <v>8</v>
      </c>
      <c r="AA609">
        <f t="shared" si="29"/>
        <v>0</v>
      </c>
    </row>
    <row r="610" spans="1:27" x14ac:dyDescent="0.3">
      <c r="A610" t="s">
        <v>2654</v>
      </c>
      <c r="B610" t="s">
        <v>4857</v>
      </c>
      <c r="C610">
        <v>34719813</v>
      </c>
      <c r="D610" t="s">
        <v>5110</v>
      </c>
      <c r="E610">
        <v>0</v>
      </c>
      <c r="F610" t="s">
        <v>143</v>
      </c>
      <c r="G610">
        <v>302</v>
      </c>
      <c r="H610">
        <v>1</v>
      </c>
      <c r="J610">
        <v>1</v>
      </c>
      <c r="K610" t="s">
        <v>835</v>
      </c>
      <c r="L610">
        <v>1</v>
      </c>
      <c r="M610" t="s">
        <v>5203</v>
      </c>
      <c r="N610" t="s">
        <v>5215</v>
      </c>
      <c r="O610" t="s">
        <v>5216</v>
      </c>
      <c r="P610" t="s">
        <v>5217</v>
      </c>
      <c r="Q610" t="s">
        <v>5218</v>
      </c>
      <c r="R610" t="s">
        <v>681</v>
      </c>
      <c r="S610">
        <v>2021</v>
      </c>
      <c r="T610" s="2">
        <v>44501</v>
      </c>
      <c r="W610" t="s">
        <v>1915</v>
      </c>
      <c r="Y610">
        <f t="shared" si="27"/>
        <v>302</v>
      </c>
      <c r="Z610">
        <f t="shared" si="28"/>
        <v>3</v>
      </c>
      <c r="AA610">
        <f t="shared" si="29"/>
        <v>0</v>
      </c>
    </row>
    <row r="611" spans="1:27" x14ac:dyDescent="0.3">
      <c r="A611" t="s">
        <v>2654</v>
      </c>
      <c r="B611" t="s">
        <v>4857</v>
      </c>
      <c r="C611" s="16">
        <v>34874540</v>
      </c>
      <c r="D611" s="16" t="s">
        <v>5111</v>
      </c>
      <c r="E611" s="16">
        <v>0</v>
      </c>
      <c r="F611" s="16" t="s">
        <v>5112</v>
      </c>
      <c r="G611" s="16">
        <v>422</v>
      </c>
      <c r="H611" s="16">
        <v>1</v>
      </c>
      <c r="J611" s="16">
        <v>0</v>
      </c>
      <c r="K611" s="16" t="s">
        <v>835</v>
      </c>
      <c r="L611" s="16">
        <v>1</v>
      </c>
      <c r="M611" s="16" t="s">
        <v>5219</v>
      </c>
      <c r="N611" s="16" t="s">
        <v>5220</v>
      </c>
      <c r="O611" s="16" t="s">
        <v>5221</v>
      </c>
      <c r="P611" s="16" t="s">
        <v>5222</v>
      </c>
      <c r="Q611" s="16" t="s">
        <v>5223</v>
      </c>
      <c r="R611" s="16" t="s">
        <v>5224</v>
      </c>
      <c r="S611" s="16">
        <v>2021</v>
      </c>
      <c r="T611" s="18">
        <v>44537</v>
      </c>
      <c r="U611" s="16"/>
      <c r="V611" s="16"/>
      <c r="W611" s="16" t="s">
        <v>1921</v>
      </c>
      <c r="Y611">
        <f t="shared" si="27"/>
        <v>422</v>
      </c>
      <c r="Z611">
        <f t="shared" si="28"/>
        <v>4</v>
      </c>
      <c r="AA611">
        <f t="shared" si="29"/>
        <v>0</v>
      </c>
    </row>
    <row r="612" spans="1:27" x14ac:dyDescent="0.3">
      <c r="A612" t="s">
        <v>2654</v>
      </c>
      <c r="B612" t="s">
        <v>4857</v>
      </c>
      <c r="C612" s="16">
        <v>34906229</v>
      </c>
      <c r="D612" s="16" t="s">
        <v>5113</v>
      </c>
      <c r="E612" s="16">
        <v>0</v>
      </c>
      <c r="F612" s="16" t="s">
        <v>143</v>
      </c>
      <c r="G612" s="16">
        <v>995</v>
      </c>
      <c r="H612" s="16">
        <v>2</v>
      </c>
      <c r="J612" s="16">
        <v>1</v>
      </c>
      <c r="K612" s="16" t="s">
        <v>5225</v>
      </c>
      <c r="L612" s="16">
        <v>1</v>
      </c>
      <c r="M612" s="16" t="s">
        <v>5226</v>
      </c>
      <c r="N612" s="16" t="s">
        <v>5227</v>
      </c>
      <c r="O612" s="16" t="s">
        <v>5228</v>
      </c>
      <c r="P612" s="16" t="s">
        <v>5229</v>
      </c>
      <c r="Q612" s="16" t="s">
        <v>5230</v>
      </c>
      <c r="R612" s="16" t="s">
        <v>454</v>
      </c>
      <c r="S612" s="16">
        <v>2021</v>
      </c>
      <c r="T612" s="18">
        <v>44545</v>
      </c>
      <c r="U612" s="16" t="s">
        <v>5231</v>
      </c>
      <c r="V612" s="16"/>
      <c r="W612" s="16" t="s">
        <v>1930</v>
      </c>
      <c r="Y612">
        <f t="shared" si="27"/>
        <v>995</v>
      </c>
      <c r="Z612">
        <f t="shared" si="28"/>
        <v>10</v>
      </c>
      <c r="AA612">
        <f t="shared" si="29"/>
        <v>0</v>
      </c>
    </row>
    <row r="613" spans="1:27" x14ac:dyDescent="0.3">
      <c r="A613" t="s">
        <v>2654</v>
      </c>
      <c r="B613" t="s">
        <v>4857</v>
      </c>
      <c r="C613">
        <v>34645907</v>
      </c>
      <c r="D613" t="s">
        <v>5114</v>
      </c>
      <c r="E613">
        <v>0</v>
      </c>
      <c r="F613" t="s">
        <v>5099</v>
      </c>
      <c r="G613" t="s">
        <v>51</v>
      </c>
      <c r="H613">
        <v>1</v>
      </c>
      <c r="J613" t="s">
        <v>51</v>
      </c>
      <c r="K613" t="s">
        <v>5232</v>
      </c>
      <c r="L613">
        <v>2</v>
      </c>
      <c r="M613" t="s">
        <v>5233</v>
      </c>
      <c r="N613" t="s">
        <v>5234</v>
      </c>
      <c r="O613" t="s">
        <v>5235</v>
      </c>
      <c r="P613" t="s">
        <v>5236</v>
      </c>
      <c r="Q613" t="s">
        <v>5237</v>
      </c>
      <c r="R613" t="s">
        <v>246</v>
      </c>
      <c r="S613">
        <v>2021</v>
      </c>
      <c r="T613" s="2">
        <v>44483</v>
      </c>
      <c r="U613" t="s">
        <v>5238</v>
      </c>
      <c r="W613" t="s">
        <v>1939</v>
      </c>
      <c r="Y613" t="str">
        <f t="shared" si="27"/>
        <v>N/A</v>
      </c>
      <c r="Z613" t="str">
        <f t="shared" si="28"/>
        <v/>
      </c>
      <c r="AA613" t="str">
        <f t="shared" si="29"/>
        <v/>
      </c>
    </row>
    <row r="614" spans="1:27" x14ac:dyDescent="0.3">
      <c r="A614" t="s">
        <v>2654</v>
      </c>
      <c r="B614" t="s">
        <v>4857</v>
      </c>
      <c r="C614">
        <v>34992573</v>
      </c>
      <c r="D614" t="s">
        <v>5115</v>
      </c>
      <c r="E614">
        <v>0</v>
      </c>
      <c r="F614" t="s">
        <v>143</v>
      </c>
      <c r="G614">
        <v>28</v>
      </c>
      <c r="H614">
        <v>1</v>
      </c>
      <c r="J614">
        <v>1</v>
      </c>
      <c r="K614" t="s">
        <v>835</v>
      </c>
      <c r="L614">
        <v>1</v>
      </c>
      <c r="M614" t="s">
        <v>5239</v>
      </c>
      <c r="N614" t="s">
        <v>5240</v>
      </c>
      <c r="O614" t="s">
        <v>5241</v>
      </c>
      <c r="P614" t="s">
        <v>5242</v>
      </c>
      <c r="Q614" t="s">
        <v>5243</v>
      </c>
      <c r="R614" t="s">
        <v>1970</v>
      </c>
      <c r="S614">
        <v>2021</v>
      </c>
      <c r="T614" s="2">
        <v>44568</v>
      </c>
      <c r="U614" t="s">
        <v>5244</v>
      </c>
      <c r="W614" t="s">
        <v>1956</v>
      </c>
      <c r="Y614">
        <f t="shared" si="27"/>
        <v>28</v>
      </c>
      <c r="Z614">
        <f t="shared" si="28"/>
        <v>0</v>
      </c>
      <c r="AA614">
        <f t="shared" si="29"/>
        <v>0</v>
      </c>
    </row>
    <row r="615" spans="1:27" x14ac:dyDescent="0.3">
      <c r="A615" t="s">
        <v>2654</v>
      </c>
      <c r="B615" t="s">
        <v>4857</v>
      </c>
      <c r="C615">
        <v>34720579</v>
      </c>
      <c r="D615" t="s">
        <v>5116</v>
      </c>
      <c r="E615">
        <v>0</v>
      </c>
      <c r="F615" t="s">
        <v>1405</v>
      </c>
      <c r="G615">
        <v>43</v>
      </c>
      <c r="H615">
        <v>1</v>
      </c>
      <c r="K615" t="s">
        <v>835</v>
      </c>
      <c r="L615">
        <v>1</v>
      </c>
      <c r="M615" t="s">
        <v>5245</v>
      </c>
      <c r="N615" t="s">
        <v>5246</v>
      </c>
      <c r="O615" t="s">
        <v>5247</v>
      </c>
      <c r="P615" t="s">
        <v>5248</v>
      </c>
      <c r="Q615" t="s">
        <v>5249</v>
      </c>
      <c r="R615" t="s">
        <v>5250</v>
      </c>
      <c r="S615">
        <v>2021</v>
      </c>
      <c r="T615" s="2">
        <v>44501</v>
      </c>
      <c r="U615" t="s">
        <v>5251</v>
      </c>
      <c r="W615" t="s">
        <v>1964</v>
      </c>
      <c r="Y615">
        <f t="shared" si="27"/>
        <v>43</v>
      </c>
      <c r="Z615">
        <f t="shared" si="28"/>
        <v>0</v>
      </c>
      <c r="AA615">
        <f t="shared" si="29"/>
        <v>0</v>
      </c>
    </row>
    <row r="616" spans="1:27" x14ac:dyDescent="0.3">
      <c r="A616" t="s">
        <v>2654</v>
      </c>
      <c r="B616" t="s">
        <v>4857</v>
      </c>
      <c r="C616">
        <v>34781223</v>
      </c>
      <c r="D616" t="s">
        <v>5117</v>
      </c>
      <c r="E616">
        <v>0</v>
      </c>
      <c r="F616" t="s">
        <v>5118</v>
      </c>
      <c r="G616">
        <v>110</v>
      </c>
      <c r="H616">
        <v>3</v>
      </c>
      <c r="J616" t="s">
        <v>51</v>
      </c>
      <c r="K616" t="s">
        <v>5252</v>
      </c>
      <c r="L616">
        <v>2</v>
      </c>
      <c r="M616" t="s">
        <v>4929</v>
      </c>
      <c r="N616" t="s">
        <v>5253</v>
      </c>
      <c r="O616" t="s">
        <v>5254</v>
      </c>
      <c r="P616" t="s">
        <v>5255</v>
      </c>
      <c r="Q616" t="s">
        <v>5256</v>
      </c>
      <c r="R616" t="s">
        <v>5257</v>
      </c>
      <c r="S616">
        <v>2022</v>
      </c>
      <c r="T616" s="2">
        <v>44515</v>
      </c>
      <c r="W616" t="s">
        <v>5258</v>
      </c>
      <c r="Y616">
        <f t="shared" si="27"/>
        <v>220</v>
      </c>
      <c r="Z616">
        <f t="shared" si="28"/>
        <v>2</v>
      </c>
      <c r="AA616">
        <f t="shared" si="29"/>
        <v>0</v>
      </c>
    </row>
    <row r="617" spans="1:27" x14ac:dyDescent="0.3">
      <c r="A617" t="s">
        <v>2654</v>
      </c>
      <c r="B617" t="s">
        <v>4857</v>
      </c>
      <c r="C617">
        <v>34789009</v>
      </c>
      <c r="D617" t="s">
        <v>5119</v>
      </c>
      <c r="E617">
        <v>0</v>
      </c>
      <c r="F617" t="s">
        <v>5120</v>
      </c>
      <c r="G617" t="s">
        <v>51</v>
      </c>
      <c r="H617">
        <v>1</v>
      </c>
      <c r="J617" t="s">
        <v>51</v>
      </c>
      <c r="K617" t="s">
        <v>5259</v>
      </c>
      <c r="L617">
        <v>1</v>
      </c>
      <c r="M617" t="s">
        <v>5260</v>
      </c>
      <c r="N617" t="s">
        <v>5261</v>
      </c>
      <c r="O617" t="s">
        <v>5262</v>
      </c>
      <c r="P617" t="s">
        <v>5263</v>
      </c>
      <c r="Q617" t="s">
        <v>5264</v>
      </c>
      <c r="R617" t="s">
        <v>3976</v>
      </c>
      <c r="S617">
        <v>2022</v>
      </c>
      <c r="T617" s="2">
        <v>44518</v>
      </c>
      <c r="W617" t="s">
        <v>1973</v>
      </c>
      <c r="Y617" t="str">
        <f t="shared" si="27"/>
        <v>N/A</v>
      </c>
      <c r="Z617" t="str">
        <f t="shared" si="28"/>
        <v/>
      </c>
      <c r="AA617" t="str">
        <f t="shared" si="29"/>
        <v/>
      </c>
    </row>
    <row r="618" spans="1:27" x14ac:dyDescent="0.3">
      <c r="A618" t="s">
        <v>2654</v>
      </c>
      <c r="B618" t="s">
        <v>4857</v>
      </c>
      <c r="C618">
        <v>34599664</v>
      </c>
      <c r="D618" t="s">
        <v>5121</v>
      </c>
      <c r="E618">
        <v>0</v>
      </c>
      <c r="F618" t="s">
        <v>5122</v>
      </c>
      <c r="G618">
        <v>120</v>
      </c>
      <c r="H618">
        <v>1</v>
      </c>
      <c r="J618">
        <v>0</v>
      </c>
      <c r="K618" t="s">
        <v>835</v>
      </c>
      <c r="L618">
        <v>1</v>
      </c>
      <c r="M618" t="s">
        <v>5203</v>
      </c>
      <c r="N618" t="s">
        <v>5265</v>
      </c>
      <c r="O618" t="s">
        <v>5266</v>
      </c>
      <c r="P618" t="s">
        <v>5267</v>
      </c>
      <c r="Q618" t="s">
        <v>5268</v>
      </c>
      <c r="R618" t="s">
        <v>5269</v>
      </c>
      <c r="S618">
        <v>2022</v>
      </c>
      <c r="T618" s="2">
        <v>44471</v>
      </c>
      <c r="W618" t="s">
        <v>5270</v>
      </c>
      <c r="Y618">
        <f t="shared" si="27"/>
        <v>120</v>
      </c>
      <c r="Z618">
        <f t="shared" si="28"/>
        <v>1</v>
      </c>
      <c r="AA618">
        <f t="shared" si="29"/>
        <v>0</v>
      </c>
    </row>
    <row r="619" spans="1:27" x14ac:dyDescent="0.3">
      <c r="A619" t="s">
        <v>2654</v>
      </c>
      <c r="B619" t="s">
        <v>4857</v>
      </c>
      <c r="C619">
        <v>33576769</v>
      </c>
      <c r="D619" t="s">
        <v>5123</v>
      </c>
      <c r="E619">
        <v>0</v>
      </c>
      <c r="F619" t="s">
        <v>2823</v>
      </c>
      <c r="G619">
        <v>10</v>
      </c>
      <c r="H619">
        <v>1</v>
      </c>
      <c r="J619" t="s">
        <v>4893</v>
      </c>
      <c r="K619" t="s">
        <v>5271</v>
      </c>
      <c r="L619">
        <v>1</v>
      </c>
      <c r="M619" t="s">
        <v>4893</v>
      </c>
      <c r="O619" t="s">
        <v>5272</v>
      </c>
      <c r="P619" t="s">
        <v>5273</v>
      </c>
      <c r="Q619" t="s">
        <v>5274</v>
      </c>
      <c r="R619" t="s">
        <v>418</v>
      </c>
      <c r="S619">
        <v>2021</v>
      </c>
      <c r="T619" s="2">
        <v>44239</v>
      </c>
      <c r="W619" t="s">
        <v>1980</v>
      </c>
      <c r="Y619">
        <f t="shared" si="27"/>
        <v>10</v>
      </c>
      <c r="Z619">
        <f t="shared" si="28"/>
        <v>0</v>
      </c>
      <c r="AA619">
        <f t="shared" si="29"/>
        <v>0</v>
      </c>
    </row>
    <row r="620" spans="1:27" x14ac:dyDescent="0.3">
      <c r="A620" t="s">
        <v>2654</v>
      </c>
      <c r="B620" t="s">
        <v>4857</v>
      </c>
      <c r="C620" s="16">
        <v>34908400</v>
      </c>
      <c r="D620" s="16" t="s">
        <v>5124</v>
      </c>
      <c r="E620" s="16">
        <v>0</v>
      </c>
      <c r="F620" s="16" t="s">
        <v>5125</v>
      </c>
      <c r="G620" s="16" t="s">
        <v>51</v>
      </c>
      <c r="H620" s="16">
        <v>1</v>
      </c>
      <c r="J620" s="16" t="s">
        <v>51</v>
      </c>
      <c r="K620" s="16" t="s">
        <v>1771</v>
      </c>
      <c r="L620" s="16">
        <v>1</v>
      </c>
      <c r="M620" s="16" t="s">
        <v>4893</v>
      </c>
      <c r="N620" s="16" t="s">
        <v>5275</v>
      </c>
      <c r="O620" s="16" t="s">
        <v>5276</v>
      </c>
      <c r="P620" s="16" t="s">
        <v>5277</v>
      </c>
      <c r="Q620" s="16" t="s">
        <v>5278</v>
      </c>
      <c r="R620" s="16" t="s">
        <v>5279</v>
      </c>
      <c r="S620" s="16">
        <v>2021</v>
      </c>
      <c r="T620" s="18">
        <v>44545</v>
      </c>
      <c r="U620" s="16"/>
      <c r="V620" s="16"/>
      <c r="W620" s="16" t="s">
        <v>1987</v>
      </c>
      <c r="Y620" t="str">
        <f t="shared" si="27"/>
        <v>N/A</v>
      </c>
      <c r="Z620" t="str">
        <f t="shared" si="28"/>
        <v/>
      </c>
      <c r="AA620" t="str">
        <f t="shared" si="29"/>
        <v/>
      </c>
    </row>
    <row r="621" spans="1:27" x14ac:dyDescent="0.3">
      <c r="A621" t="s">
        <v>2654</v>
      </c>
      <c r="B621" t="s">
        <v>4857</v>
      </c>
      <c r="C621">
        <v>34278578</v>
      </c>
      <c r="D621" t="s">
        <v>5126</v>
      </c>
      <c r="G621">
        <v>284</v>
      </c>
      <c r="L621">
        <v>2</v>
      </c>
      <c r="O621" t="s">
        <v>5280</v>
      </c>
      <c r="P621" t="s">
        <v>5281</v>
      </c>
      <c r="Q621" t="s">
        <v>5282</v>
      </c>
      <c r="R621" t="s">
        <v>1768</v>
      </c>
      <c r="S621">
        <v>2021</v>
      </c>
      <c r="T621" s="2">
        <v>44396</v>
      </c>
      <c r="W621" t="s">
        <v>5283</v>
      </c>
      <c r="Y621">
        <f t="shared" si="27"/>
        <v>568</v>
      </c>
      <c r="Z621">
        <f t="shared" si="28"/>
        <v>5</v>
      </c>
      <c r="AA621">
        <f t="shared" si="29"/>
        <v>1</v>
      </c>
    </row>
    <row r="622" spans="1:27" x14ac:dyDescent="0.3">
      <c r="A622" t="s">
        <v>2654</v>
      </c>
      <c r="B622" t="s">
        <v>4857</v>
      </c>
      <c r="C622">
        <v>33743046</v>
      </c>
      <c r="D622" t="s">
        <v>5127</v>
      </c>
      <c r="G622">
        <v>141</v>
      </c>
      <c r="L622">
        <v>1</v>
      </c>
      <c r="O622" t="s">
        <v>5284</v>
      </c>
      <c r="P622" t="s">
        <v>5285</v>
      </c>
      <c r="Q622" t="s">
        <v>5286</v>
      </c>
      <c r="R622" t="s">
        <v>1819</v>
      </c>
      <c r="S622">
        <v>2021</v>
      </c>
      <c r="T622" s="2">
        <v>44275</v>
      </c>
      <c r="U622" t="s">
        <v>5287</v>
      </c>
      <c r="W622" t="s">
        <v>1645</v>
      </c>
      <c r="Y622">
        <f t="shared" si="27"/>
        <v>141</v>
      </c>
      <c r="Z622">
        <f t="shared" si="28"/>
        <v>1</v>
      </c>
      <c r="AA622">
        <f t="shared" si="29"/>
        <v>0</v>
      </c>
    </row>
    <row r="623" spans="1:27" x14ac:dyDescent="0.3">
      <c r="A623" t="s">
        <v>2654</v>
      </c>
      <c r="B623" t="s">
        <v>4857</v>
      </c>
      <c r="C623">
        <v>34654436</v>
      </c>
      <c r="D623" t="s">
        <v>5128</v>
      </c>
      <c r="E623">
        <v>0</v>
      </c>
      <c r="F623" t="s">
        <v>143</v>
      </c>
      <c r="G623">
        <v>22</v>
      </c>
      <c r="H623">
        <v>1</v>
      </c>
      <c r="J623">
        <v>1</v>
      </c>
      <c r="K623" t="s">
        <v>835</v>
      </c>
      <c r="L623">
        <v>1</v>
      </c>
      <c r="M623" t="s">
        <v>5154</v>
      </c>
      <c r="N623" t="s">
        <v>5288</v>
      </c>
      <c r="O623" t="s">
        <v>5289</v>
      </c>
      <c r="P623" t="s">
        <v>5290</v>
      </c>
      <c r="Q623" t="s">
        <v>5291</v>
      </c>
      <c r="R623" t="s">
        <v>398</v>
      </c>
      <c r="S623">
        <v>2021</v>
      </c>
      <c r="T623" s="2">
        <v>44485</v>
      </c>
      <c r="U623" t="s">
        <v>5292</v>
      </c>
      <c r="W623" t="s">
        <v>1995</v>
      </c>
      <c r="Y623">
        <f t="shared" si="27"/>
        <v>22</v>
      </c>
      <c r="Z623">
        <f t="shared" si="28"/>
        <v>0</v>
      </c>
      <c r="AA623">
        <f t="shared" si="29"/>
        <v>0</v>
      </c>
    </row>
    <row r="624" spans="1:27" x14ac:dyDescent="0.3">
      <c r="A624" t="s">
        <v>2654</v>
      </c>
      <c r="B624" t="s">
        <v>4857</v>
      </c>
      <c r="C624">
        <v>34744694</v>
      </c>
      <c r="D624" t="s">
        <v>5129</v>
      </c>
      <c r="E624">
        <v>0</v>
      </c>
      <c r="F624" t="s">
        <v>4326</v>
      </c>
      <c r="G624">
        <v>710</v>
      </c>
      <c r="H624">
        <v>1</v>
      </c>
      <c r="J624">
        <v>1</v>
      </c>
      <c r="K624" t="s">
        <v>835</v>
      </c>
      <c r="L624">
        <v>1</v>
      </c>
      <c r="M624" t="s">
        <v>5293</v>
      </c>
      <c r="N624" t="s">
        <v>5294</v>
      </c>
      <c r="O624" t="s">
        <v>5295</v>
      </c>
      <c r="P624" t="s">
        <v>5296</v>
      </c>
      <c r="Q624" t="s">
        <v>5297</v>
      </c>
      <c r="R624" t="s">
        <v>1829</v>
      </c>
      <c r="S624">
        <v>2021</v>
      </c>
      <c r="T624" s="2">
        <v>44508</v>
      </c>
      <c r="U624" t="s">
        <v>5298</v>
      </c>
      <c r="W624" t="s">
        <v>5299</v>
      </c>
      <c r="Y624">
        <f t="shared" si="27"/>
        <v>710</v>
      </c>
      <c r="Z624">
        <f t="shared" si="28"/>
        <v>7</v>
      </c>
      <c r="AA624">
        <f t="shared" si="29"/>
        <v>0</v>
      </c>
    </row>
    <row r="625" spans="1:27" x14ac:dyDescent="0.3">
      <c r="A625" t="s">
        <v>2654</v>
      </c>
      <c r="B625" t="s">
        <v>4857</v>
      </c>
      <c r="C625">
        <v>34944022</v>
      </c>
      <c r="D625" t="s">
        <v>5130</v>
      </c>
      <c r="E625">
        <v>0</v>
      </c>
      <c r="F625" t="s">
        <v>1405</v>
      </c>
      <c r="G625">
        <v>235</v>
      </c>
      <c r="H625">
        <v>2</v>
      </c>
      <c r="J625">
        <v>1</v>
      </c>
      <c r="K625" t="s">
        <v>5300</v>
      </c>
      <c r="L625">
        <v>1</v>
      </c>
      <c r="M625" t="s">
        <v>5301</v>
      </c>
      <c r="N625" t="s">
        <v>5302</v>
      </c>
      <c r="O625" t="s">
        <v>5303</v>
      </c>
      <c r="P625" t="s">
        <v>5304</v>
      </c>
      <c r="Q625" t="s">
        <v>2363</v>
      </c>
      <c r="R625" t="s">
        <v>2875</v>
      </c>
      <c r="S625">
        <v>2021</v>
      </c>
      <c r="T625" s="2">
        <v>44554</v>
      </c>
      <c r="U625" t="s">
        <v>5305</v>
      </c>
      <c r="W625" t="s">
        <v>2002</v>
      </c>
      <c r="Y625">
        <f t="shared" si="27"/>
        <v>235</v>
      </c>
      <c r="Z625">
        <f t="shared" si="28"/>
        <v>2</v>
      </c>
      <c r="AA625">
        <f t="shared" si="29"/>
        <v>0</v>
      </c>
    </row>
    <row r="626" spans="1:27" x14ac:dyDescent="0.3">
      <c r="A626" t="s">
        <v>2654</v>
      </c>
      <c r="B626" t="s">
        <v>4857</v>
      </c>
      <c r="C626">
        <v>34196711</v>
      </c>
      <c r="D626" t="s">
        <v>5131</v>
      </c>
      <c r="E626">
        <v>0</v>
      </c>
      <c r="F626" t="s">
        <v>286</v>
      </c>
      <c r="G626" t="s">
        <v>5132</v>
      </c>
      <c r="H626" s="11">
        <v>2</v>
      </c>
      <c r="J626" t="s">
        <v>51</v>
      </c>
      <c r="K626" t="s">
        <v>5306</v>
      </c>
      <c r="L626">
        <v>1</v>
      </c>
      <c r="M626" t="s">
        <v>5307</v>
      </c>
      <c r="N626" t="s">
        <v>5308</v>
      </c>
      <c r="O626" t="s">
        <v>5309</v>
      </c>
      <c r="P626" t="s">
        <v>5310</v>
      </c>
      <c r="Q626" t="s">
        <v>5311</v>
      </c>
      <c r="R626" t="s">
        <v>2755</v>
      </c>
      <c r="S626">
        <v>2021</v>
      </c>
      <c r="T626" s="2">
        <v>44378</v>
      </c>
      <c r="U626" t="s">
        <v>5312</v>
      </c>
      <c r="W626" t="s">
        <v>5313</v>
      </c>
      <c r="Y626" t="str">
        <f t="shared" si="27"/>
        <v>N/A</v>
      </c>
      <c r="Z626" t="str">
        <f t="shared" si="28"/>
        <v/>
      </c>
      <c r="AA626" t="str">
        <f t="shared" si="29"/>
        <v/>
      </c>
    </row>
    <row r="627" spans="1:27" x14ac:dyDescent="0.3">
      <c r="A627" t="s">
        <v>2654</v>
      </c>
      <c r="B627" t="s">
        <v>4857</v>
      </c>
      <c r="C627">
        <v>34899299</v>
      </c>
      <c r="D627" t="s">
        <v>5133</v>
      </c>
      <c r="E627">
        <v>0</v>
      </c>
      <c r="F627" t="s">
        <v>143</v>
      </c>
      <c r="G627">
        <v>289</v>
      </c>
      <c r="H627">
        <v>3</v>
      </c>
      <c r="J627">
        <v>3</v>
      </c>
      <c r="K627" t="s">
        <v>5314</v>
      </c>
      <c r="L627">
        <v>1</v>
      </c>
      <c r="M627" t="s">
        <v>5315</v>
      </c>
      <c r="N627" t="s">
        <v>5316</v>
      </c>
      <c r="O627" t="s">
        <v>5317</v>
      </c>
      <c r="P627" t="s">
        <v>5318</v>
      </c>
      <c r="Q627" t="s">
        <v>5319</v>
      </c>
      <c r="R627" t="s">
        <v>872</v>
      </c>
      <c r="S627">
        <v>2021</v>
      </c>
      <c r="T627" s="2">
        <v>44543</v>
      </c>
      <c r="U627" t="s">
        <v>5320</v>
      </c>
      <c r="W627" t="s">
        <v>2012</v>
      </c>
      <c r="Y627">
        <f t="shared" si="27"/>
        <v>289</v>
      </c>
      <c r="Z627">
        <f t="shared" si="28"/>
        <v>3</v>
      </c>
      <c r="AA627">
        <f t="shared" si="29"/>
        <v>0</v>
      </c>
    </row>
    <row r="628" spans="1:27" x14ac:dyDescent="0.3">
      <c r="A628" t="s">
        <v>2654</v>
      </c>
      <c r="B628" t="s">
        <v>4857</v>
      </c>
      <c r="C628">
        <v>34659636</v>
      </c>
      <c r="D628" t="s">
        <v>5134</v>
      </c>
      <c r="E628">
        <v>0</v>
      </c>
      <c r="F628" t="s">
        <v>5135</v>
      </c>
      <c r="G628">
        <v>22</v>
      </c>
      <c r="H628">
        <v>6</v>
      </c>
      <c r="J628">
        <v>2</v>
      </c>
      <c r="K628" t="s">
        <v>5321</v>
      </c>
      <c r="L628">
        <v>1</v>
      </c>
      <c r="M628" t="s">
        <v>5322</v>
      </c>
      <c r="N628" t="s">
        <v>5323</v>
      </c>
      <c r="O628" t="s">
        <v>5324</v>
      </c>
      <c r="P628" t="s">
        <v>5325</v>
      </c>
      <c r="Q628" t="s">
        <v>5326</v>
      </c>
      <c r="R628" t="s">
        <v>5327</v>
      </c>
      <c r="S628">
        <v>2021</v>
      </c>
      <c r="T628" s="2">
        <v>44487</v>
      </c>
      <c r="U628" t="s">
        <v>5328</v>
      </c>
      <c r="W628" t="s">
        <v>2021</v>
      </c>
      <c r="Y628">
        <f t="shared" si="27"/>
        <v>22</v>
      </c>
      <c r="Z628">
        <f t="shared" si="28"/>
        <v>0</v>
      </c>
      <c r="AA628">
        <f t="shared" si="29"/>
        <v>0</v>
      </c>
    </row>
    <row r="629" spans="1:27" x14ac:dyDescent="0.3">
      <c r="A629" t="s">
        <v>2654</v>
      </c>
      <c r="B629" t="s">
        <v>4857</v>
      </c>
      <c r="C629">
        <v>34700214</v>
      </c>
      <c r="D629" t="s">
        <v>5136</v>
      </c>
      <c r="E629">
        <v>0</v>
      </c>
      <c r="F629" t="s">
        <v>5137</v>
      </c>
      <c r="G629">
        <v>96</v>
      </c>
      <c r="H629">
        <v>1</v>
      </c>
      <c r="J629">
        <v>1</v>
      </c>
      <c r="K629" t="s">
        <v>5329</v>
      </c>
      <c r="L629">
        <v>1</v>
      </c>
      <c r="M629" t="s">
        <v>5330</v>
      </c>
      <c r="N629" t="s">
        <v>5331</v>
      </c>
      <c r="O629" t="s">
        <v>5332</v>
      </c>
      <c r="P629" t="s">
        <v>5333</v>
      </c>
      <c r="Q629" t="s">
        <v>5334</v>
      </c>
      <c r="R629" t="s">
        <v>5335</v>
      </c>
      <c r="S629">
        <v>2021</v>
      </c>
      <c r="T629" s="2">
        <v>44495</v>
      </c>
      <c r="W629" t="s">
        <v>2030</v>
      </c>
      <c r="Y629">
        <f t="shared" si="27"/>
        <v>96</v>
      </c>
      <c r="Z629">
        <f t="shared" si="28"/>
        <v>1</v>
      </c>
      <c r="AA629">
        <f t="shared" si="29"/>
        <v>0</v>
      </c>
    </row>
    <row r="630" spans="1:27" x14ac:dyDescent="0.3">
      <c r="A630" t="s">
        <v>2654</v>
      </c>
      <c r="B630" t="s">
        <v>4857</v>
      </c>
      <c r="C630">
        <v>34661615</v>
      </c>
      <c r="D630" t="s">
        <v>5138</v>
      </c>
      <c r="E630">
        <v>0</v>
      </c>
      <c r="F630" t="s">
        <v>143</v>
      </c>
      <c r="G630">
        <v>300</v>
      </c>
      <c r="H630">
        <v>1</v>
      </c>
      <c r="J630">
        <v>1</v>
      </c>
      <c r="K630" t="s">
        <v>1771</v>
      </c>
      <c r="L630">
        <v>1</v>
      </c>
      <c r="M630" t="s">
        <v>5336</v>
      </c>
      <c r="N630" t="s">
        <v>5337</v>
      </c>
      <c r="O630" t="s">
        <v>5338</v>
      </c>
      <c r="P630" t="s">
        <v>5339</v>
      </c>
      <c r="Q630" t="s">
        <v>4377</v>
      </c>
      <c r="R630" t="s">
        <v>1597</v>
      </c>
      <c r="S630">
        <v>2021</v>
      </c>
      <c r="T630" s="2">
        <v>44487</v>
      </c>
      <c r="U630" t="s">
        <v>5340</v>
      </c>
      <c r="W630" t="s">
        <v>2036</v>
      </c>
      <c r="Y630">
        <f t="shared" si="27"/>
        <v>300</v>
      </c>
      <c r="Z630">
        <f t="shared" si="28"/>
        <v>3</v>
      </c>
      <c r="AA630">
        <f t="shared" si="29"/>
        <v>0</v>
      </c>
    </row>
    <row r="631" spans="1:27" x14ac:dyDescent="0.3">
      <c r="A631" t="s">
        <v>2654</v>
      </c>
      <c r="B631" t="s">
        <v>4857</v>
      </c>
      <c r="C631">
        <v>34867769</v>
      </c>
      <c r="D631" t="s">
        <v>5139</v>
      </c>
      <c r="E631">
        <v>0</v>
      </c>
      <c r="F631" t="s">
        <v>1405</v>
      </c>
      <c r="G631">
        <v>83</v>
      </c>
      <c r="H631">
        <v>2</v>
      </c>
      <c r="J631">
        <v>2</v>
      </c>
      <c r="K631" t="s">
        <v>1695</v>
      </c>
      <c r="L631">
        <v>2</v>
      </c>
      <c r="M631" t="s">
        <v>5341</v>
      </c>
      <c r="N631" t="s">
        <v>5342</v>
      </c>
      <c r="O631" t="s">
        <v>5343</v>
      </c>
      <c r="P631" t="s">
        <v>5344</v>
      </c>
      <c r="Q631" t="s">
        <v>5345</v>
      </c>
      <c r="R631" t="s">
        <v>1970</v>
      </c>
      <c r="S631">
        <v>2021</v>
      </c>
      <c r="T631" s="2">
        <v>44536</v>
      </c>
      <c r="U631" t="s">
        <v>5346</v>
      </c>
      <c r="W631" t="s">
        <v>2045</v>
      </c>
      <c r="Y631">
        <f t="shared" si="27"/>
        <v>166</v>
      </c>
      <c r="Z631">
        <f t="shared" si="28"/>
        <v>1</v>
      </c>
      <c r="AA631">
        <f t="shared" si="29"/>
        <v>1</v>
      </c>
    </row>
    <row r="632" spans="1:27" x14ac:dyDescent="0.3">
      <c r="A632" t="s">
        <v>2654</v>
      </c>
      <c r="B632" t="s">
        <v>4857</v>
      </c>
      <c r="C632">
        <v>34923481</v>
      </c>
      <c r="D632" t="s">
        <v>5140</v>
      </c>
      <c r="E632">
        <v>0</v>
      </c>
      <c r="F632" t="s">
        <v>5141</v>
      </c>
      <c r="G632">
        <v>327</v>
      </c>
      <c r="H632">
        <v>1</v>
      </c>
      <c r="J632">
        <v>1</v>
      </c>
      <c r="K632" t="s">
        <v>835</v>
      </c>
      <c r="L632">
        <v>1</v>
      </c>
      <c r="M632" t="s">
        <v>5347</v>
      </c>
      <c r="N632" t="s">
        <v>5348</v>
      </c>
      <c r="O632" t="s">
        <v>5349</v>
      </c>
      <c r="P632" t="s">
        <v>5350</v>
      </c>
      <c r="Q632" t="s">
        <v>5351</v>
      </c>
      <c r="R632" t="s">
        <v>5352</v>
      </c>
      <c r="S632">
        <v>2021</v>
      </c>
      <c r="T632" s="2">
        <v>44549</v>
      </c>
      <c r="U632" t="s">
        <v>5353</v>
      </c>
      <c r="W632" t="s">
        <v>2052</v>
      </c>
      <c r="Y632">
        <f t="shared" si="27"/>
        <v>327</v>
      </c>
      <c r="Z632">
        <f t="shared" si="28"/>
        <v>3</v>
      </c>
      <c r="AA632">
        <f t="shared" si="29"/>
        <v>0</v>
      </c>
    </row>
    <row r="633" spans="1:27" x14ac:dyDescent="0.3">
      <c r="A633" t="s">
        <v>2654</v>
      </c>
      <c r="B633" t="s">
        <v>4857</v>
      </c>
      <c r="C633">
        <v>33783299</v>
      </c>
      <c r="D633" t="s">
        <v>5142</v>
      </c>
      <c r="E633">
        <v>0</v>
      </c>
      <c r="F633" t="s">
        <v>5143</v>
      </c>
      <c r="G633">
        <v>125</v>
      </c>
      <c r="H633">
        <v>1</v>
      </c>
      <c r="J633">
        <v>1</v>
      </c>
      <c r="K633" t="s">
        <v>835</v>
      </c>
      <c r="L633">
        <v>1</v>
      </c>
      <c r="M633" t="s">
        <v>4893</v>
      </c>
      <c r="N633" t="s">
        <v>5354</v>
      </c>
      <c r="O633" t="s">
        <v>5355</v>
      </c>
      <c r="P633" t="s">
        <v>5356</v>
      </c>
      <c r="Q633" t="s">
        <v>5357</v>
      </c>
      <c r="R633" t="s">
        <v>5358</v>
      </c>
      <c r="S633">
        <v>2021</v>
      </c>
      <c r="T633" s="2">
        <v>44285</v>
      </c>
      <c r="W633" t="s">
        <v>2058</v>
      </c>
      <c r="Y633">
        <f t="shared" si="27"/>
        <v>125</v>
      </c>
      <c r="Z633">
        <f t="shared" si="28"/>
        <v>1</v>
      </c>
      <c r="AA633">
        <f t="shared" si="29"/>
        <v>0</v>
      </c>
    </row>
    <row r="634" spans="1:27" x14ac:dyDescent="0.3">
      <c r="A634" t="s">
        <v>2654</v>
      </c>
      <c r="B634" t="s">
        <v>4857</v>
      </c>
      <c r="C634" s="16">
        <v>33635141</v>
      </c>
      <c r="D634" s="16" t="s">
        <v>5144</v>
      </c>
      <c r="E634" s="16">
        <v>0</v>
      </c>
      <c r="F634" s="16" t="s">
        <v>4326</v>
      </c>
      <c r="G634" s="16">
        <v>999</v>
      </c>
      <c r="H634" s="16">
        <v>1</v>
      </c>
      <c r="J634" s="16">
        <v>1</v>
      </c>
      <c r="K634" s="16" t="s">
        <v>835</v>
      </c>
      <c r="L634" s="16">
        <v>1</v>
      </c>
      <c r="M634" s="16" t="s">
        <v>4929</v>
      </c>
      <c r="N634" s="16" t="s">
        <v>5359</v>
      </c>
      <c r="O634" s="16" t="s">
        <v>5360</v>
      </c>
      <c r="P634" s="16" t="s">
        <v>5361</v>
      </c>
      <c r="Q634" s="16" t="s">
        <v>5362</v>
      </c>
      <c r="R634" s="16" t="s">
        <v>2050</v>
      </c>
      <c r="S634" s="16">
        <v>2021</v>
      </c>
      <c r="T634" s="18">
        <v>44253</v>
      </c>
      <c r="U634" s="16" t="s">
        <v>5363</v>
      </c>
      <c r="V634" s="16" t="s">
        <v>5364</v>
      </c>
      <c r="W634" s="16" t="s">
        <v>2066</v>
      </c>
      <c r="Y634">
        <f t="shared" si="27"/>
        <v>999</v>
      </c>
      <c r="Z634">
        <f t="shared" si="28"/>
        <v>10</v>
      </c>
      <c r="AA634">
        <f t="shared" si="29"/>
        <v>0</v>
      </c>
    </row>
    <row r="635" spans="1:27" x14ac:dyDescent="0.3">
      <c r="A635" t="s">
        <v>2654</v>
      </c>
      <c r="B635" t="s">
        <v>4857</v>
      </c>
      <c r="C635">
        <v>34854549</v>
      </c>
      <c r="D635" t="s">
        <v>1410</v>
      </c>
      <c r="E635">
        <v>0</v>
      </c>
      <c r="F635" t="s">
        <v>143</v>
      </c>
      <c r="G635">
        <v>569</v>
      </c>
      <c r="H635">
        <v>3</v>
      </c>
      <c r="J635">
        <v>1</v>
      </c>
      <c r="K635" t="s">
        <v>5365</v>
      </c>
      <c r="L635">
        <v>2</v>
      </c>
      <c r="M635" t="s">
        <v>4893</v>
      </c>
      <c r="N635" t="s">
        <v>5366</v>
      </c>
      <c r="O635" t="s">
        <v>1924</v>
      </c>
      <c r="P635" t="s">
        <v>5367</v>
      </c>
      <c r="Q635" t="s">
        <v>1926</v>
      </c>
      <c r="R635" t="s">
        <v>1535</v>
      </c>
      <c r="S635">
        <v>2021</v>
      </c>
      <c r="T635" s="2">
        <v>44532</v>
      </c>
      <c r="W635" t="s">
        <v>1929</v>
      </c>
      <c r="Y635">
        <f t="shared" si="27"/>
        <v>1138</v>
      </c>
      <c r="Z635">
        <f t="shared" si="28"/>
        <v>11</v>
      </c>
      <c r="AA635">
        <f t="shared" si="29"/>
        <v>1</v>
      </c>
    </row>
    <row r="636" spans="1:27" x14ac:dyDescent="0.3">
      <c r="A636" t="s">
        <v>2654</v>
      </c>
      <c r="B636" t="s">
        <v>4857</v>
      </c>
      <c r="C636">
        <v>34725927</v>
      </c>
      <c r="D636" t="s">
        <v>5145</v>
      </c>
      <c r="E636">
        <v>0</v>
      </c>
      <c r="F636" t="s">
        <v>143</v>
      </c>
      <c r="G636">
        <v>141</v>
      </c>
      <c r="H636">
        <v>1</v>
      </c>
      <c r="J636">
        <v>1</v>
      </c>
      <c r="K636" t="s">
        <v>5368</v>
      </c>
      <c r="L636">
        <v>1</v>
      </c>
      <c r="M636" t="s">
        <v>5369</v>
      </c>
      <c r="N636" t="s">
        <v>5370</v>
      </c>
      <c r="O636" t="s">
        <v>5371</v>
      </c>
      <c r="P636" t="s">
        <v>5372</v>
      </c>
      <c r="Q636" t="s">
        <v>2516</v>
      </c>
      <c r="R636" t="s">
        <v>5373</v>
      </c>
      <c r="S636">
        <v>2021</v>
      </c>
      <c r="T636" s="2">
        <v>44502</v>
      </c>
      <c r="U636" t="s">
        <v>5374</v>
      </c>
      <c r="W636" t="s">
        <v>2084</v>
      </c>
      <c r="Y636">
        <f t="shared" si="27"/>
        <v>141</v>
      </c>
      <c r="Z636">
        <f t="shared" si="28"/>
        <v>1</v>
      </c>
      <c r="AA636">
        <f t="shared" si="29"/>
        <v>0</v>
      </c>
    </row>
    <row r="637" spans="1:27" x14ac:dyDescent="0.3">
      <c r="A637" t="s">
        <v>2654</v>
      </c>
      <c r="B637" t="s">
        <v>4857</v>
      </c>
      <c r="C637">
        <v>34776933</v>
      </c>
      <c r="D637" t="s">
        <v>5146</v>
      </c>
      <c r="E637">
        <v>0</v>
      </c>
      <c r="F637" t="s">
        <v>143</v>
      </c>
      <c r="G637">
        <v>430</v>
      </c>
      <c r="H637">
        <v>4</v>
      </c>
      <c r="J637">
        <v>2</v>
      </c>
      <c r="K637" t="s">
        <v>5375</v>
      </c>
      <c r="L637">
        <v>1</v>
      </c>
      <c r="M637" t="s">
        <v>5376</v>
      </c>
      <c r="N637" t="s">
        <v>5377</v>
      </c>
      <c r="O637" t="s">
        <v>5378</v>
      </c>
      <c r="P637" t="s">
        <v>5379</v>
      </c>
      <c r="Q637" t="s">
        <v>5380</v>
      </c>
      <c r="R637" t="s">
        <v>1829</v>
      </c>
      <c r="S637">
        <v>2021</v>
      </c>
      <c r="T637" s="2">
        <v>44515</v>
      </c>
      <c r="U637" t="s">
        <v>5381</v>
      </c>
      <c r="W637" t="s">
        <v>2094</v>
      </c>
      <c r="Y637">
        <f t="shared" si="27"/>
        <v>430</v>
      </c>
      <c r="Z637">
        <f t="shared" si="28"/>
        <v>4</v>
      </c>
      <c r="AA637">
        <f t="shared" si="29"/>
        <v>0</v>
      </c>
    </row>
    <row r="638" spans="1:27" x14ac:dyDescent="0.3">
      <c r="A638" t="s">
        <v>2654</v>
      </c>
      <c r="B638" t="s">
        <v>4857</v>
      </c>
      <c r="C638">
        <v>33635154</v>
      </c>
      <c r="D638" t="s">
        <v>5147</v>
      </c>
      <c r="E638">
        <v>0</v>
      </c>
      <c r="F638" t="s">
        <v>4326</v>
      </c>
      <c r="G638">
        <v>95</v>
      </c>
      <c r="H638">
        <v>1</v>
      </c>
      <c r="K638" t="s">
        <v>835</v>
      </c>
      <c r="L638">
        <v>1</v>
      </c>
      <c r="O638" t="s">
        <v>5382</v>
      </c>
      <c r="P638" t="s">
        <v>5383</v>
      </c>
      <c r="Q638" t="s">
        <v>5384</v>
      </c>
      <c r="R638" t="s">
        <v>2050</v>
      </c>
      <c r="S638">
        <v>2021</v>
      </c>
      <c r="T638" s="2">
        <v>44253</v>
      </c>
      <c r="W638" t="s">
        <v>5385</v>
      </c>
      <c r="Y638">
        <f t="shared" si="27"/>
        <v>95</v>
      </c>
      <c r="Z638">
        <f t="shared" si="28"/>
        <v>0</v>
      </c>
      <c r="AA638">
        <f t="shared" si="29"/>
        <v>1</v>
      </c>
    </row>
    <row r="639" spans="1:27" x14ac:dyDescent="0.3">
      <c r="A639" t="s">
        <v>2654</v>
      </c>
      <c r="B639" t="s">
        <v>4857</v>
      </c>
      <c r="C639">
        <v>34745768</v>
      </c>
      <c r="D639" t="s">
        <v>5148</v>
      </c>
      <c r="E639">
        <v>0</v>
      </c>
      <c r="F639" t="s">
        <v>82</v>
      </c>
      <c r="G639">
        <v>189</v>
      </c>
      <c r="H639">
        <v>2</v>
      </c>
      <c r="J639">
        <v>2</v>
      </c>
      <c r="K639" t="s">
        <v>5386</v>
      </c>
      <c r="L639">
        <v>2</v>
      </c>
      <c r="M639" t="s">
        <v>1611</v>
      </c>
      <c r="N639" t="s">
        <v>5387</v>
      </c>
      <c r="O639" t="s">
        <v>5388</v>
      </c>
      <c r="P639" t="s">
        <v>5389</v>
      </c>
      <c r="Q639" t="s">
        <v>5390</v>
      </c>
      <c r="R639" t="s">
        <v>5391</v>
      </c>
      <c r="S639">
        <v>2021</v>
      </c>
      <c r="T639" s="2">
        <v>44508</v>
      </c>
      <c r="U639" t="s">
        <v>5392</v>
      </c>
      <c r="W639" t="s">
        <v>5393</v>
      </c>
      <c r="Y639">
        <f t="shared" si="27"/>
        <v>378</v>
      </c>
      <c r="Z639">
        <f t="shared" si="28"/>
        <v>3</v>
      </c>
      <c r="AA639">
        <f t="shared" si="29"/>
        <v>1</v>
      </c>
    </row>
    <row r="640" spans="1:27" x14ac:dyDescent="0.3">
      <c r="A640" t="s">
        <v>2654</v>
      </c>
      <c r="B640" t="s">
        <v>4857</v>
      </c>
      <c r="C640">
        <v>34743546</v>
      </c>
      <c r="D640" t="s">
        <v>5149</v>
      </c>
      <c r="E640">
        <v>0</v>
      </c>
      <c r="F640" t="s">
        <v>1405</v>
      </c>
      <c r="G640" t="s">
        <v>51</v>
      </c>
      <c r="H640">
        <v>3</v>
      </c>
      <c r="J640">
        <v>3</v>
      </c>
      <c r="K640" t="s">
        <v>5365</v>
      </c>
      <c r="L640">
        <v>2</v>
      </c>
      <c r="M640" t="s">
        <v>4893</v>
      </c>
      <c r="N640" t="s">
        <v>5394</v>
      </c>
      <c r="O640" t="s">
        <v>5395</v>
      </c>
      <c r="P640" t="s">
        <v>5396</v>
      </c>
      <c r="Q640" t="s">
        <v>5397</v>
      </c>
      <c r="R640" t="s">
        <v>5398</v>
      </c>
      <c r="S640">
        <v>2021</v>
      </c>
      <c r="T640" s="2">
        <v>44508</v>
      </c>
      <c r="W640" t="s">
        <v>2102</v>
      </c>
      <c r="Y640" t="str">
        <f t="shared" si="27"/>
        <v>N/A</v>
      </c>
      <c r="Z640" t="str">
        <f t="shared" si="28"/>
        <v/>
      </c>
      <c r="AA640" t="str">
        <f t="shared" si="29"/>
        <v/>
      </c>
    </row>
    <row r="641" spans="1:27" x14ac:dyDescent="0.3">
      <c r="A641" t="s">
        <v>2654</v>
      </c>
      <c r="B641" t="s">
        <v>4857</v>
      </c>
      <c r="C641">
        <v>34741884</v>
      </c>
      <c r="D641" t="s">
        <v>5150</v>
      </c>
      <c r="E641">
        <v>0</v>
      </c>
      <c r="F641" t="s">
        <v>143</v>
      </c>
      <c r="G641" t="s">
        <v>51</v>
      </c>
      <c r="H641">
        <v>2</v>
      </c>
      <c r="J641">
        <v>2</v>
      </c>
      <c r="K641" t="s">
        <v>3592</v>
      </c>
      <c r="L641">
        <v>1</v>
      </c>
      <c r="M641" t="s">
        <v>4893</v>
      </c>
      <c r="N641" t="s">
        <v>5399</v>
      </c>
      <c r="O641" t="s">
        <v>5400</v>
      </c>
      <c r="P641" t="s">
        <v>5401</v>
      </c>
      <c r="Q641" t="s">
        <v>5402</v>
      </c>
      <c r="R641" t="s">
        <v>5403</v>
      </c>
      <c r="S641">
        <v>2021</v>
      </c>
      <c r="T641" s="2">
        <v>44506</v>
      </c>
      <c r="W641" t="s">
        <v>5404</v>
      </c>
      <c r="Y641" t="str">
        <f t="shared" si="27"/>
        <v>N/A</v>
      </c>
      <c r="Z641" t="str">
        <f t="shared" si="28"/>
        <v/>
      </c>
      <c r="AA641" t="str">
        <f t="shared" si="29"/>
        <v/>
      </c>
    </row>
    <row r="642" spans="1:27" x14ac:dyDescent="0.3">
      <c r="A642" t="s">
        <v>2654</v>
      </c>
      <c r="B642" t="s">
        <v>4857</v>
      </c>
      <c r="C642">
        <v>34662373</v>
      </c>
      <c r="D642" t="s">
        <v>5151</v>
      </c>
      <c r="E642">
        <v>0</v>
      </c>
      <c r="F642" t="s">
        <v>143</v>
      </c>
      <c r="G642">
        <v>428</v>
      </c>
      <c r="H642">
        <v>5</v>
      </c>
      <c r="J642">
        <v>5</v>
      </c>
      <c r="K642" t="s">
        <v>5405</v>
      </c>
      <c r="L642">
        <v>2</v>
      </c>
      <c r="M642" t="s">
        <v>4893</v>
      </c>
      <c r="N642" t="s">
        <v>5406</v>
      </c>
      <c r="O642" t="s">
        <v>5407</v>
      </c>
      <c r="P642" t="s">
        <v>5408</v>
      </c>
      <c r="Q642" t="s">
        <v>5409</v>
      </c>
      <c r="R642" t="s">
        <v>519</v>
      </c>
      <c r="S642">
        <v>2021</v>
      </c>
      <c r="T642" s="2">
        <v>44487</v>
      </c>
      <c r="W642" t="s">
        <v>2110</v>
      </c>
      <c r="Y642">
        <f t="shared" si="27"/>
        <v>856</v>
      </c>
      <c r="Z642">
        <f t="shared" si="28"/>
        <v>8</v>
      </c>
      <c r="AA642">
        <f t="shared" si="29"/>
        <v>1</v>
      </c>
    </row>
    <row r="643" spans="1:27" x14ac:dyDescent="0.3">
      <c r="A643" t="s">
        <v>2654</v>
      </c>
      <c r="B643" t="s">
        <v>4857</v>
      </c>
      <c r="C643">
        <v>34726754</v>
      </c>
      <c r="D643" t="s">
        <v>5152</v>
      </c>
      <c r="E643">
        <v>0</v>
      </c>
      <c r="F643" t="s">
        <v>5153</v>
      </c>
      <c r="G643">
        <v>132</v>
      </c>
      <c r="H643">
        <v>2</v>
      </c>
      <c r="J643" t="s">
        <v>51</v>
      </c>
      <c r="K643" t="s">
        <v>5410</v>
      </c>
      <c r="L643">
        <v>1</v>
      </c>
      <c r="M643" t="s">
        <v>5411</v>
      </c>
      <c r="O643" t="s">
        <v>1672</v>
      </c>
      <c r="P643" t="s">
        <v>5412</v>
      </c>
      <c r="Q643" t="s">
        <v>1674</v>
      </c>
      <c r="R643" t="s">
        <v>1554</v>
      </c>
      <c r="S643">
        <v>2021</v>
      </c>
      <c r="T643" s="2">
        <v>44502</v>
      </c>
      <c r="U643" t="s">
        <v>1675</v>
      </c>
      <c r="W643" t="s">
        <v>1676</v>
      </c>
      <c r="Y643">
        <f t="shared" ref="Y643:Y706" si="30">IFERROR(L643*G643,"N/A")</f>
        <v>132</v>
      </c>
      <c r="Z643">
        <f t="shared" ref="Z643:Z706" si="31">IFERROR(ROUNDDOWN(Y643/96,0),"")</f>
        <v>1</v>
      </c>
      <c r="AA643">
        <f t="shared" ref="AA643:AA706" si="32">IFERROR(ROUNDDOWN((MOD(Y643,96)/48),0),"")</f>
        <v>0</v>
      </c>
    </row>
    <row r="644" spans="1:27" x14ac:dyDescent="0.3">
      <c r="A644" t="s">
        <v>1350</v>
      </c>
      <c r="B644" t="s">
        <v>5413</v>
      </c>
      <c r="C644">
        <v>33778875</v>
      </c>
      <c r="D644" t="s">
        <v>5414</v>
      </c>
      <c r="F644" t="s">
        <v>143</v>
      </c>
      <c r="G644" s="12" t="s">
        <v>4989</v>
      </c>
      <c r="H644">
        <v>1536</v>
      </c>
      <c r="J644" s="38">
        <v>6</v>
      </c>
      <c r="L644">
        <v>1</v>
      </c>
      <c r="M644" t="s">
        <v>25</v>
      </c>
      <c r="O644" t="s">
        <v>5458</v>
      </c>
      <c r="P644" t="s">
        <v>5459</v>
      </c>
      <c r="Q644" t="s">
        <v>5460</v>
      </c>
      <c r="R644" t="s">
        <v>2755</v>
      </c>
      <c r="S644">
        <v>2021</v>
      </c>
      <c r="T644" s="2">
        <v>44284</v>
      </c>
      <c r="W644" t="s">
        <v>5461</v>
      </c>
      <c r="Y644" t="str">
        <f t="shared" si="30"/>
        <v>N/A</v>
      </c>
      <c r="Z644" t="str">
        <f t="shared" si="31"/>
        <v/>
      </c>
      <c r="AA644" t="str">
        <f t="shared" si="32"/>
        <v/>
      </c>
    </row>
    <row r="645" spans="1:27" x14ac:dyDescent="0.3">
      <c r="A645" t="s">
        <v>1350</v>
      </c>
      <c r="B645" t="s">
        <v>5413</v>
      </c>
      <c r="C645">
        <v>32789678</v>
      </c>
      <c r="D645" t="s">
        <v>5415</v>
      </c>
      <c r="F645" t="s">
        <v>532</v>
      </c>
      <c r="G645" s="12">
        <v>5131</v>
      </c>
      <c r="H645">
        <v>96</v>
      </c>
      <c r="J645" s="38">
        <v>6</v>
      </c>
      <c r="L645">
        <v>1</v>
      </c>
      <c r="M645" t="s">
        <v>413</v>
      </c>
      <c r="O645" t="s">
        <v>5462</v>
      </c>
      <c r="P645" t="s">
        <v>5463</v>
      </c>
      <c r="Q645" t="s">
        <v>4263</v>
      </c>
      <c r="R645" t="s">
        <v>5464</v>
      </c>
      <c r="S645">
        <v>2021</v>
      </c>
      <c r="T645" s="2">
        <v>44057</v>
      </c>
      <c r="W645" t="s">
        <v>5465</v>
      </c>
      <c r="Y645">
        <f t="shared" si="30"/>
        <v>5131</v>
      </c>
      <c r="Z645">
        <f t="shared" si="31"/>
        <v>53</v>
      </c>
      <c r="AA645">
        <f t="shared" si="32"/>
        <v>0</v>
      </c>
    </row>
    <row r="646" spans="1:27" x14ac:dyDescent="0.3">
      <c r="A646" t="s">
        <v>1350</v>
      </c>
      <c r="B646" t="s">
        <v>5413</v>
      </c>
      <c r="C646">
        <v>34215806</v>
      </c>
      <c r="D646" t="s">
        <v>5416</v>
      </c>
      <c r="F646" t="s">
        <v>34</v>
      </c>
      <c r="G646" s="12">
        <v>48</v>
      </c>
      <c r="H646">
        <v>96</v>
      </c>
      <c r="I646">
        <v>26</v>
      </c>
      <c r="J646" s="38">
        <v>5</v>
      </c>
      <c r="L646">
        <v>1</v>
      </c>
      <c r="M646" t="s">
        <v>413</v>
      </c>
      <c r="O646" t="s">
        <v>5466</v>
      </c>
      <c r="P646" t="s">
        <v>5467</v>
      </c>
      <c r="Q646" t="s">
        <v>5468</v>
      </c>
      <c r="R646" t="s">
        <v>246</v>
      </c>
      <c r="S646">
        <v>2021</v>
      </c>
      <c r="T646" s="2">
        <v>44380</v>
      </c>
      <c r="U646" t="s">
        <v>5469</v>
      </c>
      <c r="W646" t="s">
        <v>5470</v>
      </c>
      <c r="Y646">
        <f t="shared" si="30"/>
        <v>48</v>
      </c>
      <c r="Z646">
        <f t="shared" si="31"/>
        <v>0</v>
      </c>
      <c r="AA646">
        <f t="shared" si="32"/>
        <v>1</v>
      </c>
    </row>
    <row r="647" spans="1:27" x14ac:dyDescent="0.3">
      <c r="A647" t="s">
        <v>1350</v>
      </c>
      <c r="B647" t="s">
        <v>5413</v>
      </c>
      <c r="C647">
        <v>34298022</v>
      </c>
      <c r="D647" t="s">
        <v>4858</v>
      </c>
      <c r="F647" t="s">
        <v>5027</v>
      </c>
      <c r="G647" s="12">
        <v>212</v>
      </c>
      <c r="H647">
        <v>96</v>
      </c>
      <c r="J647" s="38">
        <v>6</v>
      </c>
      <c r="L647">
        <v>1</v>
      </c>
      <c r="M647" t="s">
        <v>666</v>
      </c>
      <c r="O647" t="s">
        <v>4862</v>
      </c>
      <c r="P647" t="s">
        <v>4863</v>
      </c>
      <c r="Q647" t="s">
        <v>4864</v>
      </c>
      <c r="R647" t="s">
        <v>4865</v>
      </c>
      <c r="S647">
        <v>2021</v>
      </c>
      <c r="T647" s="2">
        <v>44400</v>
      </c>
      <c r="W647" t="s">
        <v>4866</v>
      </c>
      <c r="Y647">
        <f t="shared" si="30"/>
        <v>212</v>
      </c>
      <c r="Z647">
        <f t="shared" si="31"/>
        <v>2</v>
      </c>
      <c r="AA647">
        <f t="shared" si="32"/>
        <v>0</v>
      </c>
    </row>
    <row r="648" spans="1:27" x14ac:dyDescent="0.3">
      <c r="A648" t="s">
        <v>1350</v>
      </c>
      <c r="B648" t="s">
        <v>5413</v>
      </c>
      <c r="C648">
        <v>34144643</v>
      </c>
      <c r="D648" t="s">
        <v>5417</v>
      </c>
      <c r="F648" t="s">
        <v>1405</v>
      </c>
      <c r="G648" s="12" t="s">
        <v>4989</v>
      </c>
      <c r="H648">
        <v>1536</v>
      </c>
      <c r="J648" s="38">
        <v>15</v>
      </c>
      <c r="L648">
        <v>1</v>
      </c>
      <c r="M648" t="s">
        <v>5694</v>
      </c>
      <c r="O648" t="s">
        <v>5471</v>
      </c>
      <c r="P648" t="s">
        <v>5472</v>
      </c>
      <c r="Q648" t="s">
        <v>5473</v>
      </c>
      <c r="R648" t="s">
        <v>187</v>
      </c>
      <c r="S648">
        <v>2021</v>
      </c>
      <c r="T648" s="2">
        <v>44365</v>
      </c>
      <c r="W648" t="s">
        <v>5474</v>
      </c>
      <c r="Y648" t="str">
        <f t="shared" si="30"/>
        <v>N/A</v>
      </c>
      <c r="Z648" t="str">
        <f t="shared" si="31"/>
        <v/>
      </c>
      <c r="AA648" t="str">
        <f t="shared" si="32"/>
        <v/>
      </c>
    </row>
    <row r="649" spans="1:27" x14ac:dyDescent="0.3">
      <c r="A649" t="s">
        <v>1350</v>
      </c>
      <c r="B649" t="s">
        <v>5413</v>
      </c>
      <c r="C649">
        <v>34309093</v>
      </c>
      <c r="D649" t="s">
        <v>5418</v>
      </c>
      <c r="F649" t="s">
        <v>532</v>
      </c>
      <c r="G649" s="12">
        <v>4637</v>
      </c>
      <c r="H649">
        <v>96</v>
      </c>
      <c r="J649" s="38">
        <v>1</v>
      </c>
      <c r="L649">
        <v>1</v>
      </c>
      <c r="M649" t="s">
        <v>666</v>
      </c>
      <c r="O649" t="s">
        <v>5475</v>
      </c>
      <c r="P649" t="s">
        <v>5476</v>
      </c>
      <c r="Q649" t="s">
        <v>5477</v>
      </c>
      <c r="R649" t="s">
        <v>2459</v>
      </c>
      <c r="S649">
        <v>2021</v>
      </c>
      <c r="T649" s="2">
        <v>44403</v>
      </c>
      <c r="W649" t="s">
        <v>5478</v>
      </c>
      <c r="Y649">
        <f t="shared" si="30"/>
        <v>4637</v>
      </c>
      <c r="Z649">
        <f t="shared" si="31"/>
        <v>48</v>
      </c>
      <c r="AA649">
        <f t="shared" si="32"/>
        <v>0</v>
      </c>
    </row>
    <row r="650" spans="1:27" x14ac:dyDescent="0.3">
      <c r="A650" t="s">
        <v>1350</v>
      </c>
      <c r="B650" t="s">
        <v>5413</v>
      </c>
      <c r="C650">
        <v>34290695</v>
      </c>
      <c r="D650" t="s">
        <v>5419</v>
      </c>
      <c r="F650" t="s">
        <v>5668</v>
      </c>
      <c r="G650" s="12">
        <v>289</v>
      </c>
      <c r="H650">
        <v>96</v>
      </c>
      <c r="J650" s="38">
        <v>9</v>
      </c>
      <c r="L650">
        <v>1</v>
      </c>
      <c r="M650" t="s">
        <v>413</v>
      </c>
      <c r="O650" t="s">
        <v>5479</v>
      </c>
      <c r="P650" t="s">
        <v>5480</v>
      </c>
      <c r="Q650" t="s">
        <v>5481</v>
      </c>
      <c r="R650" t="s">
        <v>99</v>
      </c>
      <c r="S650">
        <v>2021</v>
      </c>
      <c r="T650" s="2">
        <v>44399</v>
      </c>
      <c r="U650" t="s">
        <v>5482</v>
      </c>
      <c r="W650" t="s">
        <v>5483</v>
      </c>
      <c r="Y650">
        <f t="shared" si="30"/>
        <v>289</v>
      </c>
      <c r="Z650">
        <f t="shared" si="31"/>
        <v>3</v>
      </c>
      <c r="AA650">
        <f t="shared" si="32"/>
        <v>0</v>
      </c>
    </row>
    <row r="651" spans="1:27" x14ac:dyDescent="0.3">
      <c r="A651" t="s">
        <v>1350</v>
      </c>
      <c r="B651" t="s">
        <v>5413</v>
      </c>
      <c r="C651">
        <v>34511330</v>
      </c>
      <c r="D651" t="s">
        <v>5420</v>
      </c>
      <c r="F651" t="s">
        <v>5669</v>
      </c>
      <c r="G651" s="12">
        <v>219</v>
      </c>
      <c r="H651">
        <v>354</v>
      </c>
      <c r="I651">
        <v>9</v>
      </c>
      <c r="J651" s="38">
        <v>1</v>
      </c>
      <c r="L651">
        <v>4</v>
      </c>
      <c r="M651" t="s">
        <v>666</v>
      </c>
      <c r="N651" t="s">
        <v>5682</v>
      </c>
      <c r="O651" t="s">
        <v>5484</v>
      </c>
      <c r="P651" t="s">
        <v>5485</v>
      </c>
      <c r="Q651" t="s">
        <v>5486</v>
      </c>
      <c r="R651" t="s">
        <v>5487</v>
      </c>
      <c r="S651">
        <v>2021</v>
      </c>
      <c r="T651" s="2">
        <v>44452</v>
      </c>
      <c r="W651" t="s">
        <v>5488</v>
      </c>
      <c r="Y651">
        <f t="shared" si="30"/>
        <v>876</v>
      </c>
      <c r="Z651">
        <f t="shared" si="31"/>
        <v>9</v>
      </c>
      <c r="AA651">
        <f t="shared" si="32"/>
        <v>0</v>
      </c>
    </row>
    <row r="652" spans="1:27" x14ac:dyDescent="0.3">
      <c r="A652" t="s">
        <v>1350</v>
      </c>
      <c r="B652" t="s">
        <v>5413</v>
      </c>
      <c r="C652">
        <v>34128078</v>
      </c>
      <c r="D652" t="s">
        <v>5421</v>
      </c>
      <c r="F652" t="s">
        <v>627</v>
      </c>
      <c r="G652" s="12">
        <v>160</v>
      </c>
      <c r="H652">
        <v>184</v>
      </c>
      <c r="J652" s="38">
        <v>4</v>
      </c>
      <c r="L652">
        <v>2</v>
      </c>
      <c r="M652" t="s">
        <v>666</v>
      </c>
      <c r="N652" t="s">
        <v>5683</v>
      </c>
      <c r="O652" t="s">
        <v>5489</v>
      </c>
      <c r="P652" t="s">
        <v>5490</v>
      </c>
      <c r="Q652" t="s">
        <v>5491</v>
      </c>
      <c r="R652" t="s">
        <v>5492</v>
      </c>
      <c r="S652">
        <v>2021</v>
      </c>
      <c r="T652" s="2">
        <v>44362</v>
      </c>
      <c r="W652" t="s">
        <v>5493</v>
      </c>
      <c r="Y652">
        <f t="shared" si="30"/>
        <v>320</v>
      </c>
      <c r="Z652">
        <f t="shared" si="31"/>
        <v>3</v>
      </c>
      <c r="AA652">
        <f t="shared" si="32"/>
        <v>0</v>
      </c>
    </row>
    <row r="653" spans="1:27" x14ac:dyDescent="0.3">
      <c r="A653" t="s">
        <v>1350</v>
      </c>
      <c r="B653" t="s">
        <v>5413</v>
      </c>
      <c r="C653">
        <v>34196300</v>
      </c>
      <c r="D653" t="s">
        <v>5422</v>
      </c>
      <c r="F653" t="s">
        <v>112</v>
      </c>
      <c r="G653" s="12">
        <v>300</v>
      </c>
      <c r="H653">
        <v>1535</v>
      </c>
      <c r="J653" s="38">
        <v>25</v>
      </c>
      <c r="L653">
        <v>1</v>
      </c>
      <c r="M653" t="s">
        <v>5694</v>
      </c>
      <c r="O653" t="s">
        <v>5494</v>
      </c>
      <c r="P653" t="s">
        <v>5495</v>
      </c>
      <c r="Q653" t="s">
        <v>5183</v>
      </c>
      <c r="R653" t="s">
        <v>5496</v>
      </c>
      <c r="S653">
        <v>2021</v>
      </c>
      <c r="T653" s="2">
        <v>44378</v>
      </c>
      <c r="U653" t="s">
        <v>5497</v>
      </c>
      <c r="W653" t="s">
        <v>5498</v>
      </c>
      <c r="Y653">
        <f t="shared" si="30"/>
        <v>300</v>
      </c>
      <c r="Z653">
        <f t="shared" si="31"/>
        <v>3</v>
      </c>
      <c r="AA653">
        <f t="shared" si="32"/>
        <v>0</v>
      </c>
    </row>
    <row r="654" spans="1:27" x14ac:dyDescent="0.3">
      <c r="A654" t="s">
        <v>1350</v>
      </c>
      <c r="B654" t="s">
        <v>5413</v>
      </c>
      <c r="C654">
        <v>34440700</v>
      </c>
      <c r="D654" t="s">
        <v>5423</v>
      </c>
      <c r="F654" t="s">
        <v>1405</v>
      </c>
      <c r="G654" s="12">
        <v>59</v>
      </c>
      <c r="H654">
        <v>96</v>
      </c>
      <c r="J654" s="38">
        <v>4</v>
      </c>
      <c r="L654">
        <v>1</v>
      </c>
      <c r="M654" t="s">
        <v>413</v>
      </c>
      <c r="O654" t="s">
        <v>5499</v>
      </c>
      <c r="P654" t="s">
        <v>5500</v>
      </c>
      <c r="Q654" t="s">
        <v>5501</v>
      </c>
      <c r="R654" t="s">
        <v>2875</v>
      </c>
      <c r="S654">
        <v>2021</v>
      </c>
      <c r="T654" s="2">
        <v>44435</v>
      </c>
      <c r="U654" t="s">
        <v>5502</v>
      </c>
      <c r="W654" t="s">
        <v>5503</v>
      </c>
      <c r="Y654">
        <f t="shared" si="30"/>
        <v>59</v>
      </c>
      <c r="Z654">
        <f t="shared" si="31"/>
        <v>0</v>
      </c>
      <c r="AA654">
        <f t="shared" si="32"/>
        <v>1</v>
      </c>
    </row>
    <row r="655" spans="1:27" x14ac:dyDescent="0.3">
      <c r="A655" t="s">
        <v>1350</v>
      </c>
      <c r="B655" t="s">
        <v>5413</v>
      </c>
      <c r="C655">
        <v>34156155</v>
      </c>
      <c r="D655" t="s">
        <v>5424</v>
      </c>
      <c r="F655" t="s">
        <v>34</v>
      </c>
      <c r="G655" s="12">
        <v>1342</v>
      </c>
      <c r="H655">
        <v>252</v>
      </c>
      <c r="I655">
        <v>4</v>
      </c>
      <c r="J655" s="39" t="s">
        <v>5681</v>
      </c>
      <c r="L655">
        <v>3</v>
      </c>
      <c r="M655" t="s">
        <v>413</v>
      </c>
      <c r="N655" t="s">
        <v>5684</v>
      </c>
      <c r="O655" t="s">
        <v>5504</v>
      </c>
      <c r="P655" t="s">
        <v>5505</v>
      </c>
      <c r="Q655" t="s">
        <v>5506</v>
      </c>
      <c r="R655" t="s">
        <v>326</v>
      </c>
      <c r="S655">
        <v>2021</v>
      </c>
      <c r="T655" s="2">
        <v>44369</v>
      </c>
      <c r="U655" t="s">
        <v>5507</v>
      </c>
      <c r="W655" t="s">
        <v>5508</v>
      </c>
      <c r="Y655">
        <f t="shared" si="30"/>
        <v>4026</v>
      </c>
      <c r="Z655">
        <f t="shared" si="31"/>
        <v>41</v>
      </c>
      <c r="AA655">
        <f t="shared" si="32"/>
        <v>1</v>
      </c>
    </row>
    <row r="656" spans="1:27" x14ac:dyDescent="0.3">
      <c r="A656" t="s">
        <v>1350</v>
      </c>
      <c r="B656" t="s">
        <v>5413</v>
      </c>
      <c r="C656">
        <v>34558059</v>
      </c>
      <c r="D656" t="s">
        <v>5425</v>
      </c>
      <c r="F656" t="s">
        <v>1405</v>
      </c>
      <c r="G656" s="12">
        <v>40</v>
      </c>
      <c r="J656" s="38">
        <v>2</v>
      </c>
      <c r="L656">
        <v>1</v>
      </c>
      <c r="M656" t="s">
        <v>5695</v>
      </c>
      <c r="O656" t="s">
        <v>5509</v>
      </c>
      <c r="P656" t="s">
        <v>5510</v>
      </c>
      <c r="Q656" t="s">
        <v>5511</v>
      </c>
      <c r="R656" t="s">
        <v>1768</v>
      </c>
      <c r="S656">
        <v>2021</v>
      </c>
      <c r="T656" s="2">
        <v>44463</v>
      </c>
      <c r="W656" t="s">
        <v>5512</v>
      </c>
      <c r="Y656">
        <f t="shared" si="30"/>
        <v>40</v>
      </c>
      <c r="Z656">
        <f t="shared" si="31"/>
        <v>0</v>
      </c>
      <c r="AA656">
        <f t="shared" si="32"/>
        <v>0</v>
      </c>
    </row>
    <row r="657" spans="1:27" x14ac:dyDescent="0.3">
      <c r="A657" t="s">
        <v>1350</v>
      </c>
      <c r="B657" t="s">
        <v>5413</v>
      </c>
      <c r="C657">
        <v>34267111</v>
      </c>
      <c r="D657" t="s">
        <v>5426</v>
      </c>
      <c r="F657" t="s">
        <v>627</v>
      </c>
      <c r="G657" s="12">
        <v>495</v>
      </c>
      <c r="H657">
        <v>96</v>
      </c>
      <c r="J657" s="38">
        <v>2</v>
      </c>
      <c r="L657">
        <v>1</v>
      </c>
      <c r="M657" t="s">
        <v>413</v>
      </c>
      <c r="N657" t="s">
        <v>5685</v>
      </c>
      <c r="O657" t="s">
        <v>5513</v>
      </c>
      <c r="P657" t="s">
        <v>5514</v>
      </c>
      <c r="Q657" t="s">
        <v>5515</v>
      </c>
      <c r="R657" t="s">
        <v>5516</v>
      </c>
      <c r="S657">
        <v>2021</v>
      </c>
      <c r="T657" s="2">
        <v>44393</v>
      </c>
      <c r="W657" t="s">
        <v>5517</v>
      </c>
      <c r="Y657">
        <f t="shared" si="30"/>
        <v>495</v>
      </c>
      <c r="Z657">
        <f t="shared" si="31"/>
        <v>5</v>
      </c>
      <c r="AA657">
        <f t="shared" si="32"/>
        <v>0</v>
      </c>
    </row>
    <row r="658" spans="1:27" x14ac:dyDescent="0.3">
      <c r="A658" t="s">
        <v>1350</v>
      </c>
      <c r="B658" t="s">
        <v>5413</v>
      </c>
      <c r="C658">
        <v>34050710</v>
      </c>
      <c r="D658" t="s">
        <v>5427</v>
      </c>
      <c r="F658" t="s">
        <v>34</v>
      </c>
      <c r="G658" s="12">
        <v>575</v>
      </c>
      <c r="H658">
        <v>96</v>
      </c>
      <c r="J658" s="38">
        <v>13</v>
      </c>
      <c r="L658">
        <v>1</v>
      </c>
      <c r="M658" t="s">
        <v>666</v>
      </c>
      <c r="O658" t="s">
        <v>5518</v>
      </c>
      <c r="P658" t="s">
        <v>5519</v>
      </c>
      <c r="Q658" t="s">
        <v>5092</v>
      </c>
      <c r="R658" t="s">
        <v>326</v>
      </c>
      <c r="S658">
        <v>2021</v>
      </c>
      <c r="T658" s="2">
        <v>44345</v>
      </c>
      <c r="U658" t="s">
        <v>5520</v>
      </c>
      <c r="W658" t="s">
        <v>5521</v>
      </c>
      <c r="Y658">
        <f t="shared" si="30"/>
        <v>575</v>
      </c>
      <c r="Z658">
        <f t="shared" si="31"/>
        <v>5</v>
      </c>
      <c r="AA658">
        <f t="shared" si="32"/>
        <v>1</v>
      </c>
    </row>
    <row r="659" spans="1:27" x14ac:dyDescent="0.3">
      <c r="A659" t="s">
        <v>1350</v>
      </c>
      <c r="B659" t="s">
        <v>5413</v>
      </c>
      <c r="C659">
        <v>33751402</v>
      </c>
      <c r="D659" t="s">
        <v>5428</v>
      </c>
      <c r="F659" t="s">
        <v>5670</v>
      </c>
      <c r="G659" s="12">
        <v>120</v>
      </c>
      <c r="H659">
        <v>96</v>
      </c>
      <c r="J659" s="38">
        <v>54</v>
      </c>
      <c r="L659">
        <v>1</v>
      </c>
      <c r="M659" t="s">
        <v>413</v>
      </c>
      <c r="O659" t="s">
        <v>5522</v>
      </c>
      <c r="P659" t="s">
        <v>5523</v>
      </c>
      <c r="Q659" t="s">
        <v>5524</v>
      </c>
      <c r="R659" t="s">
        <v>1065</v>
      </c>
      <c r="S659">
        <v>2021</v>
      </c>
      <c r="T659" s="2">
        <v>44277</v>
      </c>
      <c r="U659" t="s">
        <v>5525</v>
      </c>
      <c r="W659" t="s">
        <v>5526</v>
      </c>
      <c r="Y659">
        <f t="shared" si="30"/>
        <v>120</v>
      </c>
      <c r="Z659">
        <f t="shared" si="31"/>
        <v>1</v>
      </c>
      <c r="AA659">
        <f t="shared" si="32"/>
        <v>0</v>
      </c>
    </row>
    <row r="660" spans="1:27" x14ac:dyDescent="0.3">
      <c r="A660" t="s">
        <v>1350</v>
      </c>
      <c r="B660" t="s">
        <v>5413</v>
      </c>
      <c r="C660">
        <v>34498487</v>
      </c>
      <c r="D660" t="s">
        <v>5429</v>
      </c>
      <c r="F660" t="s">
        <v>532</v>
      </c>
      <c r="G660" s="12">
        <v>150</v>
      </c>
      <c r="H660">
        <v>96</v>
      </c>
      <c r="I660">
        <v>46</v>
      </c>
      <c r="J660" s="38">
        <v>5</v>
      </c>
      <c r="L660">
        <v>1</v>
      </c>
      <c r="M660" t="s">
        <v>413</v>
      </c>
      <c r="O660" t="s">
        <v>5527</v>
      </c>
      <c r="P660" t="s">
        <v>5528</v>
      </c>
      <c r="Q660" t="s">
        <v>5529</v>
      </c>
      <c r="R660" t="s">
        <v>5398</v>
      </c>
      <c r="S660">
        <v>2021</v>
      </c>
      <c r="T660" s="2">
        <v>44448</v>
      </c>
      <c r="W660" t="s">
        <v>5530</v>
      </c>
      <c r="Y660">
        <f t="shared" si="30"/>
        <v>150</v>
      </c>
      <c r="Z660">
        <f t="shared" si="31"/>
        <v>1</v>
      </c>
      <c r="AA660">
        <f t="shared" si="32"/>
        <v>1</v>
      </c>
    </row>
    <row r="661" spans="1:27" x14ac:dyDescent="0.3">
      <c r="A661" t="s">
        <v>1350</v>
      </c>
      <c r="B661" t="s">
        <v>5413</v>
      </c>
      <c r="C661">
        <v>33667475</v>
      </c>
      <c r="D661" t="s">
        <v>5430</v>
      </c>
      <c r="F661" t="s">
        <v>2823</v>
      </c>
      <c r="G661" s="12">
        <v>43</v>
      </c>
      <c r="H661">
        <v>96</v>
      </c>
      <c r="J661" s="38">
        <v>4</v>
      </c>
      <c r="L661">
        <v>1</v>
      </c>
      <c r="M661" t="s">
        <v>413</v>
      </c>
      <c r="O661" t="s">
        <v>5531</v>
      </c>
      <c r="P661" t="s">
        <v>5532</v>
      </c>
      <c r="Q661" t="s">
        <v>5533</v>
      </c>
      <c r="R661" t="s">
        <v>2812</v>
      </c>
      <c r="S661">
        <v>2021</v>
      </c>
      <c r="T661" s="2">
        <v>44260</v>
      </c>
      <c r="W661" t="s">
        <v>5534</v>
      </c>
      <c r="Y661">
        <f t="shared" si="30"/>
        <v>43</v>
      </c>
      <c r="Z661">
        <f t="shared" si="31"/>
        <v>0</v>
      </c>
      <c r="AA661">
        <f t="shared" si="32"/>
        <v>0</v>
      </c>
    </row>
    <row r="662" spans="1:27" x14ac:dyDescent="0.3">
      <c r="A662" t="s">
        <v>1350</v>
      </c>
      <c r="B662" t="s">
        <v>5413</v>
      </c>
      <c r="C662">
        <v>34223649</v>
      </c>
      <c r="D662" t="s">
        <v>4867</v>
      </c>
      <c r="F662" t="s">
        <v>2823</v>
      </c>
      <c r="G662" s="12">
        <v>138</v>
      </c>
      <c r="H662">
        <v>184</v>
      </c>
      <c r="J662" s="38" t="s">
        <v>4782</v>
      </c>
      <c r="L662">
        <v>2</v>
      </c>
      <c r="M662" t="s">
        <v>413</v>
      </c>
      <c r="N662" t="s">
        <v>5686</v>
      </c>
      <c r="O662" t="s">
        <v>4868</v>
      </c>
      <c r="P662" t="s">
        <v>4869</v>
      </c>
      <c r="Q662" t="s">
        <v>4870</v>
      </c>
      <c r="R662" t="s">
        <v>4871</v>
      </c>
      <c r="S662">
        <v>2021</v>
      </c>
      <c r="T662" s="2">
        <v>44382</v>
      </c>
      <c r="W662" t="s">
        <v>4872</v>
      </c>
      <c r="Y662">
        <f t="shared" si="30"/>
        <v>276</v>
      </c>
      <c r="Z662">
        <f t="shared" si="31"/>
        <v>2</v>
      </c>
      <c r="AA662">
        <f t="shared" si="32"/>
        <v>1</v>
      </c>
    </row>
    <row r="663" spans="1:27" x14ac:dyDescent="0.3">
      <c r="A663" t="s">
        <v>1350</v>
      </c>
      <c r="B663" t="s">
        <v>5413</v>
      </c>
      <c r="C663">
        <v>33830511</v>
      </c>
      <c r="D663" t="s">
        <v>5431</v>
      </c>
      <c r="F663" t="s">
        <v>5671</v>
      </c>
      <c r="G663" s="12" t="s">
        <v>4989</v>
      </c>
      <c r="J663" s="38">
        <v>7</v>
      </c>
      <c r="L663">
        <v>1</v>
      </c>
      <c r="M663" t="s">
        <v>5695</v>
      </c>
      <c r="O663" t="s">
        <v>5535</v>
      </c>
      <c r="P663" t="s">
        <v>5536</v>
      </c>
      <c r="Q663" t="s">
        <v>5537</v>
      </c>
      <c r="R663" t="s">
        <v>389</v>
      </c>
      <c r="S663">
        <v>2021</v>
      </c>
      <c r="T663" s="2">
        <v>44294</v>
      </c>
      <c r="W663" t="s">
        <v>5538</v>
      </c>
      <c r="Y663" t="str">
        <f t="shared" si="30"/>
        <v>N/A</v>
      </c>
      <c r="Z663" t="str">
        <f t="shared" si="31"/>
        <v/>
      </c>
      <c r="AA663" t="str">
        <f t="shared" si="32"/>
        <v/>
      </c>
    </row>
    <row r="664" spans="1:27" x14ac:dyDescent="0.3">
      <c r="A664" t="s">
        <v>1350</v>
      </c>
      <c r="B664" t="s">
        <v>5413</v>
      </c>
      <c r="C664">
        <v>34254293</v>
      </c>
      <c r="D664" t="s">
        <v>5432</v>
      </c>
      <c r="F664" t="s">
        <v>2823</v>
      </c>
      <c r="G664" s="12">
        <v>31</v>
      </c>
      <c r="H664">
        <v>1536</v>
      </c>
      <c r="J664" s="38">
        <v>434</v>
      </c>
      <c r="L664">
        <v>1</v>
      </c>
      <c r="M664" t="s">
        <v>5694</v>
      </c>
      <c r="O664" t="s">
        <v>5539</v>
      </c>
      <c r="P664" t="s">
        <v>5540</v>
      </c>
      <c r="Q664" t="s">
        <v>4209</v>
      </c>
      <c r="R664" t="s">
        <v>4210</v>
      </c>
      <c r="S664">
        <v>2021</v>
      </c>
      <c r="T664" s="2">
        <v>44390</v>
      </c>
      <c r="W664" t="s">
        <v>5541</v>
      </c>
      <c r="Y664">
        <f t="shared" si="30"/>
        <v>31</v>
      </c>
      <c r="Z664">
        <f t="shared" si="31"/>
        <v>0</v>
      </c>
      <c r="AA664">
        <f t="shared" si="32"/>
        <v>0</v>
      </c>
    </row>
    <row r="665" spans="1:27" x14ac:dyDescent="0.3">
      <c r="A665" t="s">
        <v>1350</v>
      </c>
      <c r="B665" t="s">
        <v>5413</v>
      </c>
      <c r="C665">
        <v>34032505</v>
      </c>
      <c r="D665" t="s">
        <v>5433</v>
      </c>
      <c r="F665" t="s">
        <v>5672</v>
      </c>
      <c r="G665" s="12">
        <v>283</v>
      </c>
      <c r="H665">
        <v>184</v>
      </c>
      <c r="J665" s="38">
        <v>5</v>
      </c>
      <c r="L665">
        <v>2</v>
      </c>
      <c r="M665" t="s">
        <v>413</v>
      </c>
      <c r="N665" t="s">
        <v>5687</v>
      </c>
      <c r="O665" t="s">
        <v>5542</v>
      </c>
      <c r="P665" t="s">
        <v>5543</v>
      </c>
      <c r="Q665" t="s">
        <v>5544</v>
      </c>
      <c r="R665" t="s">
        <v>5545</v>
      </c>
      <c r="S665">
        <v>2021</v>
      </c>
      <c r="T665" s="2">
        <v>44341</v>
      </c>
      <c r="W665" t="s">
        <v>5546</v>
      </c>
      <c r="Y665">
        <f t="shared" si="30"/>
        <v>566</v>
      </c>
      <c r="Z665">
        <f t="shared" si="31"/>
        <v>5</v>
      </c>
      <c r="AA665">
        <f t="shared" si="32"/>
        <v>1</v>
      </c>
    </row>
    <row r="666" spans="1:27" x14ac:dyDescent="0.3">
      <c r="A666" t="s">
        <v>1350</v>
      </c>
      <c r="B666" t="s">
        <v>5413</v>
      </c>
      <c r="C666">
        <v>34100060</v>
      </c>
      <c r="D666" t="s">
        <v>5434</v>
      </c>
      <c r="F666" t="s">
        <v>34</v>
      </c>
      <c r="G666" s="12">
        <v>1099</v>
      </c>
      <c r="H666">
        <v>175</v>
      </c>
      <c r="J666" s="38">
        <v>5</v>
      </c>
      <c r="L666">
        <v>2</v>
      </c>
      <c r="M666" t="s">
        <v>413</v>
      </c>
      <c r="N666" t="s">
        <v>5688</v>
      </c>
      <c r="O666" t="s">
        <v>5547</v>
      </c>
      <c r="P666" t="s">
        <v>5548</v>
      </c>
      <c r="Q666" t="s">
        <v>5549</v>
      </c>
      <c r="R666" t="s">
        <v>5550</v>
      </c>
      <c r="S666">
        <v>2021</v>
      </c>
      <c r="T666" s="2">
        <v>44355</v>
      </c>
      <c r="W666" t="s">
        <v>5551</v>
      </c>
      <c r="Y666">
        <f t="shared" si="30"/>
        <v>2198</v>
      </c>
      <c r="Z666">
        <f t="shared" si="31"/>
        <v>22</v>
      </c>
      <c r="AA666">
        <f t="shared" si="32"/>
        <v>1</v>
      </c>
    </row>
    <row r="667" spans="1:27" x14ac:dyDescent="0.3">
      <c r="A667" t="s">
        <v>1350</v>
      </c>
      <c r="B667" t="s">
        <v>5413</v>
      </c>
      <c r="C667">
        <v>34151535</v>
      </c>
      <c r="D667" t="s">
        <v>5435</v>
      </c>
      <c r="F667" t="s">
        <v>3085</v>
      </c>
      <c r="G667" s="12">
        <v>1478</v>
      </c>
      <c r="H667">
        <v>252</v>
      </c>
      <c r="J667" s="38">
        <v>6</v>
      </c>
      <c r="L667">
        <v>3</v>
      </c>
      <c r="M667" t="s">
        <v>666</v>
      </c>
      <c r="N667" t="s">
        <v>5689</v>
      </c>
      <c r="O667" t="s">
        <v>5552</v>
      </c>
      <c r="P667" t="s">
        <v>5553</v>
      </c>
      <c r="Q667" t="s">
        <v>237</v>
      </c>
      <c r="R667" t="s">
        <v>5554</v>
      </c>
      <c r="S667">
        <v>2021</v>
      </c>
      <c r="T667" s="2">
        <v>44368</v>
      </c>
      <c r="U667" t="s">
        <v>5555</v>
      </c>
      <c r="W667" t="s">
        <v>5556</v>
      </c>
      <c r="Y667">
        <f t="shared" si="30"/>
        <v>4434</v>
      </c>
      <c r="Z667">
        <f t="shared" si="31"/>
        <v>46</v>
      </c>
      <c r="AA667">
        <f t="shared" si="32"/>
        <v>0</v>
      </c>
    </row>
    <row r="668" spans="1:27" x14ac:dyDescent="0.3">
      <c r="A668" t="s">
        <v>1350</v>
      </c>
      <c r="B668" t="s">
        <v>5413</v>
      </c>
      <c r="C668">
        <v>33751690</v>
      </c>
      <c r="D668" t="s">
        <v>5436</v>
      </c>
      <c r="F668" t="s">
        <v>532</v>
      </c>
      <c r="G668" s="37">
        <v>2430</v>
      </c>
      <c r="H668">
        <v>252</v>
      </c>
      <c r="J668" s="38">
        <v>5</v>
      </c>
      <c r="L668">
        <v>3</v>
      </c>
      <c r="M668" t="s">
        <v>666</v>
      </c>
      <c r="N668" t="s">
        <v>5689</v>
      </c>
      <c r="O668" t="s">
        <v>5557</v>
      </c>
      <c r="P668" t="s">
        <v>5558</v>
      </c>
      <c r="Q668" t="s">
        <v>5559</v>
      </c>
      <c r="R668" t="s">
        <v>5560</v>
      </c>
      <c r="S668">
        <v>2021</v>
      </c>
      <c r="T668" s="2">
        <v>44277</v>
      </c>
      <c r="W668" t="s">
        <v>5561</v>
      </c>
      <c r="Y668">
        <f t="shared" si="30"/>
        <v>7290</v>
      </c>
      <c r="Z668">
        <f t="shared" si="31"/>
        <v>75</v>
      </c>
      <c r="AA668">
        <f t="shared" si="32"/>
        <v>1</v>
      </c>
    </row>
    <row r="669" spans="1:27" x14ac:dyDescent="0.3">
      <c r="A669" t="s">
        <v>1350</v>
      </c>
      <c r="B669" t="s">
        <v>5413</v>
      </c>
      <c r="C669">
        <v>34346268</v>
      </c>
      <c r="D669" t="s">
        <v>5437</v>
      </c>
      <c r="F669" t="s">
        <v>34</v>
      </c>
      <c r="G669" s="12" t="s">
        <v>4989</v>
      </c>
      <c r="H669">
        <v>96</v>
      </c>
      <c r="J669" s="38">
        <v>9</v>
      </c>
      <c r="L669">
        <v>1</v>
      </c>
      <c r="M669" t="s">
        <v>413</v>
      </c>
      <c r="O669" t="s">
        <v>5562</v>
      </c>
      <c r="P669" t="s">
        <v>5563</v>
      </c>
      <c r="Q669" t="s">
        <v>5564</v>
      </c>
      <c r="R669" t="s">
        <v>5565</v>
      </c>
      <c r="S669">
        <v>2021</v>
      </c>
      <c r="T669" s="2">
        <v>44412</v>
      </c>
      <c r="W669" t="s">
        <v>5566</v>
      </c>
      <c r="Y669" t="str">
        <f t="shared" si="30"/>
        <v>N/A</v>
      </c>
      <c r="Z669" t="str">
        <f t="shared" si="31"/>
        <v/>
      </c>
      <c r="AA669" t="str">
        <f t="shared" si="32"/>
        <v/>
      </c>
    </row>
    <row r="670" spans="1:27" x14ac:dyDescent="0.3">
      <c r="A670" t="s">
        <v>1350</v>
      </c>
      <c r="B670" t="s">
        <v>5413</v>
      </c>
      <c r="C670">
        <v>33151525</v>
      </c>
      <c r="D670" t="s">
        <v>5438</v>
      </c>
      <c r="F670" t="s">
        <v>655</v>
      </c>
      <c r="G670" s="12">
        <v>69</v>
      </c>
      <c r="H670">
        <v>96</v>
      </c>
      <c r="J670" s="38">
        <v>13</v>
      </c>
      <c r="L670">
        <v>1</v>
      </c>
      <c r="M670" t="s">
        <v>413</v>
      </c>
      <c r="O670" t="s">
        <v>5567</v>
      </c>
      <c r="P670" t="s">
        <v>5568</v>
      </c>
      <c r="Q670" t="s">
        <v>5569</v>
      </c>
      <c r="R670" t="s">
        <v>700</v>
      </c>
      <c r="S670">
        <v>2021</v>
      </c>
      <c r="T670" s="2">
        <v>44140</v>
      </c>
      <c r="W670" t="s">
        <v>5570</v>
      </c>
      <c r="Y670">
        <f t="shared" si="30"/>
        <v>69</v>
      </c>
      <c r="Z670">
        <f t="shared" si="31"/>
        <v>0</v>
      </c>
      <c r="AA670">
        <f t="shared" si="32"/>
        <v>1</v>
      </c>
    </row>
    <row r="671" spans="1:27" x14ac:dyDescent="0.3">
      <c r="A671" t="s">
        <v>1350</v>
      </c>
      <c r="B671" t="s">
        <v>5413</v>
      </c>
      <c r="C671">
        <v>34318583</v>
      </c>
      <c r="D671" t="s">
        <v>5439</v>
      </c>
      <c r="F671" t="s">
        <v>153</v>
      </c>
      <c r="G671" s="12">
        <v>69</v>
      </c>
      <c r="H671">
        <v>96</v>
      </c>
      <c r="J671" s="38">
        <v>4</v>
      </c>
      <c r="L671">
        <v>1</v>
      </c>
      <c r="M671" t="s">
        <v>666</v>
      </c>
      <c r="O671" t="s">
        <v>5571</v>
      </c>
      <c r="P671" t="s">
        <v>5572</v>
      </c>
      <c r="Q671" t="s">
        <v>5573</v>
      </c>
      <c r="R671" t="s">
        <v>5574</v>
      </c>
      <c r="S671">
        <v>2021</v>
      </c>
      <c r="T671" s="2">
        <v>44405</v>
      </c>
      <c r="W671" t="s">
        <v>5575</v>
      </c>
      <c r="Y671">
        <f t="shared" si="30"/>
        <v>69</v>
      </c>
      <c r="Z671">
        <f t="shared" si="31"/>
        <v>0</v>
      </c>
      <c r="AA671">
        <f t="shared" si="32"/>
        <v>1</v>
      </c>
    </row>
    <row r="672" spans="1:27" x14ac:dyDescent="0.3">
      <c r="A672" t="s">
        <v>1350</v>
      </c>
      <c r="B672" t="s">
        <v>5413</v>
      </c>
      <c r="C672">
        <v>34561618</v>
      </c>
      <c r="D672" t="s">
        <v>5440</v>
      </c>
      <c r="F672" t="s">
        <v>5079</v>
      </c>
      <c r="G672" s="12">
        <v>52</v>
      </c>
      <c r="H672">
        <v>184</v>
      </c>
      <c r="J672" s="38" t="s">
        <v>4782</v>
      </c>
      <c r="L672">
        <v>2</v>
      </c>
      <c r="M672" t="s">
        <v>666</v>
      </c>
      <c r="N672" t="s">
        <v>5690</v>
      </c>
      <c r="O672" t="s">
        <v>5576</v>
      </c>
      <c r="P672" t="s">
        <v>5577</v>
      </c>
      <c r="Q672" t="s">
        <v>5578</v>
      </c>
      <c r="R672" t="s">
        <v>5579</v>
      </c>
      <c r="S672">
        <v>2021</v>
      </c>
      <c r="T672" s="2">
        <v>44464</v>
      </c>
      <c r="U672" t="s">
        <v>5580</v>
      </c>
      <c r="W672" t="s">
        <v>5581</v>
      </c>
      <c r="Y672">
        <f t="shared" si="30"/>
        <v>104</v>
      </c>
      <c r="Z672">
        <f t="shared" si="31"/>
        <v>1</v>
      </c>
      <c r="AA672">
        <f t="shared" si="32"/>
        <v>0</v>
      </c>
    </row>
    <row r="673" spans="1:27" x14ac:dyDescent="0.3">
      <c r="A673" t="s">
        <v>1350</v>
      </c>
      <c r="B673" t="s">
        <v>5413</v>
      </c>
      <c r="C673">
        <v>34174102</v>
      </c>
      <c r="D673" t="s">
        <v>5441</v>
      </c>
      <c r="F673" t="s">
        <v>5079</v>
      </c>
      <c r="G673" s="12">
        <v>66</v>
      </c>
      <c r="H673">
        <v>184</v>
      </c>
      <c r="J673" s="38">
        <v>2</v>
      </c>
      <c r="L673">
        <v>2</v>
      </c>
      <c r="M673" t="s">
        <v>413</v>
      </c>
      <c r="N673" t="s">
        <v>5686</v>
      </c>
      <c r="O673" t="s">
        <v>5582</v>
      </c>
      <c r="P673" t="s">
        <v>5583</v>
      </c>
      <c r="Q673" t="s">
        <v>5584</v>
      </c>
      <c r="R673" t="s">
        <v>5585</v>
      </c>
      <c r="S673">
        <v>2021</v>
      </c>
      <c r="T673" s="2">
        <v>44373</v>
      </c>
      <c r="U673" t="s">
        <v>5586</v>
      </c>
      <c r="W673" t="s">
        <v>5587</v>
      </c>
      <c r="Y673">
        <f t="shared" si="30"/>
        <v>132</v>
      </c>
      <c r="Z673">
        <f t="shared" si="31"/>
        <v>1</v>
      </c>
      <c r="AA673">
        <f t="shared" si="32"/>
        <v>0</v>
      </c>
    </row>
    <row r="674" spans="1:27" x14ac:dyDescent="0.3">
      <c r="A674" t="s">
        <v>1350</v>
      </c>
      <c r="B674" t="s">
        <v>5413</v>
      </c>
      <c r="C674">
        <v>34402882</v>
      </c>
      <c r="D674" t="s">
        <v>5442</v>
      </c>
      <c r="F674" t="s">
        <v>5673</v>
      </c>
      <c r="G674" s="12">
        <v>97</v>
      </c>
      <c r="H674">
        <v>96</v>
      </c>
      <c r="J674" s="38">
        <v>5</v>
      </c>
      <c r="L674">
        <v>1</v>
      </c>
      <c r="M674" t="s">
        <v>413</v>
      </c>
      <c r="O674" t="s">
        <v>5588</v>
      </c>
      <c r="P674" t="s">
        <v>5589</v>
      </c>
      <c r="Q674" t="s">
        <v>5590</v>
      </c>
      <c r="R674" t="s">
        <v>5591</v>
      </c>
      <c r="S674">
        <v>2021</v>
      </c>
      <c r="T674" s="2">
        <v>44425</v>
      </c>
      <c r="U674" t="s">
        <v>5592</v>
      </c>
      <c r="W674" t="s">
        <v>5593</v>
      </c>
      <c r="Y674">
        <f t="shared" si="30"/>
        <v>97</v>
      </c>
      <c r="Z674">
        <f t="shared" si="31"/>
        <v>1</v>
      </c>
      <c r="AA674">
        <f t="shared" si="32"/>
        <v>0</v>
      </c>
    </row>
    <row r="675" spans="1:27" x14ac:dyDescent="0.3">
      <c r="A675" t="s">
        <v>1350</v>
      </c>
      <c r="B675" t="s">
        <v>5413</v>
      </c>
      <c r="C675">
        <v>34390530</v>
      </c>
      <c r="D675" t="s">
        <v>5443</v>
      </c>
      <c r="F675" t="s">
        <v>23</v>
      </c>
      <c r="G675" s="12">
        <v>4200</v>
      </c>
      <c r="H675">
        <v>252</v>
      </c>
      <c r="J675" s="38">
        <v>9</v>
      </c>
      <c r="L675">
        <v>3</v>
      </c>
      <c r="M675" t="s">
        <v>413</v>
      </c>
      <c r="N675" t="s">
        <v>5691</v>
      </c>
      <c r="O675" t="s">
        <v>5594</v>
      </c>
      <c r="P675" t="s">
        <v>5595</v>
      </c>
      <c r="Q675" t="s">
        <v>5596</v>
      </c>
      <c r="R675" t="s">
        <v>5597</v>
      </c>
      <c r="S675">
        <v>2021</v>
      </c>
      <c r="T675" s="2">
        <v>44422</v>
      </c>
      <c r="W675" t="s">
        <v>5598</v>
      </c>
      <c r="Y675">
        <f t="shared" si="30"/>
        <v>12600</v>
      </c>
      <c r="Z675">
        <f t="shared" si="31"/>
        <v>131</v>
      </c>
      <c r="AA675">
        <f t="shared" si="32"/>
        <v>0</v>
      </c>
    </row>
    <row r="676" spans="1:27" x14ac:dyDescent="0.3">
      <c r="A676" t="s">
        <v>1350</v>
      </c>
      <c r="B676" t="s">
        <v>5413</v>
      </c>
      <c r="C676">
        <v>34358298</v>
      </c>
      <c r="D676" t="s">
        <v>5444</v>
      </c>
      <c r="F676" t="s">
        <v>23</v>
      </c>
      <c r="G676" s="12">
        <v>5911</v>
      </c>
      <c r="H676">
        <v>252</v>
      </c>
      <c r="J676" s="38">
        <v>11</v>
      </c>
      <c r="L676">
        <v>3</v>
      </c>
      <c r="M676" t="s">
        <v>413</v>
      </c>
      <c r="N676" t="s">
        <v>5689</v>
      </c>
      <c r="O676" t="s">
        <v>5599</v>
      </c>
      <c r="P676" t="s">
        <v>5600</v>
      </c>
      <c r="Q676" t="s">
        <v>5601</v>
      </c>
      <c r="R676" t="s">
        <v>5602</v>
      </c>
      <c r="S676">
        <v>2021</v>
      </c>
      <c r="T676" s="2">
        <v>44414</v>
      </c>
      <c r="W676" t="s">
        <v>5603</v>
      </c>
      <c r="Y676">
        <f t="shared" si="30"/>
        <v>17733</v>
      </c>
      <c r="Z676">
        <f t="shared" si="31"/>
        <v>184</v>
      </c>
      <c r="AA676">
        <f t="shared" si="32"/>
        <v>1</v>
      </c>
    </row>
    <row r="677" spans="1:27" x14ac:dyDescent="0.3">
      <c r="A677" t="s">
        <v>1350</v>
      </c>
      <c r="B677" t="s">
        <v>5413</v>
      </c>
      <c r="C677">
        <v>34410878</v>
      </c>
      <c r="D677" t="s">
        <v>5445</v>
      </c>
      <c r="F677" t="s">
        <v>5674</v>
      </c>
      <c r="G677" s="12">
        <v>90</v>
      </c>
      <c r="H677">
        <v>184</v>
      </c>
      <c r="J677" s="38">
        <v>119</v>
      </c>
      <c r="L677">
        <v>2</v>
      </c>
      <c r="M677" t="s">
        <v>5695</v>
      </c>
      <c r="N677" t="s">
        <v>5686</v>
      </c>
      <c r="O677" t="s">
        <v>5604</v>
      </c>
      <c r="P677" t="s">
        <v>5605</v>
      </c>
      <c r="Q677" t="s">
        <v>5606</v>
      </c>
      <c r="R677" t="s">
        <v>5607</v>
      </c>
      <c r="S677">
        <v>2021</v>
      </c>
      <c r="T677" s="2">
        <v>44427</v>
      </c>
      <c r="W677" t="s">
        <v>5608</v>
      </c>
      <c r="Y677">
        <f t="shared" si="30"/>
        <v>180</v>
      </c>
      <c r="Z677">
        <f t="shared" si="31"/>
        <v>1</v>
      </c>
      <c r="AA677">
        <f t="shared" si="32"/>
        <v>1</v>
      </c>
    </row>
    <row r="678" spans="1:27" x14ac:dyDescent="0.3">
      <c r="A678" t="s">
        <v>1350</v>
      </c>
      <c r="B678" t="s">
        <v>5413</v>
      </c>
      <c r="C678">
        <v>34439141</v>
      </c>
      <c r="D678" t="s">
        <v>5446</v>
      </c>
      <c r="F678" t="s">
        <v>627</v>
      </c>
      <c r="G678" s="12">
        <v>83</v>
      </c>
      <c r="J678" s="38" t="s">
        <v>4782</v>
      </c>
      <c r="L678">
        <v>1</v>
      </c>
      <c r="M678" t="s">
        <v>5695</v>
      </c>
      <c r="N678" t="s">
        <v>5692</v>
      </c>
      <c r="O678" t="s">
        <v>5609</v>
      </c>
      <c r="P678" t="s">
        <v>5610</v>
      </c>
      <c r="Q678" t="s">
        <v>5611</v>
      </c>
      <c r="R678" t="s">
        <v>444</v>
      </c>
      <c r="S678">
        <v>2021</v>
      </c>
      <c r="T678" s="2">
        <v>44435</v>
      </c>
      <c r="U678" t="s">
        <v>5612</v>
      </c>
      <c r="W678" t="s">
        <v>5613</v>
      </c>
      <c r="Y678">
        <f t="shared" si="30"/>
        <v>83</v>
      </c>
      <c r="Z678">
        <f t="shared" si="31"/>
        <v>0</v>
      </c>
      <c r="AA678">
        <f t="shared" si="32"/>
        <v>1</v>
      </c>
    </row>
    <row r="679" spans="1:27" x14ac:dyDescent="0.3">
      <c r="A679" t="s">
        <v>1350</v>
      </c>
      <c r="B679" t="s">
        <v>5413</v>
      </c>
      <c r="C679">
        <v>34339761</v>
      </c>
      <c r="D679" t="s">
        <v>5447</v>
      </c>
      <c r="F679" t="s">
        <v>153</v>
      </c>
      <c r="G679" s="12">
        <v>35</v>
      </c>
      <c r="H679">
        <v>96</v>
      </c>
      <c r="I679">
        <v>57</v>
      </c>
      <c r="J679" s="38">
        <v>9</v>
      </c>
      <c r="L679">
        <v>1</v>
      </c>
      <c r="M679" t="s">
        <v>413</v>
      </c>
      <c r="O679" t="s">
        <v>5614</v>
      </c>
      <c r="P679" t="s">
        <v>5615</v>
      </c>
      <c r="Q679" t="s">
        <v>4209</v>
      </c>
      <c r="R679" t="s">
        <v>159</v>
      </c>
      <c r="S679">
        <v>2021</v>
      </c>
      <c r="T679" s="2">
        <v>44410</v>
      </c>
      <c r="W679" t="s">
        <v>5616</v>
      </c>
      <c r="Y679">
        <f t="shared" si="30"/>
        <v>35</v>
      </c>
      <c r="Z679">
        <f t="shared" si="31"/>
        <v>0</v>
      </c>
      <c r="AA679">
        <f t="shared" si="32"/>
        <v>0</v>
      </c>
    </row>
    <row r="680" spans="1:27" x14ac:dyDescent="0.3">
      <c r="A680" t="s">
        <v>1350</v>
      </c>
      <c r="B680" t="s">
        <v>5413</v>
      </c>
      <c r="C680">
        <v>34161857</v>
      </c>
      <c r="D680" t="s">
        <v>5448</v>
      </c>
      <c r="F680" t="s">
        <v>5675</v>
      </c>
      <c r="G680" s="12">
        <v>35</v>
      </c>
      <c r="H680">
        <v>96</v>
      </c>
      <c r="J680" s="38">
        <v>19</v>
      </c>
      <c r="L680">
        <v>1</v>
      </c>
      <c r="M680" t="s">
        <v>666</v>
      </c>
      <c r="O680" t="s">
        <v>5617</v>
      </c>
      <c r="P680" t="s">
        <v>5618</v>
      </c>
      <c r="Q680" t="s">
        <v>5619</v>
      </c>
      <c r="R680" t="s">
        <v>5620</v>
      </c>
      <c r="S680">
        <v>2021</v>
      </c>
      <c r="T680" s="2">
        <v>44370</v>
      </c>
      <c r="U680" t="s">
        <v>5621</v>
      </c>
      <c r="W680" t="s">
        <v>5622</v>
      </c>
      <c r="Y680">
        <f t="shared" si="30"/>
        <v>35</v>
      </c>
      <c r="Z680">
        <f t="shared" si="31"/>
        <v>0</v>
      </c>
      <c r="AA680">
        <f t="shared" si="32"/>
        <v>0</v>
      </c>
    </row>
    <row r="681" spans="1:27" x14ac:dyDescent="0.3">
      <c r="A681" t="s">
        <v>1350</v>
      </c>
      <c r="B681" t="s">
        <v>5413</v>
      </c>
      <c r="C681">
        <v>34231954</v>
      </c>
      <c r="D681" t="s">
        <v>5449</v>
      </c>
      <c r="F681" t="s">
        <v>23</v>
      </c>
      <c r="G681" s="12">
        <v>1998</v>
      </c>
      <c r="H681">
        <v>96</v>
      </c>
      <c r="J681" s="38">
        <v>5</v>
      </c>
      <c r="L681">
        <v>1</v>
      </c>
      <c r="M681" t="s">
        <v>413</v>
      </c>
      <c r="O681" t="s">
        <v>5623</v>
      </c>
      <c r="P681" t="s">
        <v>5624</v>
      </c>
      <c r="Q681" t="s">
        <v>5625</v>
      </c>
      <c r="R681" t="s">
        <v>4264</v>
      </c>
      <c r="S681">
        <v>2021</v>
      </c>
      <c r="T681" s="2">
        <v>44384</v>
      </c>
      <c r="W681" t="s">
        <v>5626</v>
      </c>
      <c r="Y681">
        <f t="shared" si="30"/>
        <v>1998</v>
      </c>
      <c r="Z681">
        <f t="shared" si="31"/>
        <v>20</v>
      </c>
      <c r="AA681">
        <f t="shared" si="32"/>
        <v>1</v>
      </c>
    </row>
    <row r="682" spans="1:27" x14ac:dyDescent="0.3">
      <c r="A682" t="s">
        <v>1350</v>
      </c>
      <c r="B682" t="s">
        <v>5413</v>
      </c>
      <c r="C682">
        <v>33721346</v>
      </c>
      <c r="D682" t="s">
        <v>5450</v>
      </c>
      <c r="F682" t="s">
        <v>2823</v>
      </c>
      <c r="G682" s="12">
        <v>26</v>
      </c>
      <c r="H682">
        <v>340</v>
      </c>
      <c r="I682">
        <v>5</v>
      </c>
      <c r="J682" s="38"/>
      <c r="L682">
        <v>4</v>
      </c>
      <c r="M682" t="s">
        <v>5696</v>
      </c>
      <c r="O682" t="s">
        <v>5627</v>
      </c>
      <c r="P682" t="s">
        <v>5628</v>
      </c>
      <c r="Q682" t="s">
        <v>5629</v>
      </c>
      <c r="R682" t="s">
        <v>389</v>
      </c>
      <c r="S682">
        <v>2021</v>
      </c>
      <c r="T682" s="2">
        <v>44270</v>
      </c>
      <c r="W682" t="s">
        <v>5630</v>
      </c>
      <c r="Y682">
        <f t="shared" si="30"/>
        <v>104</v>
      </c>
      <c r="Z682">
        <f t="shared" si="31"/>
        <v>1</v>
      </c>
      <c r="AA682">
        <f t="shared" si="32"/>
        <v>0</v>
      </c>
    </row>
    <row r="683" spans="1:27" x14ac:dyDescent="0.3">
      <c r="A683" t="s">
        <v>1350</v>
      </c>
      <c r="B683" t="s">
        <v>5413</v>
      </c>
      <c r="C683">
        <v>34496288</v>
      </c>
      <c r="D683" t="s">
        <v>5451</v>
      </c>
      <c r="F683" t="s">
        <v>23</v>
      </c>
      <c r="G683" s="12">
        <v>1082</v>
      </c>
      <c r="H683">
        <v>96</v>
      </c>
      <c r="J683" s="38">
        <v>11</v>
      </c>
      <c r="L683">
        <v>1</v>
      </c>
      <c r="M683" t="s">
        <v>413</v>
      </c>
      <c r="O683" t="s">
        <v>5631</v>
      </c>
      <c r="P683" t="s">
        <v>5632</v>
      </c>
      <c r="Q683" t="s">
        <v>5633</v>
      </c>
      <c r="R683" t="s">
        <v>5634</v>
      </c>
      <c r="S683">
        <v>2021</v>
      </c>
      <c r="T683" s="2">
        <v>44447</v>
      </c>
      <c r="W683" t="s">
        <v>5635</v>
      </c>
      <c r="Y683">
        <f t="shared" si="30"/>
        <v>1082</v>
      </c>
      <c r="Z683">
        <f t="shared" si="31"/>
        <v>11</v>
      </c>
      <c r="AA683">
        <f t="shared" si="32"/>
        <v>0</v>
      </c>
    </row>
    <row r="684" spans="1:27" x14ac:dyDescent="0.3">
      <c r="A684" t="s">
        <v>1350</v>
      </c>
      <c r="B684" t="s">
        <v>5413</v>
      </c>
      <c r="C684">
        <v>33682349</v>
      </c>
      <c r="D684" t="s">
        <v>5452</v>
      </c>
      <c r="F684" t="s">
        <v>23</v>
      </c>
      <c r="G684" s="12">
        <v>300</v>
      </c>
      <c r="H684">
        <v>96</v>
      </c>
      <c r="J684" s="38">
        <v>6</v>
      </c>
      <c r="L684">
        <v>1</v>
      </c>
      <c r="M684" t="s">
        <v>413</v>
      </c>
      <c r="O684" t="s">
        <v>5636</v>
      </c>
      <c r="P684" t="s">
        <v>5637</v>
      </c>
      <c r="Q684" t="s">
        <v>5638</v>
      </c>
      <c r="R684" t="s">
        <v>139</v>
      </c>
      <c r="S684">
        <v>2021</v>
      </c>
      <c r="T684" s="2">
        <v>44263</v>
      </c>
      <c r="W684" t="s">
        <v>5639</v>
      </c>
      <c r="Y684">
        <f t="shared" si="30"/>
        <v>300</v>
      </c>
      <c r="Z684">
        <f t="shared" si="31"/>
        <v>3</v>
      </c>
      <c r="AA684">
        <f t="shared" si="32"/>
        <v>0</v>
      </c>
    </row>
    <row r="685" spans="1:27" x14ac:dyDescent="0.3">
      <c r="A685" t="s">
        <v>1350</v>
      </c>
      <c r="B685" t="s">
        <v>5413</v>
      </c>
      <c r="C685">
        <v>34312731</v>
      </c>
      <c r="D685" t="s">
        <v>5453</v>
      </c>
      <c r="F685" t="s">
        <v>5676</v>
      </c>
      <c r="G685" s="12">
        <v>444</v>
      </c>
      <c r="H685">
        <v>96</v>
      </c>
      <c r="I685">
        <v>18</v>
      </c>
      <c r="J685" s="38">
        <v>9</v>
      </c>
      <c r="L685">
        <v>1</v>
      </c>
      <c r="M685" t="s">
        <v>413</v>
      </c>
      <c r="O685" t="s">
        <v>5640</v>
      </c>
      <c r="P685" t="s">
        <v>5641</v>
      </c>
      <c r="Q685" t="s">
        <v>5642</v>
      </c>
      <c r="R685" t="s">
        <v>5643</v>
      </c>
      <c r="S685">
        <v>2021</v>
      </c>
      <c r="T685" s="2">
        <v>44404</v>
      </c>
      <c r="U685" t="s">
        <v>5644</v>
      </c>
      <c r="W685" t="s">
        <v>5645</v>
      </c>
      <c r="Y685">
        <f t="shared" si="30"/>
        <v>444</v>
      </c>
      <c r="Z685">
        <f t="shared" si="31"/>
        <v>4</v>
      </c>
      <c r="AA685">
        <f t="shared" si="32"/>
        <v>1</v>
      </c>
    </row>
    <row r="686" spans="1:27" x14ac:dyDescent="0.3">
      <c r="A686" t="s">
        <v>1350</v>
      </c>
      <c r="B686" t="s">
        <v>5413</v>
      </c>
      <c r="C686">
        <v>34583636</v>
      </c>
      <c r="D686" t="s">
        <v>5454</v>
      </c>
      <c r="F686" t="s">
        <v>5677</v>
      </c>
      <c r="G686" s="12">
        <v>611</v>
      </c>
      <c r="H686">
        <v>252</v>
      </c>
      <c r="J686" s="38">
        <v>2</v>
      </c>
      <c r="L686">
        <v>3</v>
      </c>
      <c r="M686" t="s">
        <v>413</v>
      </c>
      <c r="N686" t="s">
        <v>5693</v>
      </c>
      <c r="O686" t="s">
        <v>5646</v>
      </c>
      <c r="P686" t="s">
        <v>5647</v>
      </c>
      <c r="Q686" t="s">
        <v>5648</v>
      </c>
      <c r="R686" t="s">
        <v>67</v>
      </c>
      <c r="S686">
        <v>2021</v>
      </c>
      <c r="T686" s="2">
        <v>44468</v>
      </c>
      <c r="U686" t="s">
        <v>5649</v>
      </c>
      <c r="W686" t="s">
        <v>5650</v>
      </c>
      <c r="Y686">
        <f t="shared" si="30"/>
        <v>1833</v>
      </c>
      <c r="Z686">
        <f t="shared" si="31"/>
        <v>19</v>
      </c>
      <c r="AA686">
        <f t="shared" si="32"/>
        <v>0</v>
      </c>
    </row>
    <row r="687" spans="1:27" x14ac:dyDescent="0.3">
      <c r="A687" t="s">
        <v>1350</v>
      </c>
      <c r="B687" t="s">
        <v>5413</v>
      </c>
      <c r="C687">
        <v>34385358</v>
      </c>
      <c r="D687" t="s">
        <v>5455</v>
      </c>
      <c r="F687" t="s">
        <v>5678</v>
      </c>
      <c r="G687" s="12">
        <v>200</v>
      </c>
      <c r="H687">
        <v>96</v>
      </c>
      <c r="J687" s="38">
        <v>8</v>
      </c>
      <c r="L687">
        <v>1</v>
      </c>
      <c r="M687" t="s">
        <v>666</v>
      </c>
      <c r="O687" t="s">
        <v>5651</v>
      </c>
      <c r="P687" t="s">
        <v>5652</v>
      </c>
      <c r="Q687" t="s">
        <v>5653</v>
      </c>
      <c r="R687" t="s">
        <v>5654</v>
      </c>
      <c r="S687">
        <v>2021</v>
      </c>
      <c r="T687" s="2">
        <v>44421</v>
      </c>
      <c r="U687" t="s">
        <v>5655</v>
      </c>
      <c r="W687" t="s">
        <v>5656</v>
      </c>
      <c r="Y687">
        <f t="shared" si="30"/>
        <v>200</v>
      </c>
      <c r="Z687">
        <f t="shared" si="31"/>
        <v>2</v>
      </c>
      <c r="AA687">
        <f t="shared" si="32"/>
        <v>0</v>
      </c>
    </row>
    <row r="688" spans="1:27" x14ac:dyDescent="0.3">
      <c r="A688" t="s">
        <v>1350</v>
      </c>
      <c r="B688" t="s">
        <v>5413</v>
      </c>
      <c r="C688">
        <v>34433766</v>
      </c>
      <c r="D688" t="s">
        <v>5456</v>
      </c>
      <c r="F688" t="s">
        <v>5679</v>
      </c>
      <c r="G688" s="12">
        <v>360</v>
      </c>
      <c r="H688">
        <v>96</v>
      </c>
      <c r="J688" s="38">
        <v>14</v>
      </c>
      <c r="L688">
        <v>1</v>
      </c>
      <c r="M688" t="s">
        <v>413</v>
      </c>
      <c r="O688" t="s">
        <v>5657</v>
      </c>
      <c r="P688" t="s">
        <v>5658</v>
      </c>
      <c r="Q688" t="s">
        <v>5659</v>
      </c>
      <c r="R688" t="s">
        <v>5660</v>
      </c>
      <c r="S688">
        <v>2021</v>
      </c>
      <c r="T688" s="2">
        <v>44434</v>
      </c>
      <c r="W688" t="s">
        <v>5661</v>
      </c>
      <c r="Y688">
        <f t="shared" si="30"/>
        <v>360</v>
      </c>
      <c r="Z688">
        <f t="shared" si="31"/>
        <v>3</v>
      </c>
      <c r="AA688">
        <f t="shared" si="32"/>
        <v>1</v>
      </c>
    </row>
    <row r="689" spans="1:27" x14ac:dyDescent="0.3">
      <c r="A689" t="s">
        <v>1350</v>
      </c>
      <c r="B689" t="s">
        <v>5413</v>
      </c>
      <c r="C689">
        <v>34616545</v>
      </c>
      <c r="D689" t="s">
        <v>5457</v>
      </c>
      <c r="F689" t="s">
        <v>5680</v>
      </c>
      <c r="G689" s="12">
        <v>170</v>
      </c>
      <c r="H689">
        <v>48</v>
      </c>
      <c r="J689" s="38">
        <v>2</v>
      </c>
      <c r="L689">
        <v>1</v>
      </c>
      <c r="M689" t="s">
        <v>5697</v>
      </c>
      <c r="O689" t="s">
        <v>5662</v>
      </c>
      <c r="P689" t="s">
        <v>5663</v>
      </c>
      <c r="Q689" t="s">
        <v>5664</v>
      </c>
      <c r="R689" t="s">
        <v>5665</v>
      </c>
      <c r="S689">
        <v>2021</v>
      </c>
      <c r="T689" s="2">
        <v>44476</v>
      </c>
      <c r="U689" t="s">
        <v>5666</v>
      </c>
      <c r="W689" t="s">
        <v>5667</v>
      </c>
      <c r="Y689">
        <f t="shared" si="30"/>
        <v>170</v>
      </c>
      <c r="Z689">
        <f t="shared" si="31"/>
        <v>1</v>
      </c>
      <c r="AA689">
        <f t="shared" si="32"/>
        <v>1</v>
      </c>
    </row>
    <row r="690" spans="1:27" x14ac:dyDescent="0.3">
      <c r="A690" t="s">
        <v>2654</v>
      </c>
      <c r="B690" t="s">
        <v>5413</v>
      </c>
      <c r="C690">
        <v>34569696</v>
      </c>
      <c r="D690" t="s">
        <v>5698</v>
      </c>
      <c r="E690">
        <v>0</v>
      </c>
      <c r="F690" t="s">
        <v>1405</v>
      </c>
      <c r="G690" t="s">
        <v>51</v>
      </c>
      <c r="H690">
        <v>4</v>
      </c>
      <c r="L690">
        <v>1</v>
      </c>
      <c r="M690" t="s">
        <v>5751</v>
      </c>
      <c r="O690" t="s">
        <v>5788</v>
      </c>
      <c r="P690" t="s">
        <v>5789</v>
      </c>
      <c r="Q690" t="s">
        <v>5790</v>
      </c>
      <c r="R690" t="s">
        <v>1535</v>
      </c>
      <c r="S690">
        <v>2021</v>
      </c>
      <c r="T690" s="2">
        <v>44466</v>
      </c>
      <c r="W690" t="s">
        <v>2461</v>
      </c>
      <c r="Y690" t="str">
        <f t="shared" si="30"/>
        <v>N/A</v>
      </c>
      <c r="Z690" t="str">
        <f t="shared" si="31"/>
        <v/>
      </c>
      <c r="AA690" t="str">
        <f t="shared" si="32"/>
        <v/>
      </c>
    </row>
    <row r="691" spans="1:27" x14ac:dyDescent="0.3">
      <c r="A691" t="s">
        <v>2654</v>
      </c>
      <c r="B691" t="s">
        <v>5413</v>
      </c>
      <c r="C691">
        <v>33504255</v>
      </c>
      <c r="D691" t="s">
        <v>5699</v>
      </c>
      <c r="E691">
        <v>0</v>
      </c>
      <c r="F691" t="s">
        <v>1405</v>
      </c>
      <c r="G691">
        <v>32</v>
      </c>
      <c r="H691">
        <v>1</v>
      </c>
      <c r="L691">
        <v>1</v>
      </c>
      <c r="O691" t="s">
        <v>5791</v>
      </c>
      <c r="P691" t="s">
        <v>5792</v>
      </c>
      <c r="Q691" t="s">
        <v>2611</v>
      </c>
      <c r="R691" t="s">
        <v>2063</v>
      </c>
      <c r="S691">
        <v>2021</v>
      </c>
      <c r="T691" s="2">
        <v>44224</v>
      </c>
      <c r="W691" t="s">
        <v>1528</v>
      </c>
      <c r="Y691">
        <f t="shared" si="30"/>
        <v>32</v>
      </c>
      <c r="Z691">
        <f t="shared" si="31"/>
        <v>0</v>
      </c>
      <c r="AA691">
        <f t="shared" si="32"/>
        <v>0</v>
      </c>
    </row>
    <row r="692" spans="1:27" x14ac:dyDescent="0.3">
      <c r="A692" t="s">
        <v>2654</v>
      </c>
      <c r="B692" t="s">
        <v>5413</v>
      </c>
      <c r="C692">
        <v>32679614</v>
      </c>
      <c r="D692" t="s">
        <v>5700</v>
      </c>
      <c r="E692">
        <v>0</v>
      </c>
      <c r="F692" t="s">
        <v>1405</v>
      </c>
      <c r="G692">
        <v>100</v>
      </c>
      <c r="H692">
        <v>1</v>
      </c>
      <c r="L692">
        <v>1</v>
      </c>
      <c r="N692" t="s">
        <v>5757</v>
      </c>
      <c r="O692" t="s">
        <v>5793</v>
      </c>
      <c r="P692" t="s">
        <v>5794</v>
      </c>
      <c r="Q692" t="s">
        <v>2312</v>
      </c>
      <c r="R692" t="s">
        <v>1768</v>
      </c>
      <c r="S692">
        <v>2021</v>
      </c>
      <c r="T692" s="2">
        <v>44030</v>
      </c>
      <c r="W692" t="s">
        <v>1539</v>
      </c>
      <c r="Y692">
        <f t="shared" si="30"/>
        <v>100</v>
      </c>
      <c r="Z692">
        <f t="shared" si="31"/>
        <v>1</v>
      </c>
      <c r="AA692">
        <f t="shared" si="32"/>
        <v>0</v>
      </c>
    </row>
    <row r="693" spans="1:27" x14ac:dyDescent="0.3">
      <c r="A693" t="s">
        <v>2654</v>
      </c>
      <c r="B693" t="s">
        <v>5413</v>
      </c>
      <c r="C693">
        <v>33259038</v>
      </c>
      <c r="D693" t="s">
        <v>5701</v>
      </c>
      <c r="E693">
        <v>1</v>
      </c>
      <c r="F693" t="s">
        <v>5099</v>
      </c>
      <c r="G693">
        <v>35</v>
      </c>
      <c r="H693">
        <v>1</v>
      </c>
      <c r="L693">
        <v>1</v>
      </c>
      <c r="O693" t="s">
        <v>5795</v>
      </c>
      <c r="P693" t="s">
        <v>5796</v>
      </c>
      <c r="Q693" t="s">
        <v>5797</v>
      </c>
      <c r="R693" t="s">
        <v>5798</v>
      </c>
      <c r="S693">
        <v>2021</v>
      </c>
      <c r="T693" s="2">
        <v>44166</v>
      </c>
      <c r="U693" t="s">
        <v>5799</v>
      </c>
      <c r="W693" t="s">
        <v>1548</v>
      </c>
      <c r="Y693">
        <f t="shared" si="30"/>
        <v>35</v>
      </c>
      <c r="Z693">
        <f t="shared" si="31"/>
        <v>0</v>
      </c>
      <c r="AA693">
        <f t="shared" si="32"/>
        <v>0</v>
      </c>
    </row>
    <row r="694" spans="1:27" x14ac:dyDescent="0.3">
      <c r="A694" t="s">
        <v>2654</v>
      </c>
      <c r="B694" t="s">
        <v>5413</v>
      </c>
      <c r="C694">
        <v>33164145</v>
      </c>
      <c r="D694" t="s">
        <v>5702</v>
      </c>
      <c r="E694">
        <v>0</v>
      </c>
      <c r="F694" t="s">
        <v>286</v>
      </c>
      <c r="G694" t="s">
        <v>51</v>
      </c>
      <c r="H694">
        <v>2</v>
      </c>
      <c r="L694">
        <v>1</v>
      </c>
      <c r="N694" t="s">
        <v>5758</v>
      </c>
      <c r="O694" t="s">
        <v>5800</v>
      </c>
      <c r="P694" t="s">
        <v>5801</v>
      </c>
      <c r="Q694" t="s">
        <v>5802</v>
      </c>
      <c r="R694" t="s">
        <v>5803</v>
      </c>
      <c r="S694">
        <v>2021</v>
      </c>
      <c r="T694" s="2">
        <v>44144</v>
      </c>
      <c r="U694" t="s">
        <v>5804</v>
      </c>
      <c r="W694" t="s">
        <v>1556</v>
      </c>
      <c r="Y694" t="str">
        <f t="shared" si="30"/>
        <v>N/A</v>
      </c>
      <c r="Z694" t="str">
        <f t="shared" si="31"/>
        <v/>
      </c>
      <c r="AA694" t="str">
        <f t="shared" si="32"/>
        <v/>
      </c>
    </row>
    <row r="695" spans="1:27" x14ac:dyDescent="0.3">
      <c r="A695" t="s">
        <v>2654</v>
      </c>
      <c r="B695" t="s">
        <v>5413</v>
      </c>
      <c r="C695">
        <v>34309632</v>
      </c>
      <c r="D695" t="s">
        <v>5703</v>
      </c>
      <c r="E695">
        <v>1</v>
      </c>
      <c r="F695" t="s">
        <v>1405</v>
      </c>
      <c r="G695">
        <v>1329</v>
      </c>
      <c r="H695">
        <v>2</v>
      </c>
      <c r="L695">
        <v>1</v>
      </c>
      <c r="N695" t="s">
        <v>5759</v>
      </c>
      <c r="O695" t="s">
        <v>5805</v>
      </c>
      <c r="P695" t="s">
        <v>5806</v>
      </c>
      <c r="Q695" t="s">
        <v>5807</v>
      </c>
      <c r="R695" t="s">
        <v>1597</v>
      </c>
      <c r="S695">
        <v>2021</v>
      </c>
      <c r="T695" s="2">
        <v>44403</v>
      </c>
      <c r="U695" t="s">
        <v>5808</v>
      </c>
      <c r="W695" t="s">
        <v>1565</v>
      </c>
      <c r="Y695">
        <f t="shared" si="30"/>
        <v>1329</v>
      </c>
      <c r="Z695">
        <f t="shared" si="31"/>
        <v>13</v>
      </c>
      <c r="AA695">
        <f t="shared" si="32"/>
        <v>1</v>
      </c>
    </row>
    <row r="696" spans="1:27" x14ac:dyDescent="0.3">
      <c r="A696" t="s">
        <v>2654</v>
      </c>
      <c r="B696" t="s">
        <v>5413</v>
      </c>
      <c r="C696">
        <v>34505866</v>
      </c>
      <c r="D696" t="s">
        <v>5704</v>
      </c>
      <c r="E696">
        <v>0</v>
      </c>
      <c r="F696" t="s">
        <v>2823</v>
      </c>
      <c r="G696">
        <f>110+85+24+23+68</f>
        <v>310</v>
      </c>
      <c r="H696">
        <v>1</v>
      </c>
      <c r="L696">
        <v>1</v>
      </c>
      <c r="M696" t="s">
        <v>4441</v>
      </c>
      <c r="N696" t="s">
        <v>5760</v>
      </c>
      <c r="O696" t="s">
        <v>5809</v>
      </c>
      <c r="P696" t="s">
        <v>5810</v>
      </c>
      <c r="Q696" t="s">
        <v>5811</v>
      </c>
      <c r="R696" t="s">
        <v>418</v>
      </c>
      <c r="S696">
        <v>2021</v>
      </c>
      <c r="T696" s="2">
        <v>44449</v>
      </c>
      <c r="W696" t="s">
        <v>2502</v>
      </c>
      <c r="Y696">
        <f t="shared" si="30"/>
        <v>310</v>
      </c>
      <c r="Z696">
        <f t="shared" si="31"/>
        <v>3</v>
      </c>
      <c r="AA696">
        <f t="shared" si="32"/>
        <v>0</v>
      </c>
    </row>
    <row r="697" spans="1:27" x14ac:dyDescent="0.3">
      <c r="A697" t="s">
        <v>2654</v>
      </c>
      <c r="B697" t="s">
        <v>5413</v>
      </c>
      <c r="C697">
        <v>34252919</v>
      </c>
      <c r="D697" t="s">
        <v>5705</v>
      </c>
      <c r="E697">
        <v>1</v>
      </c>
      <c r="F697" t="s">
        <v>5745</v>
      </c>
      <c r="G697">
        <v>56</v>
      </c>
      <c r="H697">
        <v>1</v>
      </c>
      <c r="L697">
        <v>1</v>
      </c>
      <c r="N697" t="s">
        <v>5761</v>
      </c>
      <c r="O697" t="s">
        <v>5812</v>
      </c>
      <c r="P697" t="s">
        <v>5813</v>
      </c>
      <c r="Q697" t="s">
        <v>5814</v>
      </c>
      <c r="R697" t="s">
        <v>49</v>
      </c>
      <c r="S697">
        <v>2021</v>
      </c>
      <c r="T697" s="2">
        <v>44389</v>
      </c>
      <c r="W697" t="s">
        <v>1575</v>
      </c>
      <c r="Y697">
        <f t="shared" si="30"/>
        <v>56</v>
      </c>
      <c r="Z697">
        <f t="shared" si="31"/>
        <v>0</v>
      </c>
      <c r="AA697">
        <f t="shared" si="32"/>
        <v>1</v>
      </c>
    </row>
    <row r="698" spans="1:27" x14ac:dyDescent="0.3">
      <c r="A698" t="s">
        <v>2654</v>
      </c>
      <c r="B698" t="s">
        <v>5413</v>
      </c>
      <c r="C698">
        <v>34379400</v>
      </c>
      <c r="D698" t="s">
        <v>5706</v>
      </c>
      <c r="E698">
        <v>1</v>
      </c>
      <c r="F698" t="s">
        <v>5099</v>
      </c>
      <c r="G698" t="s">
        <v>51</v>
      </c>
      <c r="H698">
        <v>1</v>
      </c>
      <c r="L698">
        <v>1</v>
      </c>
      <c r="N698" t="s">
        <v>5762</v>
      </c>
      <c r="O698" t="s">
        <v>5815</v>
      </c>
      <c r="P698" t="s">
        <v>5816</v>
      </c>
      <c r="Q698" t="s">
        <v>5817</v>
      </c>
      <c r="R698" t="s">
        <v>5818</v>
      </c>
      <c r="S698">
        <v>2021</v>
      </c>
      <c r="T698" s="2">
        <v>44419</v>
      </c>
      <c r="W698" t="s">
        <v>1583</v>
      </c>
      <c r="Y698" t="str">
        <f t="shared" si="30"/>
        <v>N/A</v>
      </c>
      <c r="Z698" t="str">
        <f t="shared" si="31"/>
        <v/>
      </c>
      <c r="AA698" t="str">
        <f t="shared" si="32"/>
        <v/>
      </c>
    </row>
    <row r="699" spans="1:27" x14ac:dyDescent="0.3">
      <c r="A699" t="s">
        <v>2654</v>
      </c>
      <c r="B699" t="s">
        <v>5413</v>
      </c>
      <c r="C699">
        <v>34247104</v>
      </c>
      <c r="D699" t="s">
        <v>5707</v>
      </c>
      <c r="E699">
        <v>0</v>
      </c>
      <c r="F699" t="s">
        <v>5746</v>
      </c>
      <c r="G699">
        <f>122*2</f>
        <v>244</v>
      </c>
      <c r="H699">
        <v>2</v>
      </c>
      <c r="L699">
        <v>1</v>
      </c>
      <c r="N699" t="s">
        <v>5763</v>
      </c>
      <c r="O699" t="s">
        <v>5819</v>
      </c>
      <c r="P699" t="s">
        <v>5820</v>
      </c>
      <c r="Q699" t="s">
        <v>5821</v>
      </c>
      <c r="R699" t="s">
        <v>1660</v>
      </c>
      <c r="S699">
        <v>2021</v>
      </c>
      <c r="T699" s="2">
        <v>44388</v>
      </c>
      <c r="W699" t="s">
        <v>5822</v>
      </c>
      <c r="Y699">
        <f t="shared" si="30"/>
        <v>244</v>
      </c>
      <c r="Z699">
        <f t="shared" si="31"/>
        <v>2</v>
      </c>
      <c r="AA699">
        <f t="shared" si="32"/>
        <v>1</v>
      </c>
    </row>
    <row r="700" spans="1:27" x14ac:dyDescent="0.3">
      <c r="A700" t="s">
        <v>2654</v>
      </c>
      <c r="B700" t="s">
        <v>5413</v>
      </c>
      <c r="C700">
        <v>34630068</v>
      </c>
      <c r="D700" t="s">
        <v>5708</v>
      </c>
      <c r="E700">
        <v>0</v>
      </c>
      <c r="F700" t="s">
        <v>1405</v>
      </c>
      <c r="G700">
        <f>23+26+29+35+27+26+28+32+18+26+31+35+20+21+27+25</f>
        <v>429</v>
      </c>
      <c r="H700">
        <v>4</v>
      </c>
      <c r="L700">
        <v>4</v>
      </c>
      <c r="N700" t="s">
        <v>5764</v>
      </c>
      <c r="O700" t="s">
        <v>5823</v>
      </c>
      <c r="P700" t="s">
        <v>5824</v>
      </c>
      <c r="Q700" t="s">
        <v>5825</v>
      </c>
      <c r="R700" t="s">
        <v>1829</v>
      </c>
      <c r="S700">
        <v>2021</v>
      </c>
      <c r="T700" s="2">
        <v>44480</v>
      </c>
      <c r="U700" t="s">
        <v>5826</v>
      </c>
      <c r="W700" t="s">
        <v>1591</v>
      </c>
      <c r="Y700">
        <f t="shared" si="30"/>
        <v>1716</v>
      </c>
      <c r="Z700">
        <f t="shared" si="31"/>
        <v>17</v>
      </c>
      <c r="AA700">
        <f t="shared" si="32"/>
        <v>1</v>
      </c>
    </row>
    <row r="701" spans="1:27" x14ac:dyDescent="0.3">
      <c r="A701" t="s">
        <v>2654</v>
      </c>
      <c r="B701" t="s">
        <v>5413</v>
      </c>
      <c r="C701">
        <v>34494715</v>
      </c>
      <c r="D701" t="s">
        <v>5709</v>
      </c>
      <c r="E701">
        <v>0</v>
      </c>
      <c r="F701" t="s">
        <v>1405</v>
      </c>
      <c r="G701" t="s">
        <v>51</v>
      </c>
      <c r="H701">
        <v>4</v>
      </c>
      <c r="L701">
        <v>1</v>
      </c>
      <c r="N701" t="s">
        <v>5765</v>
      </c>
      <c r="O701" t="s">
        <v>5827</v>
      </c>
      <c r="P701" t="s">
        <v>5828</v>
      </c>
      <c r="Q701" t="s">
        <v>2312</v>
      </c>
      <c r="R701" t="s">
        <v>1535</v>
      </c>
      <c r="S701">
        <v>2021</v>
      </c>
      <c r="T701" s="2">
        <v>44447</v>
      </c>
      <c r="W701" t="s">
        <v>2455</v>
      </c>
      <c r="Y701" t="str">
        <f t="shared" si="30"/>
        <v>N/A</v>
      </c>
      <c r="Z701" t="str">
        <f t="shared" si="31"/>
        <v/>
      </c>
      <c r="AA701" t="str">
        <f t="shared" si="32"/>
        <v/>
      </c>
    </row>
    <row r="702" spans="1:27" x14ac:dyDescent="0.3">
      <c r="A702" t="s">
        <v>2654</v>
      </c>
      <c r="B702" t="s">
        <v>5413</v>
      </c>
      <c r="C702">
        <v>34363587</v>
      </c>
      <c r="D702" t="s">
        <v>5710</v>
      </c>
      <c r="E702">
        <v>1</v>
      </c>
      <c r="F702" t="s">
        <v>5747</v>
      </c>
      <c r="G702">
        <f>107+29+193</f>
        <v>329</v>
      </c>
      <c r="H702">
        <v>1</v>
      </c>
      <c r="L702">
        <v>1</v>
      </c>
      <c r="M702" t="s">
        <v>5752</v>
      </c>
      <c r="O702" t="s">
        <v>5829</v>
      </c>
      <c r="P702" t="s">
        <v>5830</v>
      </c>
      <c r="Q702" t="s">
        <v>5831</v>
      </c>
      <c r="R702" t="s">
        <v>5832</v>
      </c>
      <c r="S702">
        <v>2021</v>
      </c>
      <c r="T702" s="2">
        <v>44415</v>
      </c>
      <c r="U702" t="s">
        <v>5833</v>
      </c>
      <c r="W702" t="s">
        <v>1600</v>
      </c>
      <c r="Y702">
        <f t="shared" si="30"/>
        <v>329</v>
      </c>
      <c r="Z702">
        <f t="shared" si="31"/>
        <v>3</v>
      </c>
      <c r="AA702">
        <f t="shared" si="32"/>
        <v>0</v>
      </c>
    </row>
    <row r="703" spans="1:27" x14ac:dyDescent="0.3">
      <c r="A703" t="s">
        <v>2654</v>
      </c>
      <c r="B703" t="s">
        <v>5413</v>
      </c>
      <c r="C703">
        <v>34627002</v>
      </c>
      <c r="D703" t="s">
        <v>5711</v>
      </c>
      <c r="E703">
        <v>0</v>
      </c>
      <c r="F703" t="s">
        <v>5746</v>
      </c>
      <c r="G703">
        <f>34+14+29</f>
        <v>77</v>
      </c>
      <c r="H703">
        <v>2</v>
      </c>
      <c r="L703">
        <v>1</v>
      </c>
      <c r="N703" t="s">
        <v>5766</v>
      </c>
      <c r="O703" t="s">
        <v>5834</v>
      </c>
      <c r="P703" t="s">
        <v>5835</v>
      </c>
      <c r="Q703" t="s">
        <v>5836</v>
      </c>
      <c r="R703" t="s">
        <v>1660</v>
      </c>
      <c r="S703">
        <v>2021</v>
      </c>
      <c r="T703" s="2">
        <v>44478</v>
      </c>
      <c r="W703" t="s">
        <v>1609</v>
      </c>
      <c r="Y703">
        <f t="shared" si="30"/>
        <v>77</v>
      </c>
      <c r="Z703">
        <f t="shared" si="31"/>
        <v>0</v>
      </c>
      <c r="AA703">
        <f t="shared" si="32"/>
        <v>1</v>
      </c>
    </row>
    <row r="704" spans="1:27" x14ac:dyDescent="0.3">
      <c r="A704" t="s">
        <v>2654</v>
      </c>
      <c r="B704" t="s">
        <v>5413</v>
      </c>
      <c r="C704">
        <v>33491853</v>
      </c>
      <c r="D704" t="s">
        <v>5712</v>
      </c>
      <c r="E704">
        <v>0</v>
      </c>
      <c r="F704" t="s">
        <v>1405</v>
      </c>
      <c r="G704">
        <v>309</v>
      </c>
      <c r="H704">
        <v>6</v>
      </c>
      <c r="L704">
        <v>1</v>
      </c>
      <c r="M704" t="s">
        <v>5751</v>
      </c>
      <c r="N704" t="s">
        <v>5767</v>
      </c>
      <c r="O704" t="s">
        <v>5837</v>
      </c>
      <c r="P704" t="s">
        <v>5838</v>
      </c>
      <c r="Q704" t="s">
        <v>5839</v>
      </c>
      <c r="R704" t="s">
        <v>1535</v>
      </c>
      <c r="S704">
        <v>2021</v>
      </c>
      <c r="T704" s="2">
        <v>44221</v>
      </c>
      <c r="U704" t="s">
        <v>5840</v>
      </c>
      <c r="W704" t="s">
        <v>5841</v>
      </c>
      <c r="Y704">
        <f t="shared" si="30"/>
        <v>309</v>
      </c>
      <c r="Z704">
        <f t="shared" si="31"/>
        <v>3</v>
      </c>
      <c r="AA704">
        <f t="shared" si="32"/>
        <v>0</v>
      </c>
    </row>
    <row r="705" spans="1:27" x14ac:dyDescent="0.3">
      <c r="A705" t="s">
        <v>2654</v>
      </c>
      <c r="B705" t="s">
        <v>5413</v>
      </c>
      <c r="C705">
        <v>34550542</v>
      </c>
      <c r="D705" t="s">
        <v>5713</v>
      </c>
      <c r="E705">
        <v>0</v>
      </c>
      <c r="F705" t="s">
        <v>1405</v>
      </c>
      <c r="G705">
        <v>222</v>
      </c>
      <c r="H705">
        <v>1</v>
      </c>
      <c r="L705">
        <v>1</v>
      </c>
      <c r="O705" t="s">
        <v>5842</v>
      </c>
      <c r="P705" t="s">
        <v>5843</v>
      </c>
      <c r="Q705" t="s">
        <v>5844</v>
      </c>
      <c r="R705" t="s">
        <v>1985</v>
      </c>
      <c r="S705">
        <v>2021</v>
      </c>
      <c r="T705" s="2">
        <v>44461</v>
      </c>
      <c r="W705" t="s">
        <v>1618</v>
      </c>
      <c r="Y705">
        <f t="shared" si="30"/>
        <v>222</v>
      </c>
      <c r="Z705">
        <f t="shared" si="31"/>
        <v>2</v>
      </c>
      <c r="AA705">
        <f t="shared" si="32"/>
        <v>0</v>
      </c>
    </row>
    <row r="706" spans="1:27" x14ac:dyDescent="0.3">
      <c r="A706" t="s">
        <v>2654</v>
      </c>
      <c r="B706" t="s">
        <v>5413</v>
      </c>
      <c r="C706">
        <v>34289718</v>
      </c>
      <c r="D706" t="s">
        <v>5714</v>
      </c>
      <c r="E706">
        <v>0</v>
      </c>
      <c r="F706" t="s">
        <v>5745</v>
      </c>
      <c r="G706">
        <v>208</v>
      </c>
      <c r="H706">
        <v>6</v>
      </c>
      <c r="L706">
        <v>1</v>
      </c>
      <c r="N706" t="s">
        <v>5768</v>
      </c>
      <c r="O706" t="s">
        <v>5845</v>
      </c>
      <c r="P706" t="s">
        <v>5846</v>
      </c>
      <c r="Q706" t="s">
        <v>5847</v>
      </c>
      <c r="R706" t="s">
        <v>5398</v>
      </c>
      <c r="S706">
        <v>2021</v>
      </c>
      <c r="T706" s="2">
        <v>44399</v>
      </c>
      <c r="U706" t="s">
        <v>5848</v>
      </c>
      <c r="W706" t="s">
        <v>1628</v>
      </c>
      <c r="Y706">
        <f t="shared" si="30"/>
        <v>208</v>
      </c>
      <c r="Z706">
        <f t="shared" si="31"/>
        <v>2</v>
      </c>
      <c r="AA706">
        <f t="shared" si="32"/>
        <v>0</v>
      </c>
    </row>
    <row r="707" spans="1:27" x14ac:dyDescent="0.3">
      <c r="A707" t="s">
        <v>2654</v>
      </c>
      <c r="B707" t="s">
        <v>5413</v>
      </c>
      <c r="C707">
        <v>34114244</v>
      </c>
      <c r="D707" t="s">
        <v>5715</v>
      </c>
      <c r="E707">
        <v>0</v>
      </c>
      <c r="F707" t="s">
        <v>1405</v>
      </c>
      <c r="G707">
        <f>36+38</f>
        <v>74</v>
      </c>
      <c r="H707">
        <v>1</v>
      </c>
      <c r="L707">
        <v>1</v>
      </c>
      <c r="N707" t="s">
        <v>5769</v>
      </c>
      <c r="O707" t="s">
        <v>5849</v>
      </c>
      <c r="P707" t="s">
        <v>5850</v>
      </c>
      <c r="Q707" t="s">
        <v>5851</v>
      </c>
      <c r="R707" t="s">
        <v>1010</v>
      </c>
      <c r="S707">
        <v>2021</v>
      </c>
      <c r="T707" s="2">
        <v>44358</v>
      </c>
      <c r="U707" t="s">
        <v>5852</v>
      </c>
      <c r="W707" t="s">
        <v>1637</v>
      </c>
      <c r="Y707">
        <f t="shared" ref="Y707:Y754" si="33">IFERROR(L707*G707,"N/A")</f>
        <v>74</v>
      </c>
      <c r="Z707">
        <f t="shared" ref="Z707:Z754" si="34">IFERROR(ROUNDDOWN(Y707/96,0),"")</f>
        <v>0</v>
      </c>
      <c r="AA707">
        <f t="shared" ref="AA707:AA754" si="35">IFERROR(ROUNDDOWN((MOD(Y707,96)/48),0),"")</f>
        <v>1</v>
      </c>
    </row>
    <row r="708" spans="1:27" x14ac:dyDescent="0.3">
      <c r="A708" t="s">
        <v>2654</v>
      </c>
      <c r="B708" t="s">
        <v>5413</v>
      </c>
      <c r="C708">
        <v>33743046</v>
      </c>
      <c r="D708" t="s">
        <v>5127</v>
      </c>
      <c r="E708">
        <v>0</v>
      </c>
      <c r="F708" t="s">
        <v>5099</v>
      </c>
      <c r="G708">
        <v>47</v>
      </c>
      <c r="H708">
        <v>4</v>
      </c>
      <c r="L708">
        <v>1</v>
      </c>
      <c r="M708" t="s">
        <v>4441</v>
      </c>
      <c r="N708" t="s">
        <v>5770</v>
      </c>
      <c r="O708" t="s">
        <v>5284</v>
      </c>
      <c r="P708" t="s">
        <v>5285</v>
      </c>
      <c r="Q708" t="s">
        <v>5286</v>
      </c>
      <c r="R708" t="s">
        <v>1819</v>
      </c>
      <c r="S708">
        <v>2021</v>
      </c>
      <c r="T708" s="2">
        <v>44275</v>
      </c>
      <c r="U708" t="s">
        <v>5287</v>
      </c>
      <c r="W708" t="s">
        <v>1645</v>
      </c>
      <c r="Y708">
        <f t="shared" si="33"/>
        <v>47</v>
      </c>
      <c r="Z708">
        <f t="shared" si="34"/>
        <v>0</v>
      </c>
      <c r="AA708">
        <f t="shared" si="35"/>
        <v>0</v>
      </c>
    </row>
    <row r="709" spans="1:27" x14ac:dyDescent="0.3">
      <c r="A709" t="s">
        <v>2654</v>
      </c>
      <c r="B709" t="s">
        <v>5413</v>
      </c>
      <c r="C709">
        <v>34032635</v>
      </c>
      <c r="D709" t="s">
        <v>5716</v>
      </c>
      <c r="E709">
        <v>0</v>
      </c>
      <c r="F709" t="s">
        <v>5099</v>
      </c>
      <c r="G709">
        <v>100</v>
      </c>
      <c r="H709">
        <v>2</v>
      </c>
      <c r="L709">
        <v>1</v>
      </c>
      <c r="N709" t="s">
        <v>5771</v>
      </c>
      <c r="O709" t="s">
        <v>5853</v>
      </c>
      <c r="P709" t="s">
        <v>5854</v>
      </c>
      <c r="Q709" t="s">
        <v>5855</v>
      </c>
      <c r="R709" t="s">
        <v>5496</v>
      </c>
      <c r="S709">
        <v>2021</v>
      </c>
      <c r="T709" s="2">
        <v>44341</v>
      </c>
      <c r="U709" t="s">
        <v>5856</v>
      </c>
      <c r="W709" t="s">
        <v>5857</v>
      </c>
      <c r="Y709">
        <f t="shared" si="33"/>
        <v>100</v>
      </c>
      <c r="Z709">
        <f t="shared" si="34"/>
        <v>1</v>
      </c>
      <c r="AA709">
        <f t="shared" si="35"/>
        <v>0</v>
      </c>
    </row>
    <row r="710" spans="1:27" x14ac:dyDescent="0.3">
      <c r="A710" t="s">
        <v>2654</v>
      </c>
      <c r="B710" t="s">
        <v>5413</v>
      </c>
      <c r="C710">
        <v>34482646</v>
      </c>
      <c r="D710" t="s">
        <v>5717</v>
      </c>
      <c r="E710">
        <v>0</v>
      </c>
      <c r="F710" t="s">
        <v>5746</v>
      </c>
      <c r="G710">
        <v>115</v>
      </c>
      <c r="H710">
        <v>1</v>
      </c>
      <c r="L710">
        <v>1</v>
      </c>
      <c r="O710" t="s">
        <v>5858</v>
      </c>
      <c r="P710" t="s">
        <v>5859</v>
      </c>
      <c r="Q710" t="s">
        <v>5860</v>
      </c>
      <c r="R710" t="s">
        <v>1707</v>
      </c>
      <c r="S710">
        <v>2021</v>
      </c>
      <c r="T710" s="2">
        <v>44444</v>
      </c>
      <c r="U710" t="s">
        <v>5861</v>
      </c>
      <c r="W710" t="s">
        <v>5862</v>
      </c>
      <c r="Y710">
        <f t="shared" si="33"/>
        <v>115</v>
      </c>
      <c r="Z710">
        <f t="shared" si="34"/>
        <v>1</v>
      </c>
      <c r="AA710">
        <f t="shared" si="35"/>
        <v>0</v>
      </c>
    </row>
    <row r="711" spans="1:27" x14ac:dyDescent="0.3">
      <c r="A711" t="s">
        <v>2654</v>
      </c>
      <c r="B711" t="s">
        <v>5413</v>
      </c>
      <c r="C711">
        <v>34262030</v>
      </c>
      <c r="D711" t="s">
        <v>5718</v>
      </c>
      <c r="E711">
        <v>0</v>
      </c>
      <c r="F711" t="s">
        <v>1405</v>
      </c>
      <c r="G711">
        <v>366</v>
      </c>
      <c r="H711">
        <v>2</v>
      </c>
      <c r="L711">
        <v>2</v>
      </c>
      <c r="N711" t="s">
        <v>5772</v>
      </c>
      <c r="O711" t="s">
        <v>5863</v>
      </c>
      <c r="P711" t="s">
        <v>5864</v>
      </c>
      <c r="Q711" t="s">
        <v>5865</v>
      </c>
      <c r="R711" t="s">
        <v>2619</v>
      </c>
      <c r="S711">
        <v>2021</v>
      </c>
      <c r="T711" s="2">
        <v>44392</v>
      </c>
      <c r="U711" t="s">
        <v>5866</v>
      </c>
      <c r="W711" t="s">
        <v>1653</v>
      </c>
      <c r="Y711">
        <f t="shared" si="33"/>
        <v>732</v>
      </c>
      <c r="Z711">
        <f t="shared" si="34"/>
        <v>7</v>
      </c>
      <c r="AA711">
        <f t="shared" si="35"/>
        <v>1</v>
      </c>
    </row>
    <row r="712" spans="1:27" x14ac:dyDescent="0.3">
      <c r="A712" t="s">
        <v>2654</v>
      </c>
      <c r="B712" t="s">
        <v>5413</v>
      </c>
      <c r="C712">
        <v>34256800</v>
      </c>
      <c r="D712" t="s">
        <v>5719</v>
      </c>
      <c r="E712">
        <v>0</v>
      </c>
      <c r="F712" t="s">
        <v>153</v>
      </c>
      <c r="G712">
        <v>347</v>
      </c>
      <c r="H712">
        <v>1</v>
      </c>
      <c r="L712">
        <v>1</v>
      </c>
      <c r="M712" t="s">
        <v>5751</v>
      </c>
      <c r="O712" t="s">
        <v>5867</v>
      </c>
      <c r="P712" t="s">
        <v>5868</v>
      </c>
      <c r="Q712" t="s">
        <v>5869</v>
      </c>
      <c r="R712" t="s">
        <v>2162</v>
      </c>
      <c r="S712">
        <v>2021</v>
      </c>
      <c r="T712" s="2">
        <v>44391</v>
      </c>
      <c r="U712" t="s">
        <v>5870</v>
      </c>
      <c r="W712" t="s">
        <v>1662</v>
      </c>
      <c r="Y712">
        <f t="shared" si="33"/>
        <v>347</v>
      </c>
      <c r="Z712">
        <f t="shared" si="34"/>
        <v>3</v>
      </c>
      <c r="AA712">
        <f t="shared" si="35"/>
        <v>1</v>
      </c>
    </row>
    <row r="713" spans="1:27" x14ac:dyDescent="0.3">
      <c r="A713" t="s">
        <v>2654</v>
      </c>
      <c r="B713" t="s">
        <v>5413</v>
      </c>
      <c r="C713">
        <v>34225797</v>
      </c>
      <c r="D713" t="s">
        <v>5720</v>
      </c>
      <c r="E713">
        <v>0</v>
      </c>
      <c r="F713" t="s">
        <v>1405</v>
      </c>
      <c r="G713">
        <v>541</v>
      </c>
      <c r="H713">
        <v>5</v>
      </c>
      <c r="L713">
        <v>3</v>
      </c>
      <c r="M713" t="s">
        <v>4441</v>
      </c>
      <c r="N713" t="s">
        <v>5773</v>
      </c>
      <c r="O713" t="s">
        <v>5871</v>
      </c>
      <c r="P713" t="s">
        <v>5872</v>
      </c>
      <c r="Q713" t="s">
        <v>5873</v>
      </c>
      <c r="R713" t="s">
        <v>454</v>
      </c>
      <c r="S713">
        <v>2021</v>
      </c>
      <c r="T713" s="2">
        <v>44383</v>
      </c>
      <c r="U713" t="s">
        <v>5874</v>
      </c>
      <c r="W713" t="s">
        <v>1669</v>
      </c>
      <c r="Y713">
        <f t="shared" si="33"/>
        <v>1623</v>
      </c>
      <c r="Z713">
        <f t="shared" si="34"/>
        <v>16</v>
      </c>
      <c r="AA713">
        <f t="shared" si="35"/>
        <v>1</v>
      </c>
    </row>
    <row r="714" spans="1:27" x14ac:dyDescent="0.3">
      <c r="A714" t="s">
        <v>2654</v>
      </c>
      <c r="B714" t="s">
        <v>5413</v>
      </c>
      <c r="C714">
        <v>34310015</v>
      </c>
      <c r="D714" t="s">
        <v>5721</v>
      </c>
      <c r="E714">
        <v>0</v>
      </c>
      <c r="F714" t="s">
        <v>5748</v>
      </c>
      <c r="G714">
        <f>891+813</f>
        <v>1704</v>
      </c>
      <c r="H714">
        <v>1</v>
      </c>
      <c r="L714">
        <v>1</v>
      </c>
      <c r="O714" t="s">
        <v>5875</v>
      </c>
      <c r="P714" t="s">
        <v>5876</v>
      </c>
      <c r="Q714" t="s">
        <v>5877</v>
      </c>
      <c r="R714" t="s">
        <v>1535</v>
      </c>
      <c r="S714">
        <v>2021</v>
      </c>
      <c r="T714" s="2">
        <v>44403</v>
      </c>
      <c r="W714" t="s">
        <v>5878</v>
      </c>
      <c r="Y714">
        <f t="shared" si="33"/>
        <v>1704</v>
      </c>
      <c r="Z714">
        <f t="shared" si="34"/>
        <v>17</v>
      </c>
      <c r="AA714">
        <f t="shared" si="35"/>
        <v>1</v>
      </c>
    </row>
    <row r="715" spans="1:27" x14ac:dyDescent="0.3">
      <c r="A715" t="s">
        <v>2654</v>
      </c>
      <c r="B715" t="s">
        <v>5413</v>
      </c>
      <c r="C715">
        <v>34278578</v>
      </c>
      <c r="D715" t="s">
        <v>5126</v>
      </c>
      <c r="E715">
        <v>0</v>
      </c>
      <c r="F715" t="s">
        <v>5746</v>
      </c>
      <c r="G715">
        <v>284</v>
      </c>
      <c r="H715">
        <v>2</v>
      </c>
      <c r="L715">
        <v>1</v>
      </c>
      <c r="O715" t="s">
        <v>5280</v>
      </c>
      <c r="P715" t="s">
        <v>5281</v>
      </c>
      <c r="Q715" t="s">
        <v>5282</v>
      </c>
      <c r="R715" t="s">
        <v>1768</v>
      </c>
      <c r="S715">
        <v>2021</v>
      </c>
      <c r="T715" s="2">
        <v>44396</v>
      </c>
      <c r="W715" t="s">
        <v>5283</v>
      </c>
      <c r="Y715">
        <f t="shared" si="33"/>
        <v>284</v>
      </c>
      <c r="Z715">
        <f t="shared" si="34"/>
        <v>2</v>
      </c>
      <c r="AA715">
        <f t="shared" si="35"/>
        <v>1</v>
      </c>
    </row>
    <row r="716" spans="1:27" x14ac:dyDescent="0.3">
      <c r="A716" t="s">
        <v>2654</v>
      </c>
      <c r="B716" t="s">
        <v>5413</v>
      </c>
      <c r="C716">
        <v>33903203</v>
      </c>
      <c r="D716" t="s">
        <v>5722</v>
      </c>
      <c r="E716">
        <v>0</v>
      </c>
      <c r="F716" t="s">
        <v>5746</v>
      </c>
      <c r="G716">
        <f>37+17+13+29+30</f>
        <v>126</v>
      </c>
      <c r="H716">
        <v>1</v>
      </c>
      <c r="L716">
        <v>1</v>
      </c>
      <c r="M716" t="s">
        <v>5751</v>
      </c>
      <c r="N716" t="s">
        <v>5774</v>
      </c>
      <c r="O716" t="s">
        <v>5879</v>
      </c>
      <c r="P716" t="s">
        <v>5880</v>
      </c>
      <c r="Q716" t="s">
        <v>2319</v>
      </c>
      <c r="R716" t="s">
        <v>2320</v>
      </c>
      <c r="S716">
        <v>2021</v>
      </c>
      <c r="T716" s="2">
        <v>44313</v>
      </c>
      <c r="U716" t="s">
        <v>5881</v>
      </c>
      <c r="W716" t="s">
        <v>1677</v>
      </c>
      <c r="Y716">
        <f t="shared" si="33"/>
        <v>126</v>
      </c>
      <c r="Z716">
        <f t="shared" si="34"/>
        <v>1</v>
      </c>
      <c r="AA716">
        <f t="shared" si="35"/>
        <v>0</v>
      </c>
    </row>
    <row r="717" spans="1:27" x14ac:dyDescent="0.3">
      <c r="A717" t="s">
        <v>2654</v>
      </c>
      <c r="B717" t="s">
        <v>5413</v>
      </c>
      <c r="C717">
        <v>34313819</v>
      </c>
      <c r="D717" t="s">
        <v>5723</v>
      </c>
      <c r="E717">
        <v>0</v>
      </c>
      <c r="F717" t="s">
        <v>5746</v>
      </c>
      <c r="G717">
        <v>120</v>
      </c>
      <c r="H717">
        <v>2</v>
      </c>
      <c r="L717">
        <v>1</v>
      </c>
      <c r="O717" t="s">
        <v>5882</v>
      </c>
      <c r="P717" t="s">
        <v>5883</v>
      </c>
      <c r="Q717" t="s">
        <v>5884</v>
      </c>
      <c r="R717" t="s">
        <v>1819</v>
      </c>
      <c r="S717">
        <v>2021</v>
      </c>
      <c r="T717" s="2">
        <v>44404</v>
      </c>
      <c r="W717" t="s">
        <v>1685</v>
      </c>
      <c r="Y717">
        <f t="shared" si="33"/>
        <v>120</v>
      </c>
      <c r="Z717">
        <f t="shared" si="34"/>
        <v>1</v>
      </c>
      <c r="AA717">
        <f t="shared" si="35"/>
        <v>0</v>
      </c>
    </row>
    <row r="718" spans="1:27" x14ac:dyDescent="0.3">
      <c r="A718" t="s">
        <v>2654</v>
      </c>
      <c r="B718" t="s">
        <v>5413</v>
      </c>
      <c r="C718">
        <v>34592166</v>
      </c>
      <c r="D718" t="s">
        <v>5724</v>
      </c>
      <c r="E718">
        <v>1</v>
      </c>
      <c r="F718" t="s">
        <v>5745</v>
      </c>
      <c r="G718">
        <v>403</v>
      </c>
      <c r="H718">
        <v>13</v>
      </c>
      <c r="L718">
        <v>3</v>
      </c>
      <c r="M718" t="s">
        <v>5753</v>
      </c>
      <c r="N718" t="s">
        <v>5775</v>
      </c>
      <c r="O718" t="s">
        <v>5885</v>
      </c>
      <c r="P718" t="s">
        <v>5886</v>
      </c>
      <c r="Q718" t="s">
        <v>5887</v>
      </c>
      <c r="R718" t="s">
        <v>5888</v>
      </c>
      <c r="S718">
        <v>2021</v>
      </c>
      <c r="T718" s="2">
        <v>44469</v>
      </c>
      <c r="U718" t="s">
        <v>5889</v>
      </c>
      <c r="W718" t="s">
        <v>1694</v>
      </c>
      <c r="Y718">
        <f t="shared" si="33"/>
        <v>1209</v>
      </c>
      <c r="Z718">
        <f t="shared" si="34"/>
        <v>12</v>
      </c>
      <c r="AA718">
        <f t="shared" si="35"/>
        <v>1</v>
      </c>
    </row>
    <row r="719" spans="1:27" x14ac:dyDescent="0.3">
      <c r="A719" t="s">
        <v>2654</v>
      </c>
      <c r="B719" t="s">
        <v>5413</v>
      </c>
      <c r="C719">
        <v>34568970</v>
      </c>
      <c r="D719" t="s">
        <v>5725</v>
      </c>
      <c r="E719">
        <v>0</v>
      </c>
      <c r="F719" t="s">
        <v>1405</v>
      </c>
      <c r="G719">
        <f>77+54</f>
        <v>131</v>
      </c>
      <c r="H719">
        <v>1</v>
      </c>
      <c r="L719">
        <v>1</v>
      </c>
      <c r="O719" t="s">
        <v>5890</v>
      </c>
      <c r="P719" t="s">
        <v>5891</v>
      </c>
      <c r="Q719" t="s">
        <v>5892</v>
      </c>
      <c r="R719" t="s">
        <v>4592</v>
      </c>
      <c r="S719">
        <v>2021</v>
      </c>
      <c r="T719" s="2">
        <v>44466</v>
      </c>
      <c r="W719" t="s">
        <v>1702</v>
      </c>
      <c r="Y719">
        <f t="shared" si="33"/>
        <v>131</v>
      </c>
      <c r="Z719">
        <f t="shared" si="34"/>
        <v>1</v>
      </c>
      <c r="AA719">
        <f t="shared" si="35"/>
        <v>0</v>
      </c>
    </row>
    <row r="720" spans="1:27" x14ac:dyDescent="0.3">
      <c r="A720" t="s">
        <v>2654</v>
      </c>
      <c r="B720" t="s">
        <v>5413</v>
      </c>
      <c r="C720">
        <v>34418401</v>
      </c>
      <c r="D720" t="s">
        <v>5726</v>
      </c>
      <c r="E720">
        <v>1</v>
      </c>
      <c r="F720" t="s">
        <v>51</v>
      </c>
      <c r="G720">
        <f>118+99+58+15+2+79+74+62+32</f>
        <v>539</v>
      </c>
      <c r="L720">
        <v>1</v>
      </c>
      <c r="M720" t="s">
        <v>4782</v>
      </c>
      <c r="N720" t="s">
        <v>5776</v>
      </c>
      <c r="O720" t="s">
        <v>5893</v>
      </c>
      <c r="P720" t="s">
        <v>5894</v>
      </c>
      <c r="Q720" t="s">
        <v>3517</v>
      </c>
      <c r="R720" t="s">
        <v>5895</v>
      </c>
      <c r="S720">
        <v>2021</v>
      </c>
      <c r="T720" s="2">
        <v>44429</v>
      </c>
      <c r="W720" t="s">
        <v>1710</v>
      </c>
      <c r="Y720">
        <f t="shared" si="33"/>
        <v>539</v>
      </c>
      <c r="Z720">
        <f t="shared" si="34"/>
        <v>5</v>
      </c>
      <c r="AA720">
        <f t="shared" si="35"/>
        <v>1</v>
      </c>
    </row>
    <row r="721" spans="1:27" x14ac:dyDescent="0.3">
      <c r="A721" t="s">
        <v>2654</v>
      </c>
      <c r="B721" t="s">
        <v>5413</v>
      </c>
      <c r="C721">
        <v>34266917</v>
      </c>
      <c r="D721" t="s">
        <v>5727</v>
      </c>
      <c r="E721">
        <v>0</v>
      </c>
      <c r="F721" t="s">
        <v>1405</v>
      </c>
      <c r="G721">
        <v>172</v>
      </c>
      <c r="H721">
        <v>2</v>
      </c>
      <c r="L721">
        <v>1</v>
      </c>
      <c r="M721" t="s">
        <v>4441</v>
      </c>
      <c r="N721" t="s">
        <v>5777</v>
      </c>
      <c r="O721" t="s">
        <v>5896</v>
      </c>
      <c r="P721" t="s">
        <v>5897</v>
      </c>
      <c r="Q721" t="s">
        <v>5898</v>
      </c>
      <c r="R721" t="s">
        <v>143</v>
      </c>
      <c r="S721">
        <v>2021</v>
      </c>
      <c r="T721" s="2">
        <v>44393</v>
      </c>
      <c r="U721" t="s">
        <v>5899</v>
      </c>
      <c r="W721" t="s">
        <v>1719</v>
      </c>
      <c r="Y721">
        <f t="shared" si="33"/>
        <v>172</v>
      </c>
      <c r="Z721">
        <f t="shared" si="34"/>
        <v>1</v>
      </c>
      <c r="AA721">
        <f t="shared" si="35"/>
        <v>1</v>
      </c>
    </row>
    <row r="722" spans="1:27" x14ac:dyDescent="0.3">
      <c r="A722" t="s">
        <v>2654</v>
      </c>
      <c r="B722" t="s">
        <v>5413</v>
      </c>
      <c r="C722">
        <v>34417515</v>
      </c>
      <c r="D722" t="s">
        <v>5728</v>
      </c>
      <c r="E722">
        <v>0</v>
      </c>
      <c r="F722" t="s">
        <v>1405</v>
      </c>
      <c r="G722">
        <v>11</v>
      </c>
      <c r="H722">
        <v>4</v>
      </c>
      <c r="L722">
        <v>2</v>
      </c>
      <c r="M722" t="s">
        <v>5751</v>
      </c>
      <c r="N722" t="s">
        <v>5778</v>
      </c>
      <c r="O722" t="s">
        <v>5900</v>
      </c>
      <c r="P722" t="s">
        <v>5901</v>
      </c>
      <c r="Q722" t="s">
        <v>5902</v>
      </c>
      <c r="R722" t="s">
        <v>246</v>
      </c>
      <c r="S722">
        <v>2021</v>
      </c>
      <c r="T722" s="2">
        <v>44429</v>
      </c>
      <c r="U722" t="s">
        <v>5903</v>
      </c>
      <c r="W722" t="s">
        <v>5904</v>
      </c>
      <c r="Y722">
        <f t="shared" si="33"/>
        <v>22</v>
      </c>
      <c r="Z722">
        <f t="shared" si="34"/>
        <v>0</v>
      </c>
      <c r="AA722">
        <f t="shared" si="35"/>
        <v>0</v>
      </c>
    </row>
    <row r="723" spans="1:27" x14ac:dyDescent="0.3">
      <c r="A723" t="s">
        <v>2654</v>
      </c>
      <c r="B723" t="s">
        <v>5413</v>
      </c>
      <c r="C723">
        <v>33792168</v>
      </c>
      <c r="D723" t="s">
        <v>5729</v>
      </c>
      <c r="E723">
        <v>0</v>
      </c>
      <c r="F723" t="s">
        <v>1405</v>
      </c>
      <c r="G723">
        <f>43+91+44+22</f>
        <v>200</v>
      </c>
      <c r="H723">
        <v>4</v>
      </c>
      <c r="L723">
        <v>1</v>
      </c>
      <c r="N723" t="s">
        <v>5779</v>
      </c>
      <c r="O723" t="s">
        <v>5905</v>
      </c>
      <c r="P723" t="s">
        <v>5906</v>
      </c>
      <c r="Q723" t="s">
        <v>5907</v>
      </c>
      <c r="R723" t="s">
        <v>1535</v>
      </c>
      <c r="S723">
        <v>2021</v>
      </c>
      <c r="T723" s="2">
        <v>44287</v>
      </c>
      <c r="W723" t="s">
        <v>1726</v>
      </c>
      <c r="Y723">
        <f t="shared" si="33"/>
        <v>200</v>
      </c>
      <c r="Z723">
        <f t="shared" si="34"/>
        <v>2</v>
      </c>
      <c r="AA723">
        <f t="shared" si="35"/>
        <v>0</v>
      </c>
    </row>
    <row r="724" spans="1:27" x14ac:dyDescent="0.3">
      <c r="A724" t="s">
        <v>2654</v>
      </c>
      <c r="B724" t="s">
        <v>5413</v>
      </c>
      <c r="C724">
        <v>34378446</v>
      </c>
      <c r="D724" t="s">
        <v>5730</v>
      </c>
      <c r="E724">
        <v>0</v>
      </c>
      <c r="F724" t="s">
        <v>5746</v>
      </c>
      <c r="G724">
        <f>(354+159)*3</f>
        <v>1539</v>
      </c>
      <c r="H724">
        <v>1</v>
      </c>
      <c r="L724">
        <v>1</v>
      </c>
      <c r="O724" t="s">
        <v>5908</v>
      </c>
      <c r="P724" t="s">
        <v>5909</v>
      </c>
      <c r="Q724" t="s">
        <v>2213</v>
      </c>
      <c r="R724" t="s">
        <v>2050</v>
      </c>
      <c r="S724">
        <v>2021</v>
      </c>
      <c r="T724" s="2">
        <v>44419</v>
      </c>
      <c r="W724" t="s">
        <v>5910</v>
      </c>
      <c r="Y724">
        <f t="shared" si="33"/>
        <v>1539</v>
      </c>
      <c r="Z724">
        <f t="shared" si="34"/>
        <v>16</v>
      </c>
      <c r="AA724">
        <f t="shared" si="35"/>
        <v>0</v>
      </c>
    </row>
    <row r="725" spans="1:27" x14ac:dyDescent="0.3">
      <c r="A725" t="s">
        <v>2654</v>
      </c>
      <c r="B725" t="s">
        <v>5413</v>
      </c>
      <c r="C725">
        <v>34107398</v>
      </c>
      <c r="D725" t="s">
        <v>5731</v>
      </c>
      <c r="E725">
        <v>0</v>
      </c>
      <c r="F725" t="s">
        <v>1405</v>
      </c>
      <c r="G725">
        <v>26</v>
      </c>
      <c r="H725">
        <v>2</v>
      </c>
      <c r="L725">
        <v>1</v>
      </c>
      <c r="N725" t="s">
        <v>5780</v>
      </c>
      <c r="O725" t="s">
        <v>5911</v>
      </c>
      <c r="P725" t="s">
        <v>5912</v>
      </c>
      <c r="Q725" t="s">
        <v>5913</v>
      </c>
      <c r="R725" t="s">
        <v>5914</v>
      </c>
      <c r="S725">
        <v>2021</v>
      </c>
      <c r="T725" s="2">
        <v>44356</v>
      </c>
      <c r="W725" t="s">
        <v>1733</v>
      </c>
      <c r="Y725">
        <f t="shared" si="33"/>
        <v>26</v>
      </c>
      <c r="Z725">
        <f t="shared" si="34"/>
        <v>0</v>
      </c>
      <c r="AA725">
        <f t="shared" si="35"/>
        <v>0</v>
      </c>
    </row>
    <row r="726" spans="1:27" x14ac:dyDescent="0.3">
      <c r="A726" t="s">
        <v>2654</v>
      </c>
      <c r="B726" t="s">
        <v>5413</v>
      </c>
      <c r="C726">
        <v>34182224</v>
      </c>
      <c r="D726" t="s">
        <v>5732</v>
      </c>
      <c r="E726">
        <v>0</v>
      </c>
      <c r="F726" t="s">
        <v>5746</v>
      </c>
      <c r="G726">
        <f>79+27+46</f>
        <v>152</v>
      </c>
      <c r="H726">
        <v>1</v>
      </c>
      <c r="L726">
        <v>1</v>
      </c>
      <c r="N726" t="s">
        <v>5781</v>
      </c>
      <c r="O726" t="s">
        <v>5915</v>
      </c>
      <c r="P726" t="s">
        <v>5916</v>
      </c>
      <c r="Q726" t="s">
        <v>2034</v>
      </c>
      <c r="R726" t="s">
        <v>1660</v>
      </c>
      <c r="S726">
        <v>2021</v>
      </c>
      <c r="T726" s="2">
        <v>44375</v>
      </c>
      <c r="W726" t="s">
        <v>1742</v>
      </c>
      <c r="Y726">
        <f t="shared" si="33"/>
        <v>152</v>
      </c>
      <c r="Z726">
        <f t="shared" si="34"/>
        <v>1</v>
      </c>
      <c r="AA726">
        <f t="shared" si="35"/>
        <v>1</v>
      </c>
    </row>
    <row r="727" spans="1:27" x14ac:dyDescent="0.3">
      <c r="A727" t="s">
        <v>2654</v>
      </c>
      <c r="B727" t="s">
        <v>5413</v>
      </c>
      <c r="C727">
        <v>34414383</v>
      </c>
      <c r="D727" t="s">
        <v>5733</v>
      </c>
      <c r="E727">
        <v>0</v>
      </c>
      <c r="F727" t="s">
        <v>5745</v>
      </c>
      <c r="G727">
        <v>29</v>
      </c>
      <c r="H727">
        <v>14</v>
      </c>
      <c r="L727">
        <v>2</v>
      </c>
      <c r="M727" t="s">
        <v>5754</v>
      </c>
      <c r="N727" t="s">
        <v>5782</v>
      </c>
      <c r="O727" t="s">
        <v>5917</v>
      </c>
      <c r="P727" t="s">
        <v>5918</v>
      </c>
      <c r="Q727" t="s">
        <v>5919</v>
      </c>
      <c r="R727" t="s">
        <v>5920</v>
      </c>
      <c r="S727">
        <v>2021</v>
      </c>
      <c r="T727" s="2">
        <v>44428</v>
      </c>
      <c r="U727" t="s">
        <v>5921</v>
      </c>
      <c r="W727" t="s">
        <v>1750</v>
      </c>
      <c r="Y727">
        <f t="shared" si="33"/>
        <v>58</v>
      </c>
      <c r="Z727">
        <f t="shared" si="34"/>
        <v>0</v>
      </c>
      <c r="AA727">
        <f t="shared" si="35"/>
        <v>1</v>
      </c>
    </row>
    <row r="728" spans="1:27" x14ac:dyDescent="0.3">
      <c r="A728" t="s">
        <v>2654</v>
      </c>
      <c r="B728" t="s">
        <v>5413</v>
      </c>
      <c r="C728">
        <v>34057558</v>
      </c>
      <c r="D728" t="s">
        <v>5734</v>
      </c>
      <c r="E728">
        <v>0</v>
      </c>
      <c r="F728" t="s">
        <v>5099</v>
      </c>
      <c r="G728">
        <v>8</v>
      </c>
      <c r="H728">
        <v>2</v>
      </c>
      <c r="L728">
        <v>2</v>
      </c>
      <c r="M728" t="s">
        <v>5755</v>
      </c>
      <c r="N728" t="s">
        <v>5783</v>
      </c>
      <c r="O728" t="s">
        <v>5922</v>
      </c>
      <c r="P728" t="s">
        <v>5923</v>
      </c>
      <c r="Q728" t="s">
        <v>5924</v>
      </c>
      <c r="R728" t="s">
        <v>2420</v>
      </c>
      <c r="S728">
        <v>2021</v>
      </c>
      <c r="T728" s="2">
        <v>44347</v>
      </c>
      <c r="U728" t="s">
        <v>5925</v>
      </c>
      <c r="W728" t="s">
        <v>1757</v>
      </c>
      <c r="Y728">
        <f t="shared" si="33"/>
        <v>16</v>
      </c>
      <c r="Z728">
        <f t="shared" si="34"/>
        <v>0</v>
      </c>
      <c r="AA728">
        <f t="shared" si="35"/>
        <v>0</v>
      </c>
    </row>
    <row r="729" spans="1:27" x14ac:dyDescent="0.3">
      <c r="A729" t="s">
        <v>2654</v>
      </c>
      <c r="B729" t="s">
        <v>5413</v>
      </c>
      <c r="C729">
        <v>34600287</v>
      </c>
      <c r="D729" t="s">
        <v>5735</v>
      </c>
      <c r="E729">
        <v>0</v>
      </c>
      <c r="F729" t="s">
        <v>1405</v>
      </c>
      <c r="G729">
        <f>81*4</f>
        <v>324</v>
      </c>
      <c r="H729">
        <v>2</v>
      </c>
      <c r="L729">
        <v>1</v>
      </c>
      <c r="O729" t="s">
        <v>5926</v>
      </c>
      <c r="P729" t="s">
        <v>5927</v>
      </c>
      <c r="Q729" t="s">
        <v>5928</v>
      </c>
      <c r="R729" t="s">
        <v>5335</v>
      </c>
      <c r="S729">
        <v>2021</v>
      </c>
      <c r="T729" s="2">
        <v>44471</v>
      </c>
      <c r="W729" t="s">
        <v>1763</v>
      </c>
      <c r="Y729">
        <f t="shared" si="33"/>
        <v>324</v>
      </c>
      <c r="Z729">
        <f t="shared" si="34"/>
        <v>3</v>
      </c>
      <c r="AA729">
        <f t="shared" si="35"/>
        <v>0</v>
      </c>
    </row>
    <row r="730" spans="1:27" x14ac:dyDescent="0.3">
      <c r="A730" t="s">
        <v>2654</v>
      </c>
      <c r="B730" t="s">
        <v>5413</v>
      </c>
      <c r="C730">
        <v>34349004</v>
      </c>
      <c r="D730" t="s">
        <v>5736</v>
      </c>
      <c r="E730">
        <v>0</v>
      </c>
      <c r="F730" t="s">
        <v>1405</v>
      </c>
      <c r="G730">
        <f>265</f>
        <v>265</v>
      </c>
      <c r="H730">
        <v>1</v>
      </c>
      <c r="L730">
        <v>1</v>
      </c>
      <c r="O730" t="s">
        <v>5929</v>
      </c>
      <c r="P730" t="s">
        <v>5930</v>
      </c>
      <c r="Q730" t="s">
        <v>5931</v>
      </c>
      <c r="R730" t="s">
        <v>1625</v>
      </c>
      <c r="S730">
        <v>2021</v>
      </c>
      <c r="T730" s="2">
        <v>44413</v>
      </c>
      <c r="W730" t="s">
        <v>1770</v>
      </c>
      <c r="Y730">
        <f t="shared" si="33"/>
        <v>265</v>
      </c>
      <c r="Z730">
        <f t="shared" si="34"/>
        <v>2</v>
      </c>
      <c r="AA730">
        <f t="shared" si="35"/>
        <v>1</v>
      </c>
    </row>
    <row r="731" spans="1:27" x14ac:dyDescent="0.3">
      <c r="A731" t="s">
        <v>2654</v>
      </c>
      <c r="B731" t="s">
        <v>5413</v>
      </c>
      <c r="C731">
        <v>33797627</v>
      </c>
      <c r="D731" t="s">
        <v>5737</v>
      </c>
      <c r="E731">
        <v>0</v>
      </c>
      <c r="F731" t="s">
        <v>1405</v>
      </c>
      <c r="G731">
        <v>72</v>
      </c>
      <c r="H731">
        <v>1</v>
      </c>
      <c r="L731">
        <v>1</v>
      </c>
      <c r="O731" t="s">
        <v>5932</v>
      </c>
      <c r="P731" t="s">
        <v>5933</v>
      </c>
      <c r="Q731" t="s">
        <v>5934</v>
      </c>
      <c r="R731" t="s">
        <v>1819</v>
      </c>
      <c r="S731">
        <v>2021</v>
      </c>
      <c r="T731" s="2">
        <v>44288</v>
      </c>
      <c r="W731" t="s">
        <v>5935</v>
      </c>
      <c r="Y731">
        <f t="shared" si="33"/>
        <v>72</v>
      </c>
      <c r="Z731">
        <f t="shared" si="34"/>
        <v>0</v>
      </c>
      <c r="AA731">
        <f t="shared" si="35"/>
        <v>1</v>
      </c>
    </row>
    <row r="732" spans="1:27" x14ac:dyDescent="0.3">
      <c r="A732" t="s">
        <v>2654</v>
      </c>
      <c r="B732" t="s">
        <v>5413</v>
      </c>
      <c r="C732">
        <v>34352610</v>
      </c>
      <c r="D732" t="s">
        <v>5738</v>
      </c>
      <c r="E732">
        <v>0</v>
      </c>
      <c r="F732" t="s">
        <v>1405</v>
      </c>
      <c r="G732">
        <f>289*2</f>
        <v>578</v>
      </c>
      <c r="H732">
        <v>1</v>
      </c>
      <c r="L732">
        <v>1</v>
      </c>
      <c r="O732" t="s">
        <v>5936</v>
      </c>
      <c r="P732" t="s">
        <v>5937</v>
      </c>
      <c r="Q732" t="s">
        <v>5938</v>
      </c>
      <c r="R732" t="s">
        <v>1897</v>
      </c>
      <c r="S732">
        <v>2021</v>
      </c>
      <c r="T732" s="2">
        <v>44413</v>
      </c>
      <c r="W732" t="s">
        <v>1777</v>
      </c>
      <c r="Y732">
        <f t="shared" si="33"/>
        <v>578</v>
      </c>
      <c r="Z732">
        <f t="shared" si="34"/>
        <v>6</v>
      </c>
      <c r="AA732">
        <f t="shared" si="35"/>
        <v>0</v>
      </c>
    </row>
    <row r="733" spans="1:27" x14ac:dyDescent="0.3">
      <c r="A733" t="s">
        <v>2654</v>
      </c>
      <c r="B733" t="s">
        <v>5413</v>
      </c>
      <c r="C733">
        <v>34611495</v>
      </c>
      <c r="D733" t="s">
        <v>5739</v>
      </c>
      <c r="E733">
        <v>0</v>
      </c>
      <c r="F733" t="s">
        <v>5747</v>
      </c>
      <c r="G733">
        <v>58</v>
      </c>
      <c r="H733">
        <v>1</v>
      </c>
      <c r="L733">
        <v>1</v>
      </c>
      <c r="M733" t="s">
        <v>4441</v>
      </c>
      <c r="N733" t="s">
        <v>5784</v>
      </c>
      <c r="O733" t="s">
        <v>5939</v>
      </c>
      <c r="P733" t="s">
        <v>5940</v>
      </c>
      <c r="Q733" t="s">
        <v>5223</v>
      </c>
      <c r="R733" t="s">
        <v>5941</v>
      </c>
      <c r="S733">
        <v>2021</v>
      </c>
      <c r="T733" s="2">
        <v>44475</v>
      </c>
      <c r="U733" t="s">
        <v>5942</v>
      </c>
      <c r="W733" t="s">
        <v>1785</v>
      </c>
      <c r="Y733">
        <f t="shared" si="33"/>
        <v>58</v>
      </c>
      <c r="Z733">
        <f t="shared" si="34"/>
        <v>0</v>
      </c>
      <c r="AA733">
        <f t="shared" si="35"/>
        <v>1</v>
      </c>
    </row>
    <row r="734" spans="1:27" x14ac:dyDescent="0.3">
      <c r="A734" t="s">
        <v>2654</v>
      </c>
      <c r="B734" t="s">
        <v>5413</v>
      </c>
      <c r="C734">
        <v>33727100</v>
      </c>
      <c r="D734" t="s">
        <v>5740</v>
      </c>
      <c r="E734">
        <v>0</v>
      </c>
      <c r="F734" t="s">
        <v>1405</v>
      </c>
      <c r="G734" t="s">
        <v>5744</v>
      </c>
      <c r="H734">
        <v>1</v>
      </c>
      <c r="L734">
        <v>1</v>
      </c>
      <c r="O734" t="s">
        <v>5943</v>
      </c>
      <c r="P734" t="s">
        <v>5944</v>
      </c>
      <c r="Q734" t="s">
        <v>5945</v>
      </c>
      <c r="R734" t="s">
        <v>5946</v>
      </c>
      <c r="S734">
        <v>2021</v>
      </c>
      <c r="T734" s="2">
        <v>44272</v>
      </c>
      <c r="W734" t="s">
        <v>1796</v>
      </c>
      <c r="Y734" t="str">
        <f t="shared" si="33"/>
        <v>N/A</v>
      </c>
      <c r="Z734" t="str">
        <f t="shared" si="34"/>
        <v/>
      </c>
      <c r="AA734" t="str">
        <f t="shared" si="35"/>
        <v/>
      </c>
    </row>
    <row r="735" spans="1:27" x14ac:dyDescent="0.3">
      <c r="A735" t="s">
        <v>2654</v>
      </c>
      <c r="B735" t="s">
        <v>5413</v>
      </c>
      <c r="C735">
        <v>34196964</v>
      </c>
      <c r="D735" t="s">
        <v>5741</v>
      </c>
      <c r="E735">
        <v>0</v>
      </c>
      <c r="F735" t="s">
        <v>5749</v>
      </c>
      <c r="G735" t="s">
        <v>51</v>
      </c>
      <c r="H735">
        <v>4</v>
      </c>
      <c r="L735">
        <v>1</v>
      </c>
      <c r="N735" t="s">
        <v>5785</v>
      </c>
      <c r="O735" t="s">
        <v>5947</v>
      </c>
      <c r="P735" t="s">
        <v>5948</v>
      </c>
      <c r="Q735" t="s">
        <v>5949</v>
      </c>
      <c r="R735" t="s">
        <v>690</v>
      </c>
      <c r="S735">
        <v>2021</v>
      </c>
      <c r="T735" s="2">
        <v>44378</v>
      </c>
      <c r="W735" t="s">
        <v>1803</v>
      </c>
      <c r="Y735" t="str">
        <f t="shared" si="33"/>
        <v>N/A</v>
      </c>
      <c r="Z735" t="str">
        <f t="shared" si="34"/>
        <v/>
      </c>
      <c r="AA735" t="str">
        <f t="shared" si="35"/>
        <v/>
      </c>
    </row>
    <row r="736" spans="1:27" x14ac:dyDescent="0.3">
      <c r="A736" t="s">
        <v>2654</v>
      </c>
      <c r="B736" t="s">
        <v>5413</v>
      </c>
      <c r="C736">
        <v>34328545</v>
      </c>
      <c r="D736" t="s">
        <v>5742</v>
      </c>
      <c r="E736">
        <v>0</v>
      </c>
      <c r="F736" t="s">
        <v>5750</v>
      </c>
      <c r="G736">
        <v>272</v>
      </c>
      <c r="H736">
        <v>1</v>
      </c>
      <c r="L736">
        <v>1</v>
      </c>
      <c r="M736" t="s">
        <v>4441</v>
      </c>
      <c r="N736" t="s">
        <v>5786</v>
      </c>
      <c r="O736" t="s">
        <v>5950</v>
      </c>
      <c r="P736" t="s">
        <v>5951</v>
      </c>
      <c r="Q736" t="s">
        <v>5952</v>
      </c>
      <c r="R736" t="s">
        <v>1819</v>
      </c>
      <c r="S736">
        <v>2021</v>
      </c>
      <c r="T736" s="2">
        <v>44407</v>
      </c>
      <c r="W736" t="s">
        <v>1813</v>
      </c>
      <c r="Y736">
        <f t="shared" si="33"/>
        <v>272</v>
      </c>
      <c r="Z736">
        <f t="shared" si="34"/>
        <v>2</v>
      </c>
      <c r="AA736">
        <f t="shared" si="35"/>
        <v>1</v>
      </c>
    </row>
    <row r="737" spans="1:27" x14ac:dyDescent="0.3">
      <c r="A737" t="s">
        <v>2654</v>
      </c>
      <c r="B737" t="s">
        <v>5413</v>
      </c>
      <c r="C737">
        <v>34383905</v>
      </c>
      <c r="D737" t="s">
        <v>5743</v>
      </c>
      <c r="E737">
        <v>0</v>
      </c>
      <c r="F737" t="s">
        <v>1405</v>
      </c>
      <c r="H737">
        <v>2</v>
      </c>
      <c r="L737">
        <v>1</v>
      </c>
      <c r="M737" t="s">
        <v>5756</v>
      </c>
      <c r="N737" t="s">
        <v>5787</v>
      </c>
      <c r="O737" t="s">
        <v>5953</v>
      </c>
      <c r="P737" t="s">
        <v>5954</v>
      </c>
      <c r="Q737" t="s">
        <v>5955</v>
      </c>
      <c r="R737" t="s">
        <v>519</v>
      </c>
      <c r="S737">
        <v>2021</v>
      </c>
      <c r="T737" s="2">
        <v>44420</v>
      </c>
      <c r="W737" t="s">
        <v>1822</v>
      </c>
      <c r="Y737">
        <f t="shared" si="33"/>
        <v>0</v>
      </c>
      <c r="Z737">
        <f t="shared" si="34"/>
        <v>0</v>
      </c>
      <c r="AA737">
        <f t="shared" si="35"/>
        <v>0</v>
      </c>
    </row>
    <row r="738" spans="1:27" x14ac:dyDescent="0.3">
      <c r="A738" t="s">
        <v>3822</v>
      </c>
      <c r="B738" t="s">
        <v>5413</v>
      </c>
      <c r="C738">
        <v>34116230</v>
      </c>
      <c r="D738" t="s">
        <v>4732</v>
      </c>
      <c r="E738">
        <v>0</v>
      </c>
      <c r="F738" t="s">
        <v>627</v>
      </c>
      <c r="G738">
        <v>748</v>
      </c>
      <c r="H738">
        <v>1305</v>
      </c>
      <c r="J738">
        <v>122</v>
      </c>
      <c r="L738">
        <v>1</v>
      </c>
      <c r="M738" t="s">
        <v>6059</v>
      </c>
      <c r="N738" t="s">
        <v>6051</v>
      </c>
      <c r="O738" t="s">
        <v>4759</v>
      </c>
      <c r="P738" t="s">
        <v>4760</v>
      </c>
      <c r="Q738" t="s">
        <v>4761</v>
      </c>
      <c r="R738" t="s">
        <v>4762</v>
      </c>
      <c r="S738">
        <v>2021</v>
      </c>
      <c r="T738" s="2">
        <v>44358</v>
      </c>
      <c r="U738" t="s">
        <v>4763</v>
      </c>
      <c r="W738" t="s">
        <v>4764</v>
      </c>
      <c r="Y738">
        <f t="shared" si="33"/>
        <v>748</v>
      </c>
      <c r="Z738">
        <f t="shared" si="34"/>
        <v>7</v>
      </c>
      <c r="AA738">
        <f t="shared" si="35"/>
        <v>1</v>
      </c>
    </row>
    <row r="739" spans="1:27" x14ac:dyDescent="0.3">
      <c r="A739" t="s">
        <v>3822</v>
      </c>
      <c r="B739" t="s">
        <v>5413</v>
      </c>
      <c r="C739">
        <v>34502484</v>
      </c>
      <c r="D739" t="s">
        <v>5956</v>
      </c>
      <c r="E739">
        <v>0</v>
      </c>
      <c r="F739" t="s">
        <v>82</v>
      </c>
      <c r="G739">
        <v>88</v>
      </c>
      <c r="H739">
        <v>1307</v>
      </c>
      <c r="L739">
        <v>1</v>
      </c>
      <c r="M739" t="s">
        <v>6059</v>
      </c>
      <c r="O739" t="s">
        <v>5970</v>
      </c>
      <c r="P739" t="s">
        <v>5971</v>
      </c>
      <c r="Q739" t="s">
        <v>5972</v>
      </c>
      <c r="R739" t="s">
        <v>168</v>
      </c>
      <c r="S739">
        <v>2021</v>
      </c>
      <c r="T739" s="2">
        <v>44449</v>
      </c>
      <c r="U739" t="s">
        <v>5973</v>
      </c>
      <c r="W739" t="s">
        <v>6028</v>
      </c>
      <c r="Y739">
        <f t="shared" si="33"/>
        <v>88</v>
      </c>
      <c r="Z739">
        <f t="shared" si="34"/>
        <v>0</v>
      </c>
      <c r="AA739">
        <f t="shared" si="35"/>
        <v>1</v>
      </c>
    </row>
    <row r="740" spans="1:27" x14ac:dyDescent="0.3">
      <c r="A740" t="s">
        <v>3822</v>
      </c>
      <c r="B740" t="s">
        <v>5413</v>
      </c>
      <c r="C740">
        <v>34456709</v>
      </c>
      <c r="D740" t="s">
        <v>5957</v>
      </c>
      <c r="E740">
        <v>0</v>
      </c>
      <c r="F740" t="s">
        <v>6042</v>
      </c>
      <c r="G740">
        <f>16*3</f>
        <v>48</v>
      </c>
      <c r="H740">
        <v>637</v>
      </c>
      <c r="J740">
        <v>2</v>
      </c>
      <c r="L740">
        <v>1</v>
      </c>
      <c r="M740" t="s">
        <v>4637</v>
      </c>
      <c r="O740" t="s">
        <v>5974</v>
      </c>
      <c r="P740" t="s">
        <v>5975</v>
      </c>
      <c r="Q740" t="s">
        <v>5976</v>
      </c>
      <c r="R740" t="s">
        <v>1829</v>
      </c>
      <c r="S740">
        <v>2021</v>
      </c>
      <c r="T740" s="2">
        <v>44438</v>
      </c>
      <c r="U740" t="s">
        <v>5977</v>
      </c>
      <c r="W740" t="s">
        <v>6029</v>
      </c>
      <c r="Y740">
        <f t="shared" si="33"/>
        <v>48</v>
      </c>
      <c r="Z740">
        <f t="shared" si="34"/>
        <v>0</v>
      </c>
      <c r="AA740">
        <f t="shared" si="35"/>
        <v>1</v>
      </c>
    </row>
    <row r="741" spans="1:27" x14ac:dyDescent="0.3">
      <c r="A741" t="s">
        <v>3822</v>
      </c>
      <c r="B741" t="s">
        <v>5413</v>
      </c>
      <c r="C741">
        <v>34343625</v>
      </c>
      <c r="D741" t="s">
        <v>5958</v>
      </c>
      <c r="E741">
        <v>0</v>
      </c>
      <c r="F741" t="s">
        <v>34</v>
      </c>
      <c r="G741">
        <v>294</v>
      </c>
      <c r="H741">
        <v>7000</v>
      </c>
      <c r="J741">
        <v>20</v>
      </c>
      <c r="L741">
        <v>1</v>
      </c>
      <c r="M741" t="s">
        <v>4619</v>
      </c>
      <c r="N741" t="s">
        <v>6052</v>
      </c>
      <c r="O741" t="s">
        <v>5978</v>
      </c>
      <c r="P741" t="s">
        <v>5979</v>
      </c>
      <c r="Q741" t="s">
        <v>5980</v>
      </c>
      <c r="R741" t="s">
        <v>5066</v>
      </c>
      <c r="S741">
        <v>2021</v>
      </c>
      <c r="T741" s="2">
        <v>44411</v>
      </c>
      <c r="U741" t="s">
        <v>5981</v>
      </c>
      <c r="V741" t="s">
        <v>5982</v>
      </c>
      <c r="W741" t="s">
        <v>6030</v>
      </c>
      <c r="Y741">
        <f t="shared" si="33"/>
        <v>294</v>
      </c>
      <c r="Z741">
        <f t="shared" si="34"/>
        <v>3</v>
      </c>
      <c r="AA741">
        <f t="shared" si="35"/>
        <v>0</v>
      </c>
    </row>
    <row r="742" spans="1:27" x14ac:dyDescent="0.3">
      <c r="A742" t="s">
        <v>3822</v>
      </c>
      <c r="B742" t="s">
        <v>5413</v>
      </c>
      <c r="C742">
        <v>33792144</v>
      </c>
      <c r="D742" t="s">
        <v>5959</v>
      </c>
      <c r="E742">
        <v>0</v>
      </c>
      <c r="F742" t="s">
        <v>143</v>
      </c>
      <c r="G742">
        <v>972</v>
      </c>
      <c r="L742">
        <v>1</v>
      </c>
      <c r="M742" t="s">
        <v>4681</v>
      </c>
      <c r="N742" s="12" t="s">
        <v>6053</v>
      </c>
      <c r="O742" t="s">
        <v>5983</v>
      </c>
      <c r="P742" t="s">
        <v>5984</v>
      </c>
      <c r="Q742" t="s">
        <v>5985</v>
      </c>
      <c r="R742" t="s">
        <v>1535</v>
      </c>
      <c r="S742">
        <v>2021</v>
      </c>
      <c r="T742" s="2">
        <v>44287</v>
      </c>
      <c r="W742" t="s">
        <v>6031</v>
      </c>
      <c r="Y742">
        <f t="shared" si="33"/>
        <v>972</v>
      </c>
      <c r="Z742">
        <f t="shared" si="34"/>
        <v>10</v>
      </c>
      <c r="AA742">
        <f t="shared" si="35"/>
        <v>0</v>
      </c>
    </row>
    <row r="743" spans="1:27" x14ac:dyDescent="0.3">
      <c r="A743" t="s">
        <v>3822</v>
      </c>
      <c r="B743" t="s">
        <v>5413</v>
      </c>
      <c r="C743">
        <v>34440571</v>
      </c>
      <c r="D743" t="s">
        <v>5960</v>
      </c>
      <c r="E743">
        <v>0</v>
      </c>
      <c r="F743" t="s">
        <v>1381</v>
      </c>
      <c r="L743">
        <v>1</v>
      </c>
      <c r="M743" t="s">
        <v>51</v>
      </c>
      <c r="N743" t="s">
        <v>6054</v>
      </c>
      <c r="O743" t="s">
        <v>5986</v>
      </c>
      <c r="P743" t="s">
        <v>5987</v>
      </c>
      <c r="Q743" t="s">
        <v>5988</v>
      </c>
      <c r="R743" t="s">
        <v>5989</v>
      </c>
      <c r="S743">
        <v>2021</v>
      </c>
      <c r="T743" s="2">
        <v>44435</v>
      </c>
      <c r="U743" t="s">
        <v>5990</v>
      </c>
      <c r="W743" t="s">
        <v>6032</v>
      </c>
      <c r="Y743">
        <f t="shared" si="33"/>
        <v>0</v>
      </c>
      <c r="Z743">
        <f t="shared" si="34"/>
        <v>0</v>
      </c>
      <c r="AA743">
        <f t="shared" si="35"/>
        <v>0</v>
      </c>
    </row>
    <row r="744" spans="1:27" x14ac:dyDescent="0.3">
      <c r="A744" t="s">
        <v>3822</v>
      </c>
      <c r="B744" t="s">
        <v>5413</v>
      </c>
      <c r="C744">
        <v>34429114</v>
      </c>
      <c r="D744" t="s">
        <v>5961</v>
      </c>
      <c r="E744">
        <v>0</v>
      </c>
      <c r="F744" t="s">
        <v>6043</v>
      </c>
      <c r="G744">
        <v>97</v>
      </c>
      <c r="H744">
        <v>81</v>
      </c>
      <c r="J744">
        <v>4</v>
      </c>
      <c r="L744">
        <v>1</v>
      </c>
      <c r="M744" t="s">
        <v>4637</v>
      </c>
      <c r="O744" t="s">
        <v>5991</v>
      </c>
      <c r="P744" t="s">
        <v>5992</v>
      </c>
      <c r="Q744" t="s">
        <v>5993</v>
      </c>
      <c r="R744" t="s">
        <v>282</v>
      </c>
      <c r="S744">
        <v>2021</v>
      </c>
      <c r="T744" s="2">
        <v>44433</v>
      </c>
      <c r="U744" t="s">
        <v>5994</v>
      </c>
      <c r="W744" t="s">
        <v>6033</v>
      </c>
      <c r="Y744">
        <f t="shared" si="33"/>
        <v>97</v>
      </c>
      <c r="Z744">
        <f t="shared" si="34"/>
        <v>1</v>
      </c>
      <c r="AA744">
        <f t="shared" si="35"/>
        <v>0</v>
      </c>
    </row>
    <row r="745" spans="1:27" x14ac:dyDescent="0.3">
      <c r="A745" t="s">
        <v>3822</v>
      </c>
      <c r="B745" t="s">
        <v>5413</v>
      </c>
      <c r="C745">
        <v>33982893</v>
      </c>
      <c r="D745" t="s">
        <v>5962</v>
      </c>
      <c r="E745">
        <v>0</v>
      </c>
      <c r="F745" t="s">
        <v>1381</v>
      </c>
      <c r="G745">
        <v>37278</v>
      </c>
      <c r="H745">
        <v>4700</v>
      </c>
      <c r="J745">
        <v>1</v>
      </c>
      <c r="L745">
        <v>1</v>
      </c>
      <c r="M745" t="s">
        <v>6060</v>
      </c>
      <c r="O745" t="s">
        <v>5995</v>
      </c>
      <c r="P745" t="s">
        <v>5996</v>
      </c>
      <c r="Q745" t="s">
        <v>1329</v>
      </c>
      <c r="R745" t="s">
        <v>914</v>
      </c>
      <c r="S745">
        <v>2021</v>
      </c>
      <c r="T745" s="2">
        <v>44329</v>
      </c>
      <c r="U745" t="s">
        <v>5997</v>
      </c>
      <c r="W745" t="s">
        <v>6034</v>
      </c>
      <c r="Y745">
        <f t="shared" si="33"/>
        <v>37278</v>
      </c>
      <c r="Z745">
        <f t="shared" si="34"/>
        <v>388</v>
      </c>
      <c r="AA745">
        <f t="shared" si="35"/>
        <v>0</v>
      </c>
    </row>
    <row r="746" spans="1:27" x14ac:dyDescent="0.3">
      <c r="A746" t="s">
        <v>3822</v>
      </c>
      <c r="B746" t="s">
        <v>5413</v>
      </c>
      <c r="C746">
        <v>34487794</v>
      </c>
      <c r="D746" t="s">
        <v>5963</v>
      </c>
      <c r="E746">
        <v>1</v>
      </c>
      <c r="F746" t="s">
        <v>6044</v>
      </c>
      <c r="G746" t="s">
        <v>51</v>
      </c>
      <c r="L746">
        <v>1</v>
      </c>
      <c r="M746" t="s">
        <v>51</v>
      </c>
      <c r="N746" t="s">
        <v>6055</v>
      </c>
      <c r="O746" t="s">
        <v>5998</v>
      </c>
      <c r="P746" t="s">
        <v>5999</v>
      </c>
      <c r="Q746" t="s">
        <v>6000</v>
      </c>
      <c r="R746" t="s">
        <v>6001</v>
      </c>
      <c r="S746">
        <v>2021</v>
      </c>
      <c r="T746" s="2">
        <v>44445</v>
      </c>
      <c r="W746" t="s">
        <v>6035</v>
      </c>
      <c r="Y746" t="str">
        <f t="shared" si="33"/>
        <v>N/A</v>
      </c>
      <c r="Z746" t="str">
        <f t="shared" si="34"/>
        <v/>
      </c>
      <c r="AA746" t="str">
        <f t="shared" si="35"/>
        <v/>
      </c>
    </row>
    <row r="747" spans="1:27" x14ac:dyDescent="0.3">
      <c r="A747" t="s">
        <v>3822</v>
      </c>
      <c r="B747" t="s">
        <v>5413</v>
      </c>
      <c r="C747">
        <v>34226637</v>
      </c>
      <c r="D747" t="s">
        <v>4741</v>
      </c>
      <c r="E747">
        <v>0</v>
      </c>
      <c r="F747" t="s">
        <v>6045</v>
      </c>
      <c r="G747">
        <v>2737</v>
      </c>
      <c r="H747">
        <v>3600</v>
      </c>
      <c r="I747">
        <v>1567</v>
      </c>
      <c r="J747">
        <v>8</v>
      </c>
      <c r="L747">
        <v>1</v>
      </c>
      <c r="M747" t="s">
        <v>6061</v>
      </c>
      <c r="O747" t="s">
        <v>4812</v>
      </c>
      <c r="P747" t="s">
        <v>4813</v>
      </c>
      <c r="Q747" t="s">
        <v>4814</v>
      </c>
      <c r="R747" t="s">
        <v>4815</v>
      </c>
      <c r="S747">
        <v>2021</v>
      </c>
      <c r="T747" s="2">
        <v>44383</v>
      </c>
      <c r="U747" t="s">
        <v>4816</v>
      </c>
      <c r="V747" t="s">
        <v>4817</v>
      </c>
      <c r="W747" t="s">
        <v>4818</v>
      </c>
      <c r="Y747">
        <f t="shared" si="33"/>
        <v>2737</v>
      </c>
      <c r="Z747">
        <f t="shared" si="34"/>
        <v>28</v>
      </c>
      <c r="AA747">
        <f t="shared" si="35"/>
        <v>1</v>
      </c>
    </row>
    <row r="748" spans="1:27" x14ac:dyDescent="0.3">
      <c r="A748" t="s">
        <v>3822</v>
      </c>
      <c r="B748" t="s">
        <v>5413</v>
      </c>
      <c r="C748">
        <v>34245888</v>
      </c>
      <c r="D748" t="s">
        <v>5964</v>
      </c>
      <c r="E748">
        <v>1</v>
      </c>
      <c r="G748" t="s">
        <v>51</v>
      </c>
      <c r="L748">
        <v>1</v>
      </c>
      <c r="M748" t="s">
        <v>51</v>
      </c>
      <c r="N748" t="s">
        <v>6056</v>
      </c>
      <c r="O748" t="s">
        <v>6002</v>
      </c>
      <c r="P748" t="s">
        <v>6003</v>
      </c>
      <c r="Q748" t="s">
        <v>6004</v>
      </c>
      <c r="R748" t="s">
        <v>6005</v>
      </c>
      <c r="S748">
        <v>2021</v>
      </c>
      <c r="T748" s="2">
        <v>44387</v>
      </c>
      <c r="W748" t="s">
        <v>6036</v>
      </c>
      <c r="Y748" t="str">
        <f t="shared" si="33"/>
        <v>N/A</v>
      </c>
      <c r="Z748" t="str">
        <f t="shared" si="34"/>
        <v/>
      </c>
      <c r="AA748" t="str">
        <f t="shared" si="35"/>
        <v/>
      </c>
    </row>
    <row r="749" spans="1:27" x14ac:dyDescent="0.3">
      <c r="A749" t="s">
        <v>3822</v>
      </c>
      <c r="B749" t="s">
        <v>5413</v>
      </c>
      <c r="C749">
        <v>34404929</v>
      </c>
      <c r="D749" t="s">
        <v>5965</v>
      </c>
      <c r="E749">
        <v>0</v>
      </c>
      <c r="F749" t="s">
        <v>34</v>
      </c>
      <c r="G749">
        <v>118</v>
      </c>
      <c r="H749">
        <v>1300</v>
      </c>
      <c r="J749">
        <v>20</v>
      </c>
      <c r="L749">
        <v>1</v>
      </c>
      <c r="M749" t="s">
        <v>6059</v>
      </c>
      <c r="N749" t="s">
        <v>6051</v>
      </c>
      <c r="O749" t="s">
        <v>6006</v>
      </c>
      <c r="P749" t="s">
        <v>6007</v>
      </c>
      <c r="Q749" t="s">
        <v>6008</v>
      </c>
      <c r="R749" t="s">
        <v>3072</v>
      </c>
      <c r="S749">
        <v>2021</v>
      </c>
      <c r="T749" s="2">
        <v>44426</v>
      </c>
      <c r="W749" t="s">
        <v>6037</v>
      </c>
      <c r="Y749">
        <f t="shared" si="33"/>
        <v>118</v>
      </c>
      <c r="Z749">
        <f t="shared" si="34"/>
        <v>1</v>
      </c>
      <c r="AA749">
        <f t="shared" si="35"/>
        <v>0</v>
      </c>
    </row>
    <row r="750" spans="1:27" x14ac:dyDescent="0.3">
      <c r="A750" t="s">
        <v>3822</v>
      </c>
      <c r="B750" t="s">
        <v>5413</v>
      </c>
      <c r="C750">
        <v>34550359</v>
      </c>
      <c r="D750" t="s">
        <v>5966</v>
      </c>
      <c r="E750">
        <v>0</v>
      </c>
      <c r="F750" t="s">
        <v>4900</v>
      </c>
      <c r="G750">
        <v>728</v>
      </c>
      <c r="H750">
        <v>1300</v>
      </c>
      <c r="J750" t="s">
        <v>6050</v>
      </c>
      <c r="L750">
        <v>1</v>
      </c>
      <c r="M750" t="s">
        <v>4637</v>
      </c>
      <c r="O750" t="s">
        <v>6009</v>
      </c>
      <c r="P750" t="s">
        <v>6010</v>
      </c>
      <c r="Q750" t="s">
        <v>6011</v>
      </c>
      <c r="R750" t="s">
        <v>6012</v>
      </c>
      <c r="S750">
        <v>2021</v>
      </c>
      <c r="T750" s="2">
        <v>44461</v>
      </c>
      <c r="W750" t="s">
        <v>6038</v>
      </c>
      <c r="Y750">
        <f t="shared" si="33"/>
        <v>728</v>
      </c>
      <c r="Z750">
        <f t="shared" si="34"/>
        <v>7</v>
      </c>
      <c r="AA750">
        <f t="shared" si="35"/>
        <v>1</v>
      </c>
    </row>
    <row r="751" spans="1:27" x14ac:dyDescent="0.3">
      <c r="A751" t="s">
        <v>3822</v>
      </c>
      <c r="B751" t="s">
        <v>5413</v>
      </c>
      <c r="C751">
        <v>34476128</v>
      </c>
      <c r="D751" t="s">
        <v>5967</v>
      </c>
      <c r="E751">
        <v>0</v>
      </c>
      <c r="F751" t="s">
        <v>4326</v>
      </c>
      <c r="G751" t="s">
        <v>6048</v>
      </c>
      <c r="L751">
        <v>1</v>
      </c>
      <c r="M751" t="s">
        <v>5695</v>
      </c>
      <c r="N751" t="s">
        <v>6057</v>
      </c>
      <c r="O751" t="s">
        <v>6013</v>
      </c>
      <c r="P751" t="s">
        <v>6014</v>
      </c>
      <c r="Q751" t="s">
        <v>6015</v>
      </c>
      <c r="R751" t="s">
        <v>6016</v>
      </c>
      <c r="S751">
        <v>2021</v>
      </c>
      <c r="T751" s="2">
        <v>44442</v>
      </c>
      <c r="U751" t="s">
        <v>6017</v>
      </c>
      <c r="W751" t="s">
        <v>6039</v>
      </c>
      <c r="Y751" t="str">
        <f t="shared" si="33"/>
        <v>N/A</v>
      </c>
      <c r="Z751" t="str">
        <f t="shared" si="34"/>
        <v/>
      </c>
      <c r="AA751" t="str">
        <f t="shared" si="35"/>
        <v/>
      </c>
    </row>
    <row r="752" spans="1:27" x14ac:dyDescent="0.3">
      <c r="A752" t="s">
        <v>3822</v>
      </c>
      <c r="B752" t="s">
        <v>5413</v>
      </c>
      <c r="C752">
        <v>34338426</v>
      </c>
      <c r="D752" t="s">
        <v>3686</v>
      </c>
      <c r="E752">
        <v>0</v>
      </c>
      <c r="F752" t="s">
        <v>143</v>
      </c>
      <c r="G752">
        <v>13656</v>
      </c>
      <c r="H752">
        <v>5000</v>
      </c>
      <c r="J752">
        <v>15</v>
      </c>
      <c r="L752">
        <v>1</v>
      </c>
      <c r="M752" t="s">
        <v>4665</v>
      </c>
      <c r="O752" t="s">
        <v>3689</v>
      </c>
      <c r="P752" t="s">
        <v>6018</v>
      </c>
      <c r="Q752" t="s">
        <v>3691</v>
      </c>
      <c r="R752" t="s">
        <v>1535</v>
      </c>
      <c r="S752">
        <v>2021</v>
      </c>
      <c r="T752" s="2">
        <v>44410</v>
      </c>
      <c r="W752" t="s">
        <v>3693</v>
      </c>
      <c r="Y752">
        <f t="shared" si="33"/>
        <v>13656</v>
      </c>
      <c r="Z752">
        <f t="shared" si="34"/>
        <v>142</v>
      </c>
      <c r="AA752">
        <f t="shared" si="35"/>
        <v>0</v>
      </c>
    </row>
    <row r="753" spans="1:27" x14ac:dyDescent="0.3">
      <c r="A753" t="s">
        <v>3822</v>
      </c>
      <c r="B753" t="s">
        <v>5413</v>
      </c>
      <c r="C753">
        <v>33991635</v>
      </c>
      <c r="D753" t="s">
        <v>5968</v>
      </c>
      <c r="E753">
        <v>1</v>
      </c>
      <c r="F753" t="s">
        <v>6046</v>
      </c>
      <c r="G753" t="s">
        <v>4989</v>
      </c>
      <c r="L753">
        <v>1</v>
      </c>
      <c r="M753" t="s">
        <v>51</v>
      </c>
      <c r="N753" t="s">
        <v>6058</v>
      </c>
      <c r="O753" t="s">
        <v>6019</v>
      </c>
      <c r="P753" t="s">
        <v>6020</v>
      </c>
      <c r="Q753" t="s">
        <v>6021</v>
      </c>
      <c r="R753" t="s">
        <v>6022</v>
      </c>
      <c r="S753">
        <v>2021</v>
      </c>
      <c r="T753" s="2">
        <v>44331</v>
      </c>
      <c r="W753" t="s">
        <v>6040</v>
      </c>
      <c r="Y753" t="str">
        <f t="shared" si="33"/>
        <v>N/A</v>
      </c>
      <c r="Z753" t="str">
        <f t="shared" si="34"/>
        <v/>
      </c>
      <c r="AA753" t="str">
        <f t="shared" si="35"/>
        <v/>
      </c>
    </row>
    <row r="754" spans="1:27" x14ac:dyDescent="0.3">
      <c r="A754" t="s">
        <v>3822</v>
      </c>
      <c r="B754" t="s">
        <v>5413</v>
      </c>
      <c r="C754">
        <v>34407988</v>
      </c>
      <c r="D754" t="s">
        <v>5969</v>
      </c>
      <c r="E754">
        <v>0</v>
      </c>
      <c r="F754" t="s">
        <v>6047</v>
      </c>
      <c r="G754" t="s">
        <v>6049</v>
      </c>
      <c r="H754">
        <v>5000</v>
      </c>
      <c r="J754">
        <v>3</v>
      </c>
      <c r="L754">
        <v>1</v>
      </c>
      <c r="M754" t="s">
        <v>4665</v>
      </c>
      <c r="O754" t="s">
        <v>6023</v>
      </c>
      <c r="P754" t="s">
        <v>6024</v>
      </c>
      <c r="Q754" t="s">
        <v>6025</v>
      </c>
      <c r="R754" t="s">
        <v>6026</v>
      </c>
      <c r="S754">
        <v>2021</v>
      </c>
      <c r="T754" s="2">
        <v>44427</v>
      </c>
      <c r="U754" t="s">
        <v>6027</v>
      </c>
      <c r="W754" t="s">
        <v>6041</v>
      </c>
      <c r="Y754" t="str">
        <f t="shared" si="33"/>
        <v>N/A</v>
      </c>
      <c r="Z754" t="str">
        <f t="shared" si="34"/>
        <v/>
      </c>
      <c r="AA754" t="str">
        <f t="shared" si="35"/>
        <v/>
      </c>
    </row>
  </sheetData>
  <autoFilter ref="A1:AA754" xr:uid="{D280D23B-74F0-F94C-B0CA-D321EA2DCF6F}"/>
  <phoneticPr fontId="2" type="noConversion"/>
  <hyperlinks>
    <hyperlink ref="K562" r:id="rId1" xr:uid="{92382E8B-3CA0-A049-9723-424BC2F8153F}"/>
    <hyperlink ref="K568" r:id="rId2" xr:uid="{E51C706C-DAA8-234E-BC13-7E89CF9492A5}"/>
    <hyperlink ref="K583" r:id="rId3" xr:uid="{13364091-B6E8-8F4C-BB26-03F8843137F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3D53-707B-1E43-A497-99EB845B8FEC}">
  <dimension ref="A1:X8"/>
  <sheetViews>
    <sheetView topLeftCell="G1" workbookViewId="0">
      <selection activeCell="S18" sqref="S18"/>
    </sheetView>
  </sheetViews>
  <sheetFormatPr defaultColWidth="11.19921875" defaultRowHeight="15.6" x14ac:dyDescent="0.3"/>
  <cols>
    <col min="2" max="3" width="11.5" bestFit="1" customWidth="1"/>
    <col min="4" max="4" width="11" bestFit="1" customWidth="1"/>
    <col min="5" max="9" width="11" customWidth="1"/>
  </cols>
  <sheetData>
    <row r="1" spans="1:24" x14ac:dyDescent="0.3">
      <c r="A1" t="s">
        <v>6062</v>
      </c>
      <c r="B1">
        <v>2021</v>
      </c>
      <c r="C1">
        <v>2022</v>
      </c>
      <c r="D1">
        <v>2023</v>
      </c>
      <c r="F1">
        <v>2021</v>
      </c>
      <c r="G1">
        <v>2022</v>
      </c>
      <c r="H1">
        <v>2023</v>
      </c>
      <c r="J1">
        <v>1</v>
      </c>
      <c r="K1" s="33" t="s">
        <v>6063</v>
      </c>
      <c r="L1" s="33" t="s">
        <v>6064</v>
      </c>
      <c r="M1" s="33" t="s">
        <v>6065</v>
      </c>
      <c r="N1" s="33" t="s">
        <v>6066</v>
      </c>
      <c r="O1" s="33" t="s">
        <v>6067</v>
      </c>
      <c r="P1" s="33" t="s">
        <v>6068</v>
      </c>
      <c r="Q1" s="33"/>
      <c r="R1">
        <v>1</v>
      </c>
      <c r="S1" s="33" t="s">
        <v>6063</v>
      </c>
      <c r="T1" s="33" t="s">
        <v>6064</v>
      </c>
      <c r="U1" s="33" t="s">
        <v>6065</v>
      </c>
      <c r="V1" s="33" t="s">
        <v>6066</v>
      </c>
      <c r="W1" s="33" t="s">
        <v>6067</v>
      </c>
      <c r="X1" s="33" t="s">
        <v>6068</v>
      </c>
    </row>
    <row r="2" spans="1:24" x14ac:dyDescent="0.3">
      <c r="A2" t="s">
        <v>1350</v>
      </c>
      <c r="B2" s="41">
        <f>SUMIFS(Data!$Y$2:$Y$754,Data!$A$2:$A$754,$A2,Data!$S$2:$S$754,B$1)</f>
        <v>256765</v>
      </c>
      <c r="C2" s="41">
        <f>SUMIFS(Data!$Y$2:$Y$754,Data!$A$2:$A$754,$A2,Data!$S$2:$S$754,C$1)</f>
        <v>98797</v>
      </c>
      <c r="D2" s="41">
        <f>SUMIFS(Data!$Y$2:$Y$754,Data!$A$2:$A$754,$A2,Data!$S$2:$S$754,D$1)</f>
        <v>60088</v>
      </c>
      <c r="E2" s="41"/>
      <c r="F2" s="42">
        <f>B2/SUM($B2:$D2)</f>
        <v>0.61774329363647296</v>
      </c>
      <c r="G2" s="42">
        <f t="shared" ref="G2:H2" si="0">C2/SUM($B2:$D2)</f>
        <v>0.23769277035967762</v>
      </c>
      <c r="H2" s="42">
        <f t="shared" si="0"/>
        <v>0.1445639360038494</v>
      </c>
      <c r="I2" s="41"/>
      <c r="J2">
        <f>SUMIFS(Data!$Y$2:$Y$754,Data!$A$2:$A$754,$A2,Data!$H$2:$H$754,"=1")</f>
        <v>2091</v>
      </c>
      <c r="K2">
        <f>SUMIFS(Data!$Y$2:$Y$754,Data!$A$2:$A$754,$A2,Data!$H$2:$H$754,"&gt;1",Data!$H$2:$H$754,"&lt;=5")</f>
        <v>6444</v>
      </c>
      <c r="L2">
        <f>SUMIFS(Data!$Y$2:$Y$754,Data!$A$2:$A$754,$A2,Data!$H$2:$H$754,"&gt;5",Data!$H$2:$H$754,"&lt;=10")</f>
        <v>316</v>
      </c>
      <c r="M2">
        <f>SUMIFS(Data!$Y$2:$Y$754,Data!$A$2:$A$754,$A2,Data!$H$2:$H$754,"&gt;10",Data!$H$2:$H$754,"&lt;=50")</f>
        <v>5685</v>
      </c>
      <c r="N2">
        <f>SUMIFS(Data!$Y$2:$Y$754,Data!$A$2:$A$754,$A2,Data!$H$2:$H$754,"&gt;51",Data!$H$2:$H$754,"&lt;=100")</f>
        <v>74672</v>
      </c>
      <c r="O2">
        <f>SUMIFS(Data!$Y$2:$Y$754,Data!$A$2:$A$754,$A2,Data!$H$2:$H$754,"&gt;101")</f>
        <v>299085</v>
      </c>
      <c r="P2">
        <f>SUMIFS(Data!$Y$2:$Y$754,Data!$A$2:$A$754,$A2,Data!$H$2:$H$754,"=")</f>
        <v>27357</v>
      </c>
      <c r="R2" s="43">
        <f>J2/SUM($B2:$D2)</f>
        <v>5.0306748466257666E-3</v>
      </c>
      <c r="S2" s="43">
        <f t="shared" ref="S2:X2" si="1">K2/SUM($B2:$D2)</f>
        <v>1.5503428365211114E-2</v>
      </c>
      <c r="T2" s="43">
        <f t="shared" si="1"/>
        <v>7.6025502225430044E-4</v>
      </c>
      <c r="U2" s="43">
        <f t="shared" si="1"/>
        <v>1.3677372789606641E-2</v>
      </c>
      <c r="V2" s="43">
        <f t="shared" si="1"/>
        <v>0.1796511488030795</v>
      </c>
      <c r="W2" s="43">
        <f t="shared" si="1"/>
        <v>0.71955972573078308</v>
      </c>
      <c r="X2" s="43">
        <f t="shared" si="1"/>
        <v>6.5817394442439558E-2</v>
      </c>
    </row>
    <row r="3" spans="1:24" x14ac:dyDescent="0.3">
      <c r="A3" t="s">
        <v>2654</v>
      </c>
      <c r="B3" s="41">
        <f>SUMIFS(Data!$Y$2:$Y$754,Data!$A$2:$A$754,$A3,Data!$S$2:$S$754,B$1)</f>
        <v>26945</v>
      </c>
      <c r="C3" s="41">
        <f>SUMIFS(Data!$Y$2:$Y$754,Data!$A$2:$A$754,$A3,Data!$S$2:$S$754,C$1)</f>
        <v>81973</v>
      </c>
      <c r="D3" s="41">
        <f>SUMIFS(Data!$Y$2:$Y$754,Data!$A$2:$A$754,$A3,Data!$S$2:$S$754,D$1)</f>
        <v>38859</v>
      </c>
      <c r="E3" s="41"/>
      <c r="F3" s="42">
        <f t="shared" ref="F3:F8" si="2">B3/SUM($B3:$D3)</f>
        <v>0.18233554612693451</v>
      </c>
      <c r="G3" s="42">
        <f t="shared" ref="G3:G8" si="3">C3/SUM($B3:$D3)</f>
        <v>0.55470743079098916</v>
      </c>
      <c r="H3" s="42">
        <f t="shared" ref="H3:H8" si="4">D3/SUM($B3:$D3)</f>
        <v>0.26295702308207636</v>
      </c>
      <c r="I3" s="41"/>
      <c r="J3">
        <f>SUMIFS(Data!$Y$2:$Y$754,Data!$A$2:$A$754,$A3,Data!$H$2:$H$754,"=1")</f>
        <v>62229</v>
      </c>
      <c r="K3">
        <f>SUMIFS(Data!$Y$2:$Y$754,Data!$A$2:$A$754,$A3,Data!$H$2:$H$754,"&gt;1",Data!$H$2:$H$754,"&lt;=5")</f>
        <v>77689</v>
      </c>
      <c r="L3">
        <f>SUMIFS(Data!$Y$2:$Y$754,Data!$A$2:$A$754,$A3,Data!$H$2:$H$754,"&gt;5",Data!$H$2:$H$754,"&lt;=10")</f>
        <v>3730</v>
      </c>
      <c r="M3">
        <f>SUMIFS(Data!$Y$2:$Y$754,Data!$A$2:$A$754,$A3,Data!$H$2:$H$754,"&gt;10",Data!$H$2:$H$754,"&lt;=50")</f>
        <v>1953</v>
      </c>
      <c r="N3">
        <f>SUMIFS(Data!$Y$2:$Y$754,Data!$A$2:$A$754,$A3,Data!$H$2:$H$754,"&gt;51",Data!$H$2:$H$754,"&lt;=100")</f>
        <v>0</v>
      </c>
      <c r="O3">
        <f>SUMIFS(Data!$Y$2:$Y$754,Data!$A$2:$A$754,$A3,Data!$H$2:$H$754,"&gt;101")</f>
        <v>0</v>
      </c>
      <c r="P3">
        <f>SUMIFS(Data!$Y$2:$Y$754,Data!$A$2:$A$754,$A3,Data!$H$2:$H$754,"=")</f>
        <v>2176</v>
      </c>
      <c r="R3" s="43">
        <f t="shared" ref="R3:R8" si="5">J3/SUM($B3:$D3)</f>
        <v>0.42110071256014131</v>
      </c>
      <c r="S3" s="43">
        <f t="shared" ref="S3:S8" si="6">K3/SUM($B3:$D3)</f>
        <v>0.52571780452979833</v>
      </c>
      <c r="T3" s="43">
        <f t="shared" ref="T3:T8" si="7">L3/SUM($B3:$D3)</f>
        <v>2.5240734349729659E-2</v>
      </c>
      <c r="U3" s="43">
        <f t="shared" ref="U3:U8" si="8">M3/SUM($B3:$D3)</f>
        <v>1.3215859030837005E-2</v>
      </c>
      <c r="V3" s="43">
        <f t="shared" ref="V3:V8" si="9">N3/SUM($B3:$D3)</f>
        <v>0</v>
      </c>
      <c r="W3" s="43">
        <f t="shared" ref="W3:W8" si="10">O3/SUM($B3:$D3)</f>
        <v>0</v>
      </c>
      <c r="X3" s="43">
        <f t="shared" ref="X3:X8" si="11">P3/SUM($B3:$D3)</f>
        <v>1.4724889529493764E-2</v>
      </c>
    </row>
    <row r="4" spans="1:24" x14ac:dyDescent="0.3">
      <c r="A4" t="s">
        <v>2867</v>
      </c>
      <c r="B4" s="41">
        <f>SUMIFS(Data!$Y$2:$Y$754,Data!$A$2:$A$754,$A4,Data!$S$2:$S$754,B$1)</f>
        <v>2117</v>
      </c>
      <c r="C4" s="41">
        <f>SUMIFS(Data!$Y$2:$Y$754,Data!$A$2:$A$754,$A4,Data!$S$2:$S$754,C$1)</f>
        <v>18910</v>
      </c>
      <c r="D4" s="41">
        <f>SUMIFS(Data!$Y$2:$Y$754,Data!$A$2:$A$754,$A4,Data!$S$2:$S$754,D$1)</f>
        <v>2768</v>
      </c>
      <c r="E4" s="41"/>
      <c r="F4" s="42">
        <f t="shared" si="2"/>
        <v>8.8968270645093508E-2</v>
      </c>
      <c r="G4" s="42">
        <f t="shared" si="3"/>
        <v>0.79470476990964489</v>
      </c>
      <c r="H4" s="42">
        <f t="shared" si="4"/>
        <v>0.11632695944526161</v>
      </c>
      <c r="I4" s="41"/>
      <c r="J4">
        <f>SUMIFS(Data!$Y$2:$Y$754,Data!$A$2:$A$754,$A4,Data!$H$2:$H$754,"=1")</f>
        <v>3595</v>
      </c>
      <c r="K4">
        <f>SUMIFS(Data!$Y$2:$Y$754,Data!$A$2:$A$754,$A4,Data!$H$2:$H$754,"&gt;1",Data!$H$2:$H$754,"&lt;=5")</f>
        <v>6955</v>
      </c>
      <c r="L4">
        <f>SUMIFS(Data!$Y$2:$Y$754,Data!$A$2:$A$754,$A4,Data!$H$2:$H$754,"&gt;5",Data!$H$2:$H$754,"&lt;=10")</f>
        <v>2563</v>
      </c>
      <c r="M4">
        <f>SUMIFS(Data!$Y$2:$Y$754,Data!$A$2:$A$754,$A4,Data!$H$2:$H$754,"&gt;10",Data!$H$2:$H$754,"&lt;=50")</f>
        <v>10416</v>
      </c>
      <c r="N4">
        <f>SUMIFS(Data!$Y$2:$Y$754,Data!$A$2:$A$754,$A4,Data!$H$2:$H$754,"&gt;51",Data!$H$2:$H$754,"&lt;=100")</f>
        <v>155</v>
      </c>
      <c r="O4">
        <f>SUMIFS(Data!$Y$2:$Y$754,Data!$A$2:$A$754,$A4,Data!$H$2:$H$754,"&gt;101")</f>
        <v>0</v>
      </c>
      <c r="P4">
        <f>SUMIFS(Data!$Y$2:$Y$754,Data!$A$2:$A$754,$A4,Data!$H$2:$H$754,"=")</f>
        <v>111</v>
      </c>
      <c r="R4" s="43">
        <f t="shared" si="5"/>
        <v>0.15108216011767178</v>
      </c>
      <c r="S4" s="43">
        <f t="shared" si="6"/>
        <v>0.29228829586047489</v>
      </c>
      <c r="T4" s="43">
        <f t="shared" si="7"/>
        <v>0.10771170413952511</v>
      </c>
      <c r="U4" s="43">
        <f t="shared" si="8"/>
        <v>0.43773902080268962</v>
      </c>
      <c r="V4" s="43">
        <f t="shared" si="9"/>
        <v>6.5139735238495481E-3</v>
      </c>
      <c r="W4" s="43">
        <f t="shared" si="10"/>
        <v>0</v>
      </c>
      <c r="X4" s="43">
        <f t="shared" si="11"/>
        <v>4.664845555789031E-3</v>
      </c>
    </row>
    <row r="5" spans="1:24" x14ac:dyDescent="0.3">
      <c r="A5" t="s">
        <v>2925</v>
      </c>
      <c r="B5" s="41">
        <f>SUMIFS(Data!$Y$2:$Y$754,Data!$A$2:$A$754,$A5,Data!$S$2:$S$754,B$1)</f>
        <v>0</v>
      </c>
      <c r="C5" s="41">
        <f>SUMIFS(Data!$Y$2:$Y$754,Data!$A$2:$A$754,$A5,Data!$S$2:$S$754,C$1)</f>
        <v>4</v>
      </c>
      <c r="D5" s="41">
        <f>SUMIFS(Data!$Y$2:$Y$754,Data!$A$2:$A$754,$A5,Data!$S$2:$S$754,D$1)</f>
        <v>0</v>
      </c>
      <c r="E5" s="41"/>
      <c r="F5" s="42">
        <f t="shared" si="2"/>
        <v>0</v>
      </c>
      <c r="G5" s="42">
        <f t="shared" si="3"/>
        <v>1</v>
      </c>
      <c r="H5" s="42">
        <f t="shared" si="4"/>
        <v>0</v>
      </c>
      <c r="I5" s="41"/>
      <c r="J5">
        <f>SUMIFS(Data!$Y$2:$Y$754,Data!$A$2:$A$754,$A5,Data!$H$2:$H$754,"=1")</f>
        <v>0</v>
      </c>
      <c r="K5">
        <f>SUMIFS(Data!$Y$2:$Y$754,Data!$A$2:$A$754,$A5,Data!$H$2:$H$754,"&gt;1",Data!$H$2:$H$754,"&lt;=5")</f>
        <v>0</v>
      </c>
      <c r="L5">
        <f>SUMIFS(Data!$Y$2:$Y$754,Data!$A$2:$A$754,$A5,Data!$H$2:$H$754,"&gt;5",Data!$H$2:$H$754,"&lt;=10")</f>
        <v>0</v>
      </c>
      <c r="M5">
        <f>SUMIFS(Data!$Y$2:$Y$754,Data!$A$2:$A$754,$A5,Data!$H$2:$H$754,"&gt;10",Data!$H$2:$H$754,"&lt;=50")</f>
        <v>0</v>
      </c>
      <c r="N5">
        <f>SUMIFS(Data!$Y$2:$Y$754,Data!$A$2:$A$754,$A5,Data!$H$2:$H$754,"&gt;51",Data!$H$2:$H$754,"&lt;=100")</f>
        <v>0</v>
      </c>
      <c r="O5">
        <f>SUMIFS(Data!$Y$2:$Y$754,Data!$A$2:$A$754,$A5,Data!$H$2:$H$754,"&gt;101")</f>
        <v>0</v>
      </c>
      <c r="P5">
        <f>SUMIFS(Data!$Y$2:$Y$754,Data!$A$2:$A$754,$A5,Data!$H$2:$H$754,"=")</f>
        <v>4</v>
      </c>
      <c r="R5" s="43">
        <f t="shared" si="5"/>
        <v>0</v>
      </c>
      <c r="S5" s="43">
        <f t="shared" si="6"/>
        <v>0</v>
      </c>
      <c r="T5" s="43">
        <f t="shared" si="7"/>
        <v>0</v>
      </c>
      <c r="U5" s="43">
        <f t="shared" si="8"/>
        <v>0</v>
      </c>
      <c r="V5" s="43">
        <f t="shared" si="9"/>
        <v>0</v>
      </c>
      <c r="W5" s="43">
        <f t="shared" si="10"/>
        <v>0</v>
      </c>
      <c r="X5" s="43">
        <f t="shared" si="11"/>
        <v>1</v>
      </c>
    </row>
    <row r="6" spans="1:24" x14ac:dyDescent="0.3">
      <c r="A6" t="s">
        <v>3822</v>
      </c>
      <c r="B6" s="41">
        <f>SUMIFS(Data!$Y$2:$Y$754,Data!$A$2:$A$754,$A6,Data!$S$2:$S$754,B$1)</f>
        <v>58756</v>
      </c>
      <c r="C6" s="41">
        <f>SUMIFS(Data!$Y$2:$Y$754,Data!$A$2:$A$754,$A6,Data!$S$2:$S$754,C$1)</f>
        <v>144965</v>
      </c>
      <c r="D6" s="41">
        <f>SUMIFS(Data!$Y$2:$Y$754,Data!$A$2:$A$754,$A6,Data!$S$2:$S$754,D$1)</f>
        <v>0</v>
      </c>
      <c r="E6" s="41"/>
      <c r="F6" s="42">
        <f t="shared" si="2"/>
        <v>0.28841405647920443</v>
      </c>
      <c r="G6" s="42">
        <f t="shared" si="3"/>
        <v>0.71158594352079563</v>
      </c>
      <c r="H6" s="42">
        <f t="shared" si="4"/>
        <v>0</v>
      </c>
      <c r="I6" s="41"/>
      <c r="J6">
        <f>SUMIFS(Data!$Y$2:$Y$754,Data!$A$2:$A$754,$A6,Data!$H$2:$H$754,"=1")</f>
        <v>0</v>
      </c>
      <c r="K6">
        <f>SUMIFS(Data!$Y$2:$Y$754,Data!$A$2:$A$754,$A6,Data!$H$2:$H$754,"&gt;1",Data!$H$2:$H$754,"&lt;=5")</f>
        <v>167</v>
      </c>
      <c r="L6">
        <f>SUMIFS(Data!$Y$2:$Y$754,Data!$A$2:$A$754,$A6,Data!$H$2:$H$754,"&gt;5",Data!$H$2:$H$754,"&lt;=10")</f>
        <v>618</v>
      </c>
      <c r="M6">
        <f>SUMIFS(Data!$Y$2:$Y$754,Data!$A$2:$A$754,$A6,Data!$H$2:$H$754,"&gt;10",Data!$H$2:$H$754,"&lt;=50")</f>
        <v>3215</v>
      </c>
      <c r="N6">
        <f>SUMIFS(Data!$Y$2:$Y$754,Data!$A$2:$A$754,$A6,Data!$H$2:$H$754,"&gt;51",Data!$H$2:$H$754,"&lt;=100")</f>
        <v>97</v>
      </c>
      <c r="O6">
        <f>SUMIFS(Data!$Y$2:$Y$754,Data!$A$2:$A$754,$A6,Data!$H$2:$H$754,"&gt;101")</f>
        <v>188865</v>
      </c>
      <c r="P6">
        <f>SUMIFS(Data!$Y$2:$Y$754,Data!$A$2:$A$754,$A6,Data!$H$2:$H$754,"=")</f>
        <v>10291</v>
      </c>
      <c r="R6" s="43">
        <f t="shared" si="5"/>
        <v>0</v>
      </c>
      <c r="S6" s="43">
        <f t="shared" si="6"/>
        <v>8.1974857771167431E-4</v>
      </c>
      <c r="T6" s="43">
        <f t="shared" si="7"/>
        <v>3.0335606049449984E-3</v>
      </c>
      <c r="U6" s="43">
        <f t="shared" si="8"/>
        <v>1.578138728947924E-2</v>
      </c>
      <c r="V6" s="43">
        <f t="shared" si="9"/>
        <v>4.7614138944929586E-4</v>
      </c>
      <c r="W6" s="43">
        <f t="shared" si="10"/>
        <v>0.92707673730248719</v>
      </c>
      <c r="X6" s="43">
        <f t="shared" si="11"/>
        <v>5.0515165348687663E-2</v>
      </c>
    </row>
    <row r="7" spans="1:24" x14ac:dyDescent="0.3">
      <c r="A7" t="s">
        <v>2878</v>
      </c>
      <c r="B7" s="41">
        <f>SUMIFS(Data!$Y$2:$Y$754,Data!$A$2:$A$754,$A7,Data!$S$2:$S$754,B$1)</f>
        <v>0</v>
      </c>
      <c r="C7" s="41">
        <f>SUMIFS(Data!$Y$2:$Y$754,Data!$A$2:$A$754,$A7,Data!$S$2:$S$754,C$1)</f>
        <v>0</v>
      </c>
      <c r="D7" s="41">
        <f>SUMIFS(Data!$Y$2:$Y$754,Data!$A$2:$A$754,$A7,Data!$S$2:$S$754,D$1)</f>
        <v>48</v>
      </c>
      <c r="E7" s="41"/>
      <c r="F7" s="42">
        <f t="shared" si="2"/>
        <v>0</v>
      </c>
      <c r="G7" s="42">
        <f t="shared" si="3"/>
        <v>0</v>
      </c>
      <c r="H7" s="42">
        <f t="shared" si="4"/>
        <v>1</v>
      </c>
      <c r="I7" s="41"/>
      <c r="J7">
        <f>SUMIFS(Data!$Y$2:$Y$754,Data!$A$2:$A$754,$A7,Data!$H$2:$H$754,"=1")</f>
        <v>0</v>
      </c>
      <c r="K7">
        <f>SUMIFS(Data!$Y$2:$Y$754,Data!$A$2:$A$754,$A7,Data!$H$2:$H$754,"&gt;1",Data!$H$2:$H$754,"&lt;=5")</f>
        <v>48</v>
      </c>
      <c r="L7">
        <f>SUMIFS(Data!$Y$2:$Y$754,Data!$A$2:$A$754,$A7,Data!$H$2:$H$754,"&gt;5",Data!$H$2:$H$754,"&lt;=10")</f>
        <v>0</v>
      </c>
      <c r="M7">
        <f>SUMIFS(Data!$Y$2:$Y$754,Data!$A$2:$A$754,$A7,Data!$H$2:$H$754,"&gt;10",Data!$H$2:$H$754,"&lt;=50")</f>
        <v>0</v>
      </c>
      <c r="N7">
        <f>SUMIFS(Data!$Y$2:$Y$754,Data!$A$2:$A$754,$A7,Data!$H$2:$H$754,"&gt;51",Data!$H$2:$H$754,"&lt;=100")</f>
        <v>0</v>
      </c>
      <c r="O7">
        <f>SUMIFS(Data!$Y$2:$Y$754,Data!$A$2:$A$754,$A7,Data!$H$2:$H$754,"&gt;101")</f>
        <v>0</v>
      </c>
      <c r="P7">
        <f>SUMIFS(Data!$Y$2:$Y$754,Data!$A$2:$A$754,$A7,Data!$H$2:$H$754,"=")</f>
        <v>0</v>
      </c>
      <c r="R7" s="43">
        <f t="shared" si="5"/>
        <v>0</v>
      </c>
      <c r="S7" s="43">
        <f t="shared" si="6"/>
        <v>1</v>
      </c>
      <c r="T7" s="43">
        <f t="shared" si="7"/>
        <v>0</v>
      </c>
      <c r="U7" s="43">
        <f t="shared" si="8"/>
        <v>0</v>
      </c>
      <c r="V7" s="43">
        <f t="shared" si="9"/>
        <v>0</v>
      </c>
      <c r="W7" s="43">
        <f t="shared" si="10"/>
        <v>0</v>
      </c>
      <c r="X7" s="43">
        <f t="shared" si="11"/>
        <v>0</v>
      </c>
    </row>
    <row r="8" spans="1:24" x14ac:dyDescent="0.3">
      <c r="A8" t="s">
        <v>2928</v>
      </c>
      <c r="B8" s="41">
        <f>SUMIFS(Data!$Y$2:$Y$754,Data!$A$2:$A$754,$A8,Data!$S$2:$S$754,B$1)</f>
        <v>0</v>
      </c>
      <c r="C8" s="41">
        <f>SUMIFS(Data!$Y$2:$Y$754,Data!$A$2:$A$754,$A8,Data!$S$2:$S$754,C$1)</f>
        <v>0</v>
      </c>
      <c r="D8" s="41">
        <f>SUMIFS(Data!$Y$2:$Y$754,Data!$A$2:$A$754,$A8,Data!$S$2:$S$754,D$1)</f>
        <v>94</v>
      </c>
      <c r="E8" s="41"/>
      <c r="F8" s="42">
        <f t="shared" si="2"/>
        <v>0</v>
      </c>
      <c r="G8" s="42">
        <f t="shared" si="3"/>
        <v>0</v>
      </c>
      <c r="H8" s="42">
        <f t="shared" si="4"/>
        <v>1</v>
      </c>
      <c r="I8" s="41"/>
      <c r="J8">
        <f>SUMIFS(Data!$Y$2:$Y$754,Data!$A$2:$A$754,$A8,Data!$H$2:$H$754,"=1")</f>
        <v>94</v>
      </c>
      <c r="K8">
        <f>SUMIFS(Data!$Y$2:$Y$754,Data!$A$2:$A$754,$A8,Data!$H$2:$H$754,"&gt;1",Data!$H$2:$H$754,"&lt;=5")</f>
        <v>0</v>
      </c>
      <c r="L8">
        <f>SUMIFS(Data!$Y$2:$Y$754,Data!$A$2:$A$754,$A8,Data!$H$2:$H$754,"&gt;5",Data!$H$2:$H$754,"&lt;=10")</f>
        <v>0</v>
      </c>
      <c r="M8">
        <f>SUMIFS(Data!$Y$2:$Y$754,Data!$A$2:$A$754,$A8,Data!$H$2:$H$754,"&gt;10",Data!$H$2:$H$754,"&lt;=50")</f>
        <v>0</v>
      </c>
      <c r="N8">
        <f>SUMIFS(Data!$Y$2:$Y$754,Data!$A$2:$A$754,$A8,Data!$H$2:$H$754,"&gt;51",Data!$H$2:$H$754,"&lt;=100")</f>
        <v>0</v>
      </c>
      <c r="O8">
        <f>SUMIFS(Data!$Y$2:$Y$754,Data!$A$2:$A$754,$A8,Data!$H$2:$H$754,"&gt;101")</f>
        <v>0</v>
      </c>
      <c r="P8">
        <f>SUMIFS(Data!$Y$2:$Y$754,Data!$A$2:$A$754,$A8,Data!$H$2:$H$754,"=")</f>
        <v>0</v>
      </c>
      <c r="R8" s="43">
        <f t="shared" si="5"/>
        <v>1</v>
      </c>
      <c r="S8" s="43">
        <f t="shared" si="6"/>
        <v>0</v>
      </c>
      <c r="T8" s="43">
        <f t="shared" si="7"/>
        <v>0</v>
      </c>
      <c r="U8" s="43">
        <f t="shared" si="8"/>
        <v>0</v>
      </c>
      <c r="V8" s="43">
        <f t="shared" si="9"/>
        <v>0</v>
      </c>
      <c r="W8" s="43">
        <f t="shared" si="10"/>
        <v>0</v>
      </c>
      <c r="X8" s="43">
        <f t="shared" si="1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896137AAEE5547A3F59616D501B86B" ma:contentTypeVersion="6" ma:contentTypeDescription="Create a new document." ma:contentTypeScope="" ma:versionID="ad076c0431dd1a2b1974d14b2e9f374b">
  <xsd:schema xmlns:xsd="http://www.w3.org/2001/XMLSchema" xmlns:xs="http://www.w3.org/2001/XMLSchema" xmlns:p="http://schemas.microsoft.com/office/2006/metadata/properties" xmlns:ns2="39f6ec82-e754-4ad0-b56c-4898ae44f2d8" xmlns:ns3="5314e5ee-0267-4f36-b3e9-8297b5700a17" targetNamespace="http://schemas.microsoft.com/office/2006/metadata/properties" ma:root="true" ma:fieldsID="b07c328c0ab679ce9f04e1fcac8d8d93" ns2:_="" ns3:_="">
    <xsd:import namespace="39f6ec82-e754-4ad0-b56c-4898ae44f2d8"/>
    <xsd:import namespace="5314e5ee-0267-4f36-b3e9-8297b5700a1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f6ec82-e754-4ad0-b56c-4898ae44f2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14e5ee-0267-4f36-b3e9-8297b5700a1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314e5ee-0267-4f36-b3e9-8297b5700a17">
      <UserInfo>
        <DisplayName>Lucca Fabani</DisplayName>
        <AccountId>98</AccountId>
        <AccountType/>
      </UserInfo>
    </SharedWithUsers>
  </documentManagement>
</p:properties>
</file>

<file path=customXml/itemProps1.xml><?xml version="1.0" encoding="utf-8"?>
<ds:datastoreItem xmlns:ds="http://schemas.openxmlformats.org/officeDocument/2006/customXml" ds:itemID="{0DF131FF-57EE-4B4C-9FAC-BF3FF5B2DB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f6ec82-e754-4ad0-b56c-4898ae44f2d8"/>
    <ds:schemaRef ds:uri="5314e5ee-0267-4f36-b3e9-8297b5700a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0E8F84-8379-4370-93D0-ADB575680130}">
  <ds:schemaRefs>
    <ds:schemaRef ds:uri="http://schemas.microsoft.com/sharepoint/v3/contenttype/forms"/>
  </ds:schemaRefs>
</ds:datastoreItem>
</file>

<file path=customXml/itemProps3.xml><?xml version="1.0" encoding="utf-8"?>
<ds:datastoreItem xmlns:ds="http://schemas.openxmlformats.org/officeDocument/2006/customXml" ds:itemID="{A281FDF6-2542-4B41-BD89-0FE8DB600714}">
  <ds:schemaRefs>
    <ds:schemaRef ds:uri="http://schemas.openxmlformats.org/package/2006/metadata/core-properties"/>
    <ds:schemaRef ds:uri="http://purl.org/dc/terms/"/>
    <ds:schemaRef ds:uri="39f6ec82-e754-4ad0-b56c-4898ae44f2d8"/>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microsoft.com/office/infopath/2007/PartnerControls"/>
    <ds:schemaRef ds:uri="5314e5ee-0267-4f36-b3e9-8297b5700a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Reuben Schleiger</dc:creator>
  <cp:lastModifiedBy>Lucca Fabani</cp:lastModifiedBy>
  <dcterms:created xsi:type="dcterms:W3CDTF">2023-05-19T17:34:31Z</dcterms:created>
  <dcterms:modified xsi:type="dcterms:W3CDTF">2023-06-27T18:17:38Z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0x010100DF896137AAEE5547A3F59616D501B86B</vt:lpwstr>
  </property>
</Properties>
</file>