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43 nodos" sheetId="1" r:id="rId1"/>
    <sheet name="Lineas" sheetId="4" r:id="rId2"/>
    <sheet name="funcion hidro maxsurf" sheetId="2" r:id="rId3"/>
    <sheet name="Cálculos propios" sheetId="3" r:id="rId4"/>
    <sheet name="24 nodos" sheetId="5" r:id="rId5"/>
  </sheets>
  <calcPr calcId="145621"/>
</workbook>
</file>

<file path=xl/calcChain.xml><?xml version="1.0" encoding="utf-8"?>
<calcChain xmlns="http://schemas.openxmlformats.org/spreadsheetml/2006/main">
  <c r="H40" i="5" l="1"/>
  <c r="H41" i="5" s="1"/>
  <c r="H42" i="5" s="1"/>
  <c r="H39" i="5"/>
  <c r="H38" i="5"/>
  <c r="H36" i="5"/>
  <c r="H34" i="5"/>
  <c r="H32" i="5"/>
  <c r="H30" i="5"/>
  <c r="H28" i="5"/>
  <c r="H26" i="5"/>
  <c r="H24" i="5"/>
  <c r="H22" i="5"/>
  <c r="H20" i="5"/>
  <c r="H18" i="5"/>
  <c r="H16" i="5"/>
  <c r="H14" i="5"/>
  <c r="H12" i="5"/>
  <c r="H10" i="5"/>
  <c r="H8" i="5"/>
  <c r="H6" i="5"/>
  <c r="H5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F3" i="4" l="1"/>
  <c r="F4" i="4"/>
  <c r="F2" i="4"/>
  <c r="E3" i="4"/>
  <c r="E4" i="4"/>
  <c r="E2" i="4"/>
  <c r="D3" i="4"/>
  <c r="D4" i="4"/>
  <c r="D2" i="4"/>
  <c r="C4" i="4"/>
  <c r="C3" i="4"/>
  <c r="C2" i="4"/>
  <c r="B2" i="4"/>
  <c r="B3" i="4"/>
  <c r="B4" i="4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3" i="1"/>
  <c r="K48" i="3" l="1"/>
  <c r="J48" i="3"/>
  <c r="H48" i="3"/>
  <c r="G48" i="3"/>
  <c r="F48" i="3"/>
  <c r="E48" i="3"/>
  <c r="D48" i="3"/>
  <c r="C48" i="3"/>
  <c r="B48" i="3"/>
  <c r="E11" i="3"/>
  <c r="E15" i="3"/>
  <c r="E19" i="3"/>
  <c r="C20" i="3"/>
  <c r="E20" i="3" s="1"/>
  <c r="C19" i="3"/>
  <c r="D19" i="3" s="1"/>
  <c r="C18" i="3"/>
  <c r="D18" i="3" s="1"/>
  <c r="C17" i="3"/>
  <c r="D17" i="3" s="1"/>
  <c r="C16" i="3"/>
  <c r="E16" i="3" s="1"/>
  <c r="C15" i="3"/>
  <c r="D15" i="3" s="1"/>
  <c r="C14" i="3"/>
  <c r="D14" i="3" s="1"/>
  <c r="C13" i="3"/>
  <c r="D13" i="3" s="1"/>
  <c r="C12" i="3"/>
  <c r="E12" i="3" s="1"/>
  <c r="C11" i="3"/>
  <c r="D11" i="3" s="1"/>
  <c r="C10" i="3"/>
  <c r="D10" i="3" s="1"/>
  <c r="D4" i="3"/>
  <c r="D5" i="3"/>
  <c r="B6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49" i="3" l="1"/>
  <c r="D20" i="3"/>
  <c r="E17" i="3"/>
  <c r="D16" i="3"/>
  <c r="D12" i="3"/>
  <c r="E13" i="3"/>
  <c r="E18" i="3"/>
  <c r="E14" i="3"/>
  <c r="G11" i="3"/>
  <c r="E10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G12" i="3" l="1"/>
  <c r="I11" i="3" s="1"/>
  <c r="I10" i="3"/>
  <c r="J10" i="3" l="1"/>
  <c r="G13" i="3"/>
  <c r="I12" i="3"/>
  <c r="K10" i="3" l="1"/>
  <c r="J11" i="3"/>
  <c r="G14" i="3"/>
  <c r="I13" i="3"/>
  <c r="J12" i="3" l="1"/>
  <c r="G15" i="3"/>
  <c r="K11" i="3" l="1"/>
  <c r="G16" i="3"/>
  <c r="I14" i="3"/>
  <c r="J13" i="3" l="1"/>
  <c r="L10" i="3"/>
  <c r="G17" i="3"/>
  <c r="I15" i="3"/>
  <c r="K13" i="3" l="1"/>
  <c r="K12" i="3"/>
  <c r="J14" i="3"/>
  <c r="G18" i="3"/>
  <c r="I17" i="3"/>
  <c r="I16" i="3"/>
  <c r="J16" i="3" s="1"/>
  <c r="L12" i="3" l="1"/>
  <c r="L11" i="3"/>
  <c r="J15" i="3"/>
  <c r="K15" i="3" s="1"/>
  <c r="K14" i="3"/>
  <c r="L14" i="3" s="1"/>
  <c r="G19" i="3"/>
  <c r="L13" i="3" l="1"/>
  <c r="M13" i="3" s="1"/>
  <c r="M11" i="3"/>
  <c r="M10" i="3"/>
  <c r="N10" i="3" s="1"/>
  <c r="G20" i="3"/>
  <c r="I19" i="3" s="1"/>
  <c r="I18" i="3"/>
  <c r="J18" i="3" l="1"/>
  <c r="J17" i="3"/>
  <c r="M12" i="3"/>
  <c r="N12" i="3" s="1"/>
  <c r="K17" i="3" l="1"/>
  <c r="K16" i="3"/>
  <c r="N11" i="3"/>
  <c r="O11" i="3" l="1"/>
  <c r="O10" i="3"/>
  <c r="L16" i="3"/>
  <c r="L15" i="3"/>
  <c r="M15" i="3" l="1"/>
  <c r="M14" i="3"/>
  <c r="P10" i="3"/>
  <c r="N14" i="3" l="1"/>
  <c r="N13" i="3"/>
  <c r="O13" i="3" l="1"/>
  <c r="O12" i="3"/>
  <c r="P12" i="3" l="1"/>
  <c r="P11" i="3"/>
  <c r="Q11" i="3" l="1"/>
  <c r="Q10" i="3"/>
  <c r="R10" i="3" l="1"/>
</calcChain>
</file>

<file path=xl/sharedStrings.xml><?xml version="1.0" encoding="utf-8"?>
<sst xmlns="http://schemas.openxmlformats.org/spreadsheetml/2006/main" count="192" uniqueCount="112">
  <si>
    <t>Elemento</t>
  </si>
  <si>
    <t>Longitud</t>
  </si>
  <si>
    <t>Boyantés</t>
  </si>
  <si>
    <t>Altura total</t>
  </si>
  <si>
    <t>Muerto</t>
  </si>
  <si>
    <t>Boya</t>
  </si>
  <si>
    <t>[m]</t>
  </si>
  <si>
    <t>[kg]</t>
  </si>
  <si>
    <t>kgf</t>
  </si>
  <si>
    <t>=</t>
  </si>
  <si>
    <t>Displacement t</t>
  </si>
  <si>
    <t>Draft Amidships</t>
  </si>
  <si>
    <t>Heel deg</t>
  </si>
  <si>
    <t>Draft at FP m</t>
  </si>
  <si>
    <t>Draft at AP m</t>
  </si>
  <si>
    <t>Draft at LCF m</t>
  </si>
  <si>
    <t>Trim (+ve by stern) m</t>
  </si>
  <si>
    <t>WL Length m</t>
  </si>
  <si>
    <t>Beam max extents on WL m</t>
  </si>
  <si>
    <t>Wetted Area m^2</t>
  </si>
  <si>
    <t>Waterpl. Area m^2</t>
  </si>
  <si>
    <t>Prismatic coeff. (Cp)</t>
  </si>
  <si>
    <t>Block coeff. (Cb)</t>
  </si>
  <si>
    <t>Max Sect. area coeff. (Cm)</t>
  </si>
  <si>
    <t>Waterpl. area coeff. (Cwp)</t>
  </si>
  <si>
    <t>LCB from zero pt. (+ve fwd) m</t>
  </si>
  <si>
    <t>LCF from zero pt. (+ve fwd) m</t>
  </si>
  <si>
    <t>KB m</t>
  </si>
  <si>
    <t>KG m</t>
  </si>
  <si>
    <t>BMt m</t>
  </si>
  <si>
    <t>BML m</t>
  </si>
  <si>
    <t>GMt m</t>
  </si>
  <si>
    <t>GML m</t>
  </si>
  <si>
    <t>KMt m</t>
  </si>
  <si>
    <t>KML m</t>
  </si>
  <si>
    <t>Immersion (TPc) tonne/cm</t>
  </si>
  <si>
    <t>MTc tonne.m</t>
  </si>
  <si>
    <t>RM at 1deg = GMt.Disp.sin(1) tonne.m</t>
  </si>
  <si>
    <t>Max deck inclination deg</t>
  </si>
  <si>
    <t>Trim angle (+ve by stern) deg</t>
  </si>
  <si>
    <t>Esfera</t>
  </si>
  <si>
    <t>Diámetro [m]</t>
  </si>
  <si>
    <t>En 10 divisiones</t>
  </si>
  <si>
    <t>Calado</t>
  </si>
  <si>
    <t>Calado [m]</t>
  </si>
  <si>
    <t>Volumen</t>
  </si>
  <si>
    <t>[m^3]</t>
  </si>
  <si>
    <t>Factor Vol</t>
  </si>
  <si>
    <t>Radio [m]</t>
  </si>
  <si>
    <t>Den. t/m^3</t>
  </si>
  <si>
    <t>Desplazamiento</t>
  </si>
  <si>
    <t>[t]</t>
  </si>
  <si>
    <t>Cb</t>
  </si>
  <si>
    <t>[-]</t>
  </si>
  <si>
    <t>Diferencias dividadas</t>
  </si>
  <si>
    <t>x^1</t>
  </si>
  <si>
    <t>x^2</t>
  </si>
  <si>
    <t>x^3</t>
  </si>
  <si>
    <t>x^4</t>
  </si>
  <si>
    <t>x^5</t>
  </si>
  <si>
    <t>x^6</t>
  </si>
  <si>
    <t>x^7</t>
  </si>
  <si>
    <t>x^8</t>
  </si>
  <si>
    <t>x^9</t>
  </si>
  <si>
    <t>x^10</t>
  </si>
  <si>
    <t>Función Máxima</t>
  </si>
  <si>
    <t>Despl. [t]</t>
  </si>
  <si>
    <t>Coeficientes</t>
  </si>
  <si>
    <t>x10</t>
  </si>
  <si>
    <t>x9</t>
  </si>
  <si>
    <t>x8</t>
  </si>
  <si>
    <t>x7</t>
  </si>
  <si>
    <t>x6</t>
  </si>
  <si>
    <t>x5</t>
  </si>
  <si>
    <t>x4</t>
  </si>
  <si>
    <t>x3</t>
  </si>
  <si>
    <t>x2</t>
  </si>
  <si>
    <t>x</t>
  </si>
  <si>
    <t>Cadena</t>
  </si>
  <si>
    <t>Posición Z</t>
  </si>
  <si>
    <t>CDMS AR</t>
  </si>
  <si>
    <t>BENTHOS</t>
  </si>
  <si>
    <t>Kevlar</t>
  </si>
  <si>
    <t>CDMS CM</t>
  </si>
  <si>
    <t>Cable</t>
  </si>
  <si>
    <t>Diámetro ["]</t>
  </si>
  <si>
    <t>Diámetro [mm]</t>
  </si>
  <si>
    <t>Area[mm2]</t>
  </si>
  <si>
    <t>Area[cm2]</t>
  </si>
  <si>
    <t>Area[m2]</t>
  </si>
  <si>
    <t>KEVLAR</t>
  </si>
  <si>
    <t>CABLE</t>
  </si>
  <si>
    <t>BOYA</t>
  </si>
  <si>
    <t>CADENA</t>
  </si>
  <si>
    <t>MUERTO</t>
  </si>
  <si>
    <t>KEVLAR 3</t>
  </si>
  <si>
    <t>CDMS CM 3</t>
  </si>
  <si>
    <t>CDMS CM 2</t>
  </si>
  <si>
    <t>KEVLAR 2</t>
  </si>
  <si>
    <t>CDMS CM 1</t>
  </si>
  <si>
    <t>KEVLAR 1</t>
  </si>
  <si>
    <t>BENTHOS 10</t>
  </si>
  <si>
    <t>BENTHOS 9</t>
  </si>
  <si>
    <t>BENTHOS 8</t>
  </si>
  <si>
    <t>BENTHOS 7</t>
  </si>
  <si>
    <t>BENTHOS 6</t>
  </si>
  <si>
    <t>BENTHOS 5</t>
  </si>
  <si>
    <t>BENTHOS 4</t>
  </si>
  <si>
    <t>BENTHOS 3</t>
  </si>
  <si>
    <t>BENTHOS 2</t>
  </si>
  <si>
    <t>ANCLAJE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</si>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</sst>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/>
    <xf numFmtId="166" fontId="0" fillId="0" borderId="0" xfId="0" applyNumberFormat="1" applyAlignment="1">
      <alignment horizontal="center"/>
    </xf>
    <xf numFmtId="164" fontId="0" fillId="0" borderId="0" xfId="0" applyNumberFormat="1"/>
    <xf numFmtId="12" fontId="0" fillId="0" borderId="0" xfId="0" applyNumberFormat="1"/>
    <xf numFmtId="1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Función Hidrostática</c:v>
          </c:tx>
          <c:marker>
            <c:symbol val="none"/>
          </c:marke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51394881889763777"/>
                  <c:y val="-8.3692403032954207E-2"/>
                </c:manualLayout>
              </c:layout>
              <c:numFmt formatCode="General" sourceLinked="0"/>
            </c:trendlineLbl>
          </c:trendline>
          <c:xVal>
            <c:numRef>
              <c:f>'funcion hidro maxsurf'!$B$1:$K$1</c:f>
              <c:numCache>
                <c:formatCode>General</c:formatCode>
                <c:ptCount val="10"/>
                <c:pt idx="0">
                  <c:v>0</c:v>
                </c:pt>
                <c:pt idx="1">
                  <c:v>0.17100000000000001</c:v>
                </c:pt>
                <c:pt idx="2">
                  <c:v>0.248</c:v>
                </c:pt>
                <c:pt idx="3">
                  <c:v>0.31</c:v>
                </c:pt>
                <c:pt idx="4">
                  <c:v>0.36499999999999999</c:v>
                </c:pt>
                <c:pt idx="5">
                  <c:v>0.41499999999999998</c:v>
                </c:pt>
                <c:pt idx="6">
                  <c:v>0.46300000000000002</c:v>
                </c:pt>
                <c:pt idx="7">
                  <c:v>0.50900000000000001</c:v>
                </c:pt>
                <c:pt idx="8">
                  <c:v>0.55400000000000005</c:v>
                </c:pt>
                <c:pt idx="9">
                  <c:v>0.59799999999999998</c:v>
                </c:pt>
              </c:numCache>
            </c:numRef>
          </c:xVal>
          <c:yVal>
            <c:numRef>
              <c:f>'funcion hidro maxsurf'!$B$2:$K$2</c:f>
              <c:numCache>
                <c:formatCode>General</c:formatCode>
                <c:ptCount val="10"/>
                <c:pt idx="0">
                  <c:v>0</c:v>
                </c:pt>
                <c:pt idx="1">
                  <c:v>5.1200000000000002E-2</c:v>
                </c:pt>
                <c:pt idx="2">
                  <c:v>0.10249999999999999</c:v>
                </c:pt>
                <c:pt idx="3">
                  <c:v>0.1537</c:v>
                </c:pt>
                <c:pt idx="4">
                  <c:v>0.2049</c:v>
                </c:pt>
                <c:pt idx="5">
                  <c:v>0.25609999999999999</c:v>
                </c:pt>
                <c:pt idx="6">
                  <c:v>0.30730000000000002</c:v>
                </c:pt>
                <c:pt idx="7">
                  <c:v>0.35859999999999997</c:v>
                </c:pt>
                <c:pt idx="8">
                  <c:v>0.4098</c:v>
                </c:pt>
                <c:pt idx="9">
                  <c:v>0.46100000000000002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55200"/>
        <c:axId val="114357376"/>
      </c:scatterChart>
      <c:valAx>
        <c:axId val="11435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Calado</a:t>
                </a:r>
                <a:r>
                  <a:rPr lang="es-CL" baseline="0"/>
                  <a:t> [m]</a:t>
                </a:r>
                <a:endParaRPr lang="es-C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357376"/>
        <c:crosses val="autoZero"/>
        <c:crossBetween val="midCat"/>
      </c:valAx>
      <c:valAx>
        <c:axId val="114357376"/>
        <c:scaling>
          <c:orientation val="minMax"/>
          <c:max val="0.5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Desplazamiento [t]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355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Función Hidrostática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Función Hidrostática</c:v>
          </c:tx>
          <c:marker>
            <c:symbol val="none"/>
          </c:marker>
          <c:xVal>
            <c:numRef>
              <c:f>'Cálculos propios'!$B$10:$B$20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  <c:pt idx="6">
                  <c:v>0.72</c:v>
                </c:pt>
                <c:pt idx="7">
                  <c:v>0.84</c:v>
                </c:pt>
                <c:pt idx="8">
                  <c:v>0.96</c:v>
                </c:pt>
                <c:pt idx="9">
                  <c:v>1.08</c:v>
                </c:pt>
                <c:pt idx="10">
                  <c:v>1.2000000000000002</c:v>
                </c:pt>
              </c:numCache>
            </c:numRef>
          </c:xVal>
          <c:yVal>
            <c:numRef>
              <c:f>'Cálculos propios'!$D$10:$D$20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2.5899999999999999E-2</c:v>
                </c:pt>
                <c:pt idx="2">
                  <c:v>9.64E-2</c:v>
                </c:pt>
                <c:pt idx="3">
                  <c:v>0.20019999999999999</c:v>
                </c:pt>
                <c:pt idx="4">
                  <c:v>0.32629999999999998</c:v>
                </c:pt>
                <c:pt idx="5">
                  <c:v>0.46350000000000002</c:v>
                </c:pt>
                <c:pt idx="6">
                  <c:v>0.6008</c:v>
                </c:pt>
                <c:pt idx="7">
                  <c:v>0.72689999999999999</c:v>
                </c:pt>
                <c:pt idx="8">
                  <c:v>0.83069999999999999</c:v>
                </c:pt>
                <c:pt idx="9">
                  <c:v>0.90110000000000001</c:v>
                </c:pt>
                <c:pt idx="10">
                  <c:v>0.92710000000000004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48256"/>
        <c:axId val="114450432"/>
      </c:scatterChart>
      <c:valAx>
        <c:axId val="114448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Calado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0432"/>
        <c:crosses val="autoZero"/>
        <c:crossBetween val="midCat"/>
      </c:valAx>
      <c:valAx>
        <c:axId val="11445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Dezplazamiento</a:t>
                </a:r>
                <a:r>
                  <a:rPr lang="es-CL" baseline="0"/>
                  <a:t> [t]</a:t>
                </a:r>
                <a:endParaRPr lang="es-C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482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0</xdr:rowOff>
    </xdr:from>
    <xdr:to>
      <xdr:col>18</xdr:col>
      <xdr:colOff>447675</xdr:colOff>
      <xdr:row>14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21</xdr:row>
      <xdr:rowOff>85724</xdr:rowOff>
    </xdr:from>
    <xdr:to>
      <xdr:col>8</xdr:col>
      <xdr:colOff>400050</xdr:colOff>
      <xdr:row>42</xdr:row>
      <xdr:rowOff>180975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4" workbookViewId="0">
      <selection activeCell="D26" sqref="D26"/>
    </sheetView>
  </sheetViews>
  <sheetFormatPr baseColWidth="10" defaultColWidth="9.140625" defaultRowHeight="15" x14ac:dyDescent="0.25"/>
  <cols>
    <col min="1" max="2" width="9.140625" customWidth="1"/>
    <col min="3" max="3" width="11.85546875" bestFit="1" customWidth="1"/>
    <col min="4" max="4" width="10.85546875" customWidth="1"/>
    <col min="8" max="8" width="9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  <c r="G1" t="s">
        <v>0</v>
      </c>
      <c r="H1" t="s">
        <v>79</v>
      </c>
    </row>
    <row r="2" spans="1:8" x14ac:dyDescent="0.25">
      <c r="B2" t="s">
        <v>6</v>
      </c>
      <c r="C2" t="s">
        <v>7</v>
      </c>
      <c r="D2" t="s">
        <v>111</v>
      </c>
      <c r="E2" t="s">
        <v>6</v>
      </c>
      <c r="G2" t="s">
        <v>4</v>
      </c>
      <c r="H2">
        <v>0</v>
      </c>
    </row>
    <row r="3" spans="1:8" x14ac:dyDescent="0.25">
      <c r="A3" t="s">
        <v>92</v>
      </c>
      <c r="B3">
        <v>1.2</v>
      </c>
      <c r="C3">
        <v>682</v>
      </c>
      <c r="D3" s="1">
        <f>C3*$D$25</f>
        <v>6690.42</v>
      </c>
      <c r="E3">
        <v>431.8</v>
      </c>
      <c r="G3">
        <v>0.55000000000000004</v>
      </c>
      <c r="H3">
        <f>G3/2</f>
        <v>0.27500000000000002</v>
      </c>
    </row>
    <row r="4" spans="1:8" x14ac:dyDescent="0.25">
      <c r="A4" t="s">
        <v>91</v>
      </c>
      <c r="B4">
        <v>10</v>
      </c>
      <c r="C4">
        <v>-0.12</v>
      </c>
      <c r="D4" s="9">
        <f t="shared" ref="D4:D23" si="0">C4*$D$25</f>
        <v>-1.1772</v>
      </c>
      <c r="H4">
        <f>G3</f>
        <v>0.55000000000000004</v>
      </c>
    </row>
    <row r="5" spans="1:8" x14ac:dyDescent="0.25">
      <c r="A5" t="s">
        <v>96</v>
      </c>
      <c r="B5">
        <v>2</v>
      </c>
      <c r="C5">
        <v>-20</v>
      </c>
      <c r="D5" s="1">
        <f t="shared" si="0"/>
        <v>-196.20000000000002</v>
      </c>
      <c r="E5">
        <v>420.2</v>
      </c>
      <c r="G5" t="s">
        <v>78</v>
      </c>
      <c r="H5">
        <f>+H4+(G6*0.5)</f>
        <v>2.95</v>
      </c>
    </row>
    <row r="6" spans="1:8" x14ac:dyDescent="0.25">
      <c r="A6" t="s">
        <v>95</v>
      </c>
      <c r="B6">
        <v>98</v>
      </c>
      <c r="C6">
        <v>-0.01</v>
      </c>
      <c r="D6" s="9">
        <f t="shared" si="0"/>
        <v>-9.8100000000000007E-2</v>
      </c>
      <c r="G6">
        <v>4.8</v>
      </c>
      <c r="H6">
        <f>+H5+(0.5*G6)</f>
        <v>5.35</v>
      </c>
    </row>
    <row r="7" spans="1:8" x14ac:dyDescent="0.25">
      <c r="A7" t="s">
        <v>97</v>
      </c>
      <c r="B7">
        <v>2</v>
      </c>
      <c r="C7">
        <v>-20</v>
      </c>
      <c r="D7" s="1">
        <f t="shared" si="0"/>
        <v>-196.20000000000002</v>
      </c>
      <c r="E7">
        <v>320.77999999999997</v>
      </c>
      <c r="G7" t="s">
        <v>80</v>
      </c>
      <c r="H7">
        <f>+H6+(G8*0.5)</f>
        <v>6.35</v>
      </c>
    </row>
    <row r="8" spans="1:8" x14ac:dyDescent="0.25">
      <c r="A8" t="s">
        <v>98</v>
      </c>
      <c r="B8">
        <v>98</v>
      </c>
      <c r="C8">
        <v>-0.01</v>
      </c>
      <c r="D8" s="9">
        <f t="shared" si="0"/>
        <v>-9.8100000000000007E-2</v>
      </c>
      <c r="G8">
        <v>2</v>
      </c>
      <c r="H8">
        <f>+H7+(G8*0.5)</f>
        <v>7.35</v>
      </c>
    </row>
    <row r="9" spans="1:8" x14ac:dyDescent="0.25">
      <c r="A9" t="s">
        <v>99</v>
      </c>
      <c r="B9">
        <v>2</v>
      </c>
      <c r="C9">
        <v>-20</v>
      </c>
      <c r="D9" s="1">
        <f t="shared" si="0"/>
        <v>-196.20000000000002</v>
      </c>
      <c r="E9">
        <v>222.08</v>
      </c>
      <c r="G9" t="s">
        <v>81</v>
      </c>
      <c r="H9">
        <f>+H8+(0.5*G10)</f>
        <v>7.6049999999999995</v>
      </c>
    </row>
    <row r="10" spans="1:8" x14ac:dyDescent="0.25">
      <c r="A10" t="s">
        <v>100</v>
      </c>
      <c r="B10">
        <v>212.9</v>
      </c>
      <c r="C10">
        <v>-0.01</v>
      </c>
      <c r="D10" s="9">
        <f t="shared" si="0"/>
        <v>-9.8100000000000007E-2</v>
      </c>
      <c r="G10">
        <v>0.51</v>
      </c>
      <c r="H10">
        <f>+H9+(G10*0.5)</f>
        <v>7.8599999999999994</v>
      </c>
    </row>
    <row r="11" spans="1:8" x14ac:dyDescent="0.25">
      <c r="A11" t="s">
        <v>101</v>
      </c>
      <c r="B11">
        <v>0.51</v>
      </c>
      <c r="C11">
        <v>23</v>
      </c>
      <c r="D11" s="1">
        <f t="shared" si="0"/>
        <v>225.63000000000002</v>
      </c>
      <c r="E11">
        <v>12.03</v>
      </c>
      <c r="G11" t="s">
        <v>81</v>
      </c>
      <c r="H11">
        <f>+H10+(G12*0.5)</f>
        <v>8.1150000000000002</v>
      </c>
    </row>
    <row r="12" spans="1:8" x14ac:dyDescent="0.25">
      <c r="A12" t="s">
        <v>102</v>
      </c>
      <c r="B12">
        <v>0.51</v>
      </c>
      <c r="C12">
        <v>23</v>
      </c>
      <c r="D12" s="1">
        <f t="shared" si="0"/>
        <v>225.63000000000002</v>
      </c>
      <c r="E12">
        <v>11.53</v>
      </c>
      <c r="G12">
        <v>0.51</v>
      </c>
      <c r="H12">
        <f>+H11+(0.5*G12)</f>
        <v>8.370000000000001</v>
      </c>
    </row>
    <row r="13" spans="1:8" x14ac:dyDescent="0.25">
      <c r="A13" t="s">
        <v>103</v>
      </c>
      <c r="B13">
        <v>0.51</v>
      </c>
      <c r="C13">
        <v>23</v>
      </c>
      <c r="D13" s="1">
        <f t="shared" si="0"/>
        <v>225.63000000000002</v>
      </c>
      <c r="E13">
        <v>11.03</v>
      </c>
      <c r="G13" t="s">
        <v>81</v>
      </c>
      <c r="H13">
        <f>+H12+(0.5*G14)</f>
        <v>8.6250000000000018</v>
      </c>
    </row>
    <row r="14" spans="1:8" x14ac:dyDescent="0.25">
      <c r="A14" t="s">
        <v>104</v>
      </c>
      <c r="B14">
        <v>0.51</v>
      </c>
      <c r="C14">
        <v>23</v>
      </c>
      <c r="D14" s="1">
        <f t="shared" si="0"/>
        <v>225.63000000000002</v>
      </c>
      <c r="E14">
        <v>10.53</v>
      </c>
      <c r="G14">
        <v>0.51</v>
      </c>
      <c r="H14">
        <f>+H13+(G14*0.5)</f>
        <v>8.8800000000000026</v>
      </c>
    </row>
    <row r="15" spans="1:8" x14ac:dyDescent="0.25">
      <c r="A15" t="s">
        <v>105</v>
      </c>
      <c r="B15">
        <v>0.51</v>
      </c>
      <c r="C15">
        <v>23</v>
      </c>
      <c r="D15" s="1">
        <f t="shared" si="0"/>
        <v>225.63000000000002</v>
      </c>
      <c r="E15">
        <v>10.029999999999999</v>
      </c>
      <c r="G15" t="s">
        <v>81</v>
      </c>
      <c r="H15">
        <f>+H14+(G16*0.5)</f>
        <v>9.1350000000000033</v>
      </c>
    </row>
    <row r="16" spans="1:8" x14ac:dyDescent="0.25">
      <c r="A16" t="s">
        <v>106</v>
      </c>
      <c r="B16">
        <v>0.51</v>
      </c>
      <c r="C16">
        <v>23</v>
      </c>
      <c r="D16" s="1">
        <f t="shared" si="0"/>
        <v>225.63000000000002</v>
      </c>
      <c r="E16">
        <v>9.5299999999999994</v>
      </c>
      <c r="G16">
        <v>0.51</v>
      </c>
      <c r="H16">
        <f>+H15+(0.5*G16)</f>
        <v>9.3900000000000041</v>
      </c>
    </row>
    <row r="17" spans="1:8" x14ac:dyDescent="0.25">
      <c r="A17" t="s">
        <v>107</v>
      </c>
      <c r="B17">
        <v>0.51</v>
      </c>
      <c r="C17">
        <v>23</v>
      </c>
      <c r="D17" s="1">
        <f t="shared" si="0"/>
        <v>225.63000000000002</v>
      </c>
      <c r="E17">
        <v>9.02</v>
      </c>
      <c r="G17" t="s">
        <v>81</v>
      </c>
      <c r="H17">
        <f>+H16+(0.5*G18)</f>
        <v>9.6450000000000049</v>
      </c>
    </row>
    <row r="18" spans="1:8" x14ac:dyDescent="0.25">
      <c r="A18" t="s">
        <v>108</v>
      </c>
      <c r="B18">
        <v>0.51</v>
      </c>
      <c r="C18">
        <v>23</v>
      </c>
      <c r="D18" s="1">
        <f t="shared" si="0"/>
        <v>225.63000000000002</v>
      </c>
      <c r="E18">
        <v>8.52</v>
      </c>
      <c r="G18">
        <v>0.51</v>
      </c>
      <c r="H18">
        <f>+H17+(G18*0.5)</f>
        <v>9.9000000000000057</v>
      </c>
    </row>
    <row r="19" spans="1:8" x14ac:dyDescent="0.25">
      <c r="A19" t="s">
        <v>109</v>
      </c>
      <c r="B19">
        <v>0.51</v>
      </c>
      <c r="C19">
        <v>23</v>
      </c>
      <c r="D19" s="1">
        <f t="shared" si="0"/>
        <v>225.63000000000002</v>
      </c>
      <c r="E19">
        <v>8.02</v>
      </c>
      <c r="G19" t="s">
        <v>81</v>
      </c>
      <c r="H19">
        <f>+H18+(G20*0.5)</f>
        <v>10.155000000000006</v>
      </c>
    </row>
    <row r="20" spans="1:8" x14ac:dyDescent="0.25">
      <c r="A20" t="s">
        <v>101</v>
      </c>
      <c r="B20">
        <v>0.51</v>
      </c>
      <c r="C20">
        <v>23</v>
      </c>
      <c r="D20" s="1">
        <f t="shared" si="0"/>
        <v>225.63000000000002</v>
      </c>
      <c r="E20">
        <v>7.52</v>
      </c>
      <c r="G20">
        <v>0.51</v>
      </c>
      <c r="H20">
        <f>+H19+(0.5*G20)</f>
        <v>10.410000000000007</v>
      </c>
    </row>
    <row r="21" spans="1:8" x14ac:dyDescent="0.25">
      <c r="A21" t="s">
        <v>80</v>
      </c>
      <c r="B21">
        <v>2</v>
      </c>
      <c r="C21">
        <v>-20</v>
      </c>
      <c r="D21" s="1">
        <f t="shared" si="0"/>
        <v>-196.20000000000002</v>
      </c>
      <c r="E21">
        <v>6.28</v>
      </c>
      <c r="G21" t="s">
        <v>81</v>
      </c>
      <c r="H21">
        <f>+H20+(0.5*G22)</f>
        <v>10.665000000000008</v>
      </c>
    </row>
    <row r="22" spans="1:8" x14ac:dyDescent="0.25">
      <c r="A22" t="s">
        <v>93</v>
      </c>
      <c r="B22">
        <v>4.8</v>
      </c>
      <c r="C22">
        <v>-2.33</v>
      </c>
      <c r="D22" s="1">
        <f t="shared" si="0"/>
        <v>-22.857300000000002</v>
      </c>
      <c r="G22">
        <v>0.51</v>
      </c>
      <c r="H22">
        <f>+H21+(G22*0.5)</f>
        <v>10.920000000000009</v>
      </c>
    </row>
    <row r="23" spans="1:8" x14ac:dyDescent="0.25">
      <c r="A23" t="s">
        <v>110</v>
      </c>
      <c r="B23">
        <v>0.55000000000000004</v>
      </c>
      <c r="C23">
        <v>1350</v>
      </c>
      <c r="D23" s="1">
        <f t="shared" si="0"/>
        <v>13243.5</v>
      </c>
      <c r="E23">
        <v>0</v>
      </c>
      <c r="G23" t="s">
        <v>81</v>
      </c>
      <c r="H23">
        <f>+H22+(G24*0.5)</f>
        <v>11.17500000000001</v>
      </c>
    </row>
    <row r="24" spans="1:8" x14ac:dyDescent="0.25">
      <c r="G24">
        <v>0.51</v>
      </c>
      <c r="H24">
        <f>+H23+(0.5*G24)</f>
        <v>11.43000000000001</v>
      </c>
    </row>
    <row r="25" spans="1:8" x14ac:dyDescent="0.25">
      <c r="A25">
        <v>1</v>
      </c>
      <c r="B25" t="s">
        <v>8</v>
      </c>
      <c r="C25" t="s">
        <v>9</v>
      </c>
      <c r="D25">
        <v>9.81</v>
      </c>
      <c r="E25" t="s">
        <v>111</v>
      </c>
      <c r="G25" t="s">
        <v>81</v>
      </c>
      <c r="H25">
        <f>+H24+(0.5*G26)</f>
        <v>11.685000000000011</v>
      </c>
    </row>
    <row r="26" spans="1:8" x14ac:dyDescent="0.25">
      <c r="G26">
        <v>0.51</v>
      </c>
      <c r="H26">
        <f>+H25+(G26*0.5)</f>
        <v>11.940000000000012</v>
      </c>
    </row>
    <row r="27" spans="1:8" x14ac:dyDescent="0.25">
      <c r="G27" t="s">
        <v>81</v>
      </c>
      <c r="H27">
        <f>+H26+(G28*0.5)</f>
        <v>12.195000000000013</v>
      </c>
    </row>
    <row r="28" spans="1:8" x14ac:dyDescent="0.25">
      <c r="G28">
        <v>0.51</v>
      </c>
      <c r="H28">
        <f>+H27+(0.5*G28)</f>
        <v>12.450000000000014</v>
      </c>
    </row>
    <row r="29" spans="1:8" x14ac:dyDescent="0.25">
      <c r="G29" t="s">
        <v>82</v>
      </c>
      <c r="H29">
        <f>+H28+(0.5*G30)</f>
        <v>118.90000000000002</v>
      </c>
    </row>
    <row r="30" spans="1:8" x14ac:dyDescent="0.25">
      <c r="G30">
        <v>212.9</v>
      </c>
      <c r="H30">
        <f>+H29+(G30*0.5)</f>
        <v>225.35000000000002</v>
      </c>
    </row>
    <row r="31" spans="1:8" x14ac:dyDescent="0.25">
      <c r="G31" t="s">
        <v>83</v>
      </c>
      <c r="H31">
        <f>+H30+(G32*0.5)</f>
        <v>226.35000000000002</v>
      </c>
    </row>
    <row r="32" spans="1:8" x14ac:dyDescent="0.25">
      <c r="G32">
        <v>2</v>
      </c>
      <c r="H32">
        <f>+H31+(0.5*G32)</f>
        <v>227.35000000000002</v>
      </c>
    </row>
    <row r="33" spans="7:8" x14ac:dyDescent="0.25">
      <c r="G33" t="s">
        <v>82</v>
      </c>
      <c r="H33">
        <f>+H32+(0.5*G34)</f>
        <v>276.35000000000002</v>
      </c>
    </row>
    <row r="34" spans="7:8" x14ac:dyDescent="0.25">
      <c r="G34">
        <v>98</v>
      </c>
      <c r="H34">
        <f>+H33+(G34*0.5)</f>
        <v>325.35000000000002</v>
      </c>
    </row>
    <row r="35" spans="7:8" x14ac:dyDescent="0.25">
      <c r="G35" t="s">
        <v>83</v>
      </c>
      <c r="H35">
        <f>+H34+(G36*0.5)</f>
        <v>326.35000000000002</v>
      </c>
    </row>
    <row r="36" spans="7:8" x14ac:dyDescent="0.25">
      <c r="G36">
        <v>2</v>
      </c>
      <c r="H36">
        <f>+H35+(0.5*G36)</f>
        <v>327.35000000000002</v>
      </c>
    </row>
    <row r="37" spans="7:8" x14ac:dyDescent="0.25">
      <c r="G37" t="s">
        <v>82</v>
      </c>
      <c r="H37">
        <f>+H36+(0.5*G38)</f>
        <v>376.35</v>
      </c>
    </row>
    <row r="38" spans="7:8" x14ac:dyDescent="0.25">
      <c r="G38">
        <v>98</v>
      </c>
      <c r="H38">
        <f>+H37+(G38*0.5)</f>
        <v>425.35</v>
      </c>
    </row>
    <row r="39" spans="7:8" x14ac:dyDescent="0.25">
      <c r="G39" t="s">
        <v>83</v>
      </c>
      <c r="H39">
        <f>+H38+(G40*0.5)</f>
        <v>426.35</v>
      </c>
    </row>
    <row r="40" spans="7:8" x14ac:dyDescent="0.25">
      <c r="G40">
        <v>2</v>
      </c>
      <c r="H40">
        <f>+H39+(0.5*G40)</f>
        <v>427.35</v>
      </c>
    </row>
    <row r="41" spans="7:8" x14ac:dyDescent="0.25">
      <c r="G41" t="s">
        <v>84</v>
      </c>
      <c r="H41">
        <f>+H40+(0.5*G42)</f>
        <v>432.35</v>
      </c>
    </row>
    <row r="42" spans="7:8" x14ac:dyDescent="0.25">
      <c r="G42">
        <v>10</v>
      </c>
      <c r="H42">
        <f>+H41+(G42*0.5)</f>
        <v>437.35</v>
      </c>
    </row>
    <row r="43" spans="7:8" x14ac:dyDescent="0.25">
      <c r="G43" t="s">
        <v>5</v>
      </c>
      <c r="H43">
        <f>+H42+(G44*0.5)</f>
        <v>437.95000000000005</v>
      </c>
    </row>
    <row r="44" spans="7:8" x14ac:dyDescent="0.25">
      <c r="G44">
        <v>1.2</v>
      </c>
      <c r="H44">
        <f>+H43+(0.5*G44)</f>
        <v>438.55000000000007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17" sqref="C17"/>
    </sheetView>
  </sheetViews>
  <sheetFormatPr baseColWidth="10" defaultRowHeight="15" x14ac:dyDescent="0.25"/>
  <cols>
    <col min="6" max="6" width="12" bestFit="1" customWidth="1"/>
  </cols>
  <sheetData>
    <row r="1" spans="1:6" x14ac:dyDescent="0.25">
      <c r="A1" t="s">
        <v>0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 t="s">
        <v>78</v>
      </c>
      <c r="B2" s="10">
        <f>3/8</f>
        <v>0.375</v>
      </c>
      <c r="C2" s="1">
        <f>B2*25.4</f>
        <v>9.5249999999999986</v>
      </c>
      <c r="D2" s="2">
        <f>PI()*(C2^2)/4</f>
        <v>71.255739248085604</v>
      </c>
      <c r="E2" s="2">
        <f>D2*10^-2</f>
        <v>0.71255739248085603</v>
      </c>
      <c r="F2" s="2">
        <f>E2*100^-2</f>
        <v>7.1255739248085606E-5</v>
      </c>
    </row>
    <row r="3" spans="1:6" x14ac:dyDescent="0.25">
      <c r="A3" t="s">
        <v>82</v>
      </c>
      <c r="B3" s="10">
        <f>1/4</f>
        <v>0.25</v>
      </c>
      <c r="C3" s="1">
        <f>B3*25.4</f>
        <v>6.35</v>
      </c>
      <c r="D3" s="2">
        <f>PI()*(C3^2)/4</f>
        <v>31.669217443593606</v>
      </c>
      <c r="E3" s="2">
        <f>D3*10^-2</f>
        <v>0.31669217443593606</v>
      </c>
      <c r="F3" s="2">
        <f>E3*100^-2</f>
        <v>3.1669217443593606E-5</v>
      </c>
    </row>
    <row r="4" spans="1:6" x14ac:dyDescent="0.25">
      <c r="A4" t="s">
        <v>84</v>
      </c>
      <c r="B4" s="11">
        <f>3/16</f>
        <v>0.1875</v>
      </c>
      <c r="C4" s="1">
        <f>B4*25.4</f>
        <v>4.7624999999999993</v>
      </c>
      <c r="D4" s="2">
        <f>PI()*(C4^2)/4</f>
        <v>17.813934812021401</v>
      </c>
      <c r="E4" s="2">
        <f>D4*10^-2</f>
        <v>0.17813934812021401</v>
      </c>
      <c r="F4" s="2">
        <f>E4*100^-2</f>
        <v>1.7813934812021401E-5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41" sqref="E41"/>
    </sheetView>
  </sheetViews>
  <sheetFormatPr baseColWidth="10" defaultColWidth="9.140625" defaultRowHeight="15" x14ac:dyDescent="0.25"/>
  <cols>
    <col min="1" max="1" width="14.5703125" customWidth="1"/>
  </cols>
  <sheetData>
    <row r="1" spans="1:11" x14ac:dyDescent="0.25">
      <c r="A1" s="2" t="s">
        <v>11</v>
      </c>
      <c r="B1" s="2">
        <v>0</v>
      </c>
      <c r="C1" s="2">
        <v>0.17100000000000001</v>
      </c>
      <c r="D1" s="2">
        <v>0.248</v>
      </c>
      <c r="E1" s="2">
        <v>0.31</v>
      </c>
      <c r="F1" s="2">
        <v>0.36499999999999999</v>
      </c>
      <c r="G1" s="2">
        <v>0.41499999999999998</v>
      </c>
      <c r="H1" s="2">
        <v>0.46300000000000002</v>
      </c>
      <c r="I1" s="2">
        <v>0.50900000000000001</v>
      </c>
      <c r="J1" s="2">
        <v>0.55400000000000005</v>
      </c>
      <c r="K1" s="2">
        <v>0.59799999999999998</v>
      </c>
    </row>
    <row r="2" spans="1:11" x14ac:dyDescent="0.25">
      <c r="A2" s="2" t="s">
        <v>10</v>
      </c>
      <c r="B2" s="2">
        <v>0</v>
      </c>
      <c r="C2" s="2">
        <v>5.1200000000000002E-2</v>
      </c>
      <c r="D2" s="2">
        <v>0.10249999999999999</v>
      </c>
      <c r="E2" s="2">
        <v>0.1537</v>
      </c>
      <c r="F2" s="2">
        <v>0.2049</v>
      </c>
      <c r="G2" s="2">
        <v>0.25609999999999999</v>
      </c>
      <c r="H2" s="2">
        <v>0.30730000000000002</v>
      </c>
      <c r="I2" s="2">
        <v>0.35859999999999997</v>
      </c>
      <c r="J2" s="2">
        <v>0.4098</v>
      </c>
      <c r="K2" s="2">
        <v>0.46100000000000002</v>
      </c>
    </row>
    <row r="3" spans="1:1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13</v>
      </c>
      <c r="B4">
        <v>0</v>
      </c>
      <c r="C4">
        <v>0.17100000000000001</v>
      </c>
      <c r="D4">
        <v>0.248</v>
      </c>
      <c r="E4">
        <v>0.31</v>
      </c>
      <c r="F4">
        <v>0.36499999999999999</v>
      </c>
      <c r="G4">
        <v>0.41499999999999998</v>
      </c>
      <c r="H4">
        <v>0.46300000000000002</v>
      </c>
      <c r="I4">
        <v>0.50900000000000001</v>
      </c>
      <c r="J4">
        <v>0.55400000000000005</v>
      </c>
      <c r="K4">
        <v>0.59799999999999998</v>
      </c>
    </row>
    <row r="5" spans="1:11" x14ac:dyDescent="0.25">
      <c r="A5" t="s">
        <v>14</v>
      </c>
      <c r="B5">
        <v>0</v>
      </c>
      <c r="C5">
        <v>0.17100000000000001</v>
      </c>
      <c r="D5">
        <v>0.248</v>
      </c>
      <c r="E5">
        <v>0.31</v>
      </c>
      <c r="F5">
        <v>0.36499999999999999</v>
      </c>
      <c r="G5">
        <v>0.41499999999999998</v>
      </c>
      <c r="H5">
        <v>0.46300000000000002</v>
      </c>
      <c r="I5">
        <v>0.50900000000000001</v>
      </c>
      <c r="J5">
        <v>0.55400000000000005</v>
      </c>
      <c r="K5">
        <v>0.59799999999999998</v>
      </c>
    </row>
    <row r="6" spans="1:11" x14ac:dyDescent="0.25">
      <c r="A6" t="s">
        <v>15</v>
      </c>
      <c r="B6">
        <v>0</v>
      </c>
      <c r="C6">
        <v>0.17100000000000001</v>
      </c>
      <c r="D6">
        <v>0.248</v>
      </c>
      <c r="E6">
        <v>0.31</v>
      </c>
      <c r="F6">
        <v>0.36499999999999999</v>
      </c>
      <c r="G6">
        <v>0.41499999999999998</v>
      </c>
      <c r="H6">
        <v>0.46300000000000002</v>
      </c>
      <c r="I6">
        <v>0.50900000000000001</v>
      </c>
      <c r="J6">
        <v>0.55400000000000005</v>
      </c>
      <c r="K6">
        <v>0.59799999999999998</v>
      </c>
    </row>
    <row r="7" spans="1:1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17</v>
      </c>
      <c r="B8">
        <v>8.9999999999999993E-3</v>
      </c>
      <c r="C8">
        <v>0.83899999999999997</v>
      </c>
      <c r="D8">
        <v>0.97199999999999998</v>
      </c>
      <c r="E8">
        <v>1.0509999999999999</v>
      </c>
      <c r="F8">
        <v>1.1040000000000001</v>
      </c>
      <c r="G8">
        <v>1.1419999999999999</v>
      </c>
      <c r="H8">
        <v>1.1679999999999999</v>
      </c>
      <c r="I8">
        <v>1.1859999999999999</v>
      </c>
      <c r="J8">
        <v>1.196</v>
      </c>
      <c r="K8">
        <v>1.2</v>
      </c>
    </row>
    <row r="9" spans="1:11" x14ac:dyDescent="0.25">
      <c r="A9" t="s">
        <v>18</v>
      </c>
      <c r="B9">
        <v>8.0000000000000002E-3</v>
      </c>
      <c r="C9">
        <v>0.83899999999999997</v>
      </c>
      <c r="D9">
        <v>0.97199999999999998</v>
      </c>
      <c r="E9">
        <v>1.05</v>
      </c>
      <c r="F9">
        <v>1.1040000000000001</v>
      </c>
      <c r="G9">
        <v>1.1419999999999999</v>
      </c>
      <c r="H9">
        <v>1.1679999999999999</v>
      </c>
      <c r="I9">
        <v>1.1859999999999999</v>
      </c>
      <c r="J9">
        <v>1.196</v>
      </c>
      <c r="K9">
        <v>1.2</v>
      </c>
    </row>
    <row r="10" spans="1:11" x14ac:dyDescent="0.25">
      <c r="A10" t="s">
        <v>19</v>
      </c>
      <c r="B10">
        <v>0</v>
      </c>
      <c r="C10">
        <v>0.6</v>
      </c>
      <c r="D10">
        <v>0.84199999999999997</v>
      </c>
      <c r="E10">
        <v>1.026</v>
      </c>
      <c r="F10">
        <v>1.18</v>
      </c>
      <c r="G10">
        <v>1.3160000000000001</v>
      </c>
      <c r="H10">
        <v>1.4390000000000001</v>
      </c>
      <c r="I10">
        <v>1.5549999999999999</v>
      </c>
      <c r="J10">
        <v>1.6639999999999999</v>
      </c>
      <c r="K10">
        <v>1.7709999999999999</v>
      </c>
    </row>
    <row r="11" spans="1:11" x14ac:dyDescent="0.25">
      <c r="A11" t="s">
        <v>20</v>
      </c>
      <c r="B11">
        <v>0</v>
      </c>
      <c r="C11">
        <v>0.55300000000000005</v>
      </c>
      <c r="D11">
        <v>0.74099999999999999</v>
      </c>
      <c r="E11">
        <v>0.86599999999999999</v>
      </c>
      <c r="F11">
        <v>0.95699999999999996</v>
      </c>
      <c r="G11">
        <v>1.024</v>
      </c>
      <c r="H11">
        <v>1.071</v>
      </c>
      <c r="I11">
        <v>1.1040000000000001</v>
      </c>
      <c r="J11">
        <v>1.1240000000000001</v>
      </c>
      <c r="K11">
        <v>1.131</v>
      </c>
    </row>
    <row r="12" spans="1:11" x14ac:dyDescent="0.25">
      <c r="A12" t="s">
        <v>21</v>
      </c>
      <c r="B12">
        <v>0.50900000000000001</v>
      </c>
      <c r="C12">
        <v>0.60199999999999998</v>
      </c>
      <c r="D12">
        <v>0.60899999999999999</v>
      </c>
      <c r="E12">
        <v>0.61599999999999999</v>
      </c>
      <c r="F12">
        <v>0.623</v>
      </c>
      <c r="G12">
        <v>0.63</v>
      </c>
      <c r="H12">
        <v>0.63800000000000001</v>
      </c>
      <c r="I12">
        <v>0.64600000000000002</v>
      </c>
      <c r="J12">
        <v>0.65600000000000003</v>
      </c>
      <c r="K12">
        <v>0.66600000000000004</v>
      </c>
    </row>
    <row r="13" spans="1:11" x14ac:dyDescent="0.25">
      <c r="A13" t="s">
        <v>22</v>
      </c>
      <c r="B13">
        <v>0.314</v>
      </c>
      <c r="C13">
        <v>0.41399999999999998</v>
      </c>
      <c r="D13">
        <v>0.42699999999999999</v>
      </c>
      <c r="E13">
        <v>0.438</v>
      </c>
      <c r="F13">
        <v>0.45</v>
      </c>
      <c r="G13">
        <v>0.46200000000000002</v>
      </c>
      <c r="H13">
        <v>0.47499999999999998</v>
      </c>
      <c r="I13">
        <v>0.48899999999999999</v>
      </c>
      <c r="J13">
        <v>0.505</v>
      </c>
      <c r="K13">
        <v>0.52200000000000002</v>
      </c>
    </row>
    <row r="14" spans="1:11" x14ac:dyDescent="0.25">
      <c r="A14" t="s">
        <v>23</v>
      </c>
      <c r="B14">
        <v>0.66900000000000004</v>
      </c>
      <c r="C14">
        <v>0.68799999999999994</v>
      </c>
      <c r="D14">
        <v>0.7</v>
      </c>
      <c r="E14">
        <v>0.71099999999999997</v>
      </c>
      <c r="F14">
        <v>0.72199999999999998</v>
      </c>
      <c r="G14">
        <v>0.73299999999999998</v>
      </c>
      <c r="H14">
        <v>0.74399999999999999</v>
      </c>
      <c r="I14">
        <v>0.75600000000000001</v>
      </c>
      <c r="J14">
        <v>0.77</v>
      </c>
      <c r="K14">
        <v>0.78500000000000003</v>
      </c>
    </row>
    <row r="15" spans="1:11" x14ac:dyDescent="0.25">
      <c r="A15" t="s">
        <v>24</v>
      </c>
      <c r="B15">
        <v>0.67300000000000004</v>
      </c>
      <c r="C15">
        <v>0.78500000000000003</v>
      </c>
      <c r="D15">
        <v>0.78500000000000003</v>
      </c>
      <c r="E15">
        <v>0.78500000000000003</v>
      </c>
      <c r="F15">
        <v>0.78500000000000003</v>
      </c>
      <c r="G15">
        <v>0.78500000000000003</v>
      </c>
      <c r="H15">
        <v>0.78500000000000003</v>
      </c>
      <c r="I15">
        <v>0.78500000000000003</v>
      </c>
      <c r="J15">
        <v>0.78500000000000003</v>
      </c>
      <c r="K15">
        <v>0.78500000000000003</v>
      </c>
    </row>
    <row r="16" spans="1:11" x14ac:dyDescent="0.25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27</v>
      </c>
      <c r="B18">
        <v>0</v>
      </c>
      <c r="C18">
        <v>0.113</v>
      </c>
      <c r="D18">
        <v>0.16200000000000001</v>
      </c>
      <c r="E18">
        <v>0.20100000000000001</v>
      </c>
      <c r="F18">
        <v>0.23499999999999999</v>
      </c>
      <c r="G18">
        <v>0.26600000000000001</v>
      </c>
      <c r="H18">
        <v>0.29499999999999998</v>
      </c>
      <c r="I18">
        <v>0.32200000000000001</v>
      </c>
      <c r="J18">
        <v>0.34899999999999998</v>
      </c>
      <c r="K18">
        <v>0.374</v>
      </c>
    </row>
    <row r="19" spans="1:11" x14ac:dyDescent="0.25">
      <c r="A19" t="s">
        <v>28</v>
      </c>
      <c r="B19">
        <v>0.6</v>
      </c>
      <c r="C19">
        <v>0.6</v>
      </c>
      <c r="D19">
        <v>0.6</v>
      </c>
      <c r="E19">
        <v>0.6</v>
      </c>
      <c r="F19">
        <v>0.6</v>
      </c>
      <c r="G19">
        <v>0.6</v>
      </c>
      <c r="H19">
        <v>0.6</v>
      </c>
      <c r="I19">
        <v>0.6</v>
      </c>
      <c r="J19">
        <v>0.6</v>
      </c>
      <c r="K19">
        <v>0.6</v>
      </c>
    </row>
    <row r="20" spans="1:11" x14ac:dyDescent="0.25">
      <c r="A20" t="s">
        <v>29</v>
      </c>
      <c r="B20">
        <v>0.56200000000000006</v>
      </c>
      <c r="C20">
        <v>0.48699999999999999</v>
      </c>
      <c r="D20">
        <v>0.438</v>
      </c>
      <c r="E20">
        <v>0.39900000000000002</v>
      </c>
      <c r="F20">
        <v>0.36399999999999999</v>
      </c>
      <c r="G20">
        <v>0.33400000000000002</v>
      </c>
      <c r="H20">
        <v>0.30499999999999999</v>
      </c>
      <c r="I20">
        <v>0.27800000000000002</v>
      </c>
      <c r="J20">
        <v>0.251</v>
      </c>
      <c r="K20">
        <v>0.22600000000000001</v>
      </c>
    </row>
    <row r="21" spans="1:11" x14ac:dyDescent="0.25">
      <c r="A21" t="s">
        <v>30</v>
      </c>
      <c r="B21">
        <v>0.73599999999999999</v>
      </c>
      <c r="C21">
        <v>0.48699999999999999</v>
      </c>
      <c r="D21">
        <v>0.438</v>
      </c>
      <c r="E21">
        <v>0.39900000000000002</v>
      </c>
      <c r="F21">
        <v>0.36399999999999999</v>
      </c>
      <c r="G21">
        <v>0.33400000000000002</v>
      </c>
      <c r="H21">
        <v>0.30499999999999999</v>
      </c>
      <c r="I21">
        <v>0.27700000000000002</v>
      </c>
      <c r="J21">
        <v>0.251</v>
      </c>
      <c r="K21">
        <v>0.22600000000000001</v>
      </c>
    </row>
    <row r="22" spans="1:11" x14ac:dyDescent="0.25">
      <c r="A22" t="s">
        <v>31</v>
      </c>
      <c r="B22">
        <v>-3.7999999999999999E-2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32</v>
      </c>
      <c r="B23">
        <v>0.13600000000000001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t="s">
        <v>33</v>
      </c>
      <c r="B24">
        <v>0.56200000000000006</v>
      </c>
      <c r="C24">
        <v>0.6</v>
      </c>
      <c r="D24">
        <v>0.6</v>
      </c>
      <c r="E24">
        <v>0.6</v>
      </c>
      <c r="F24">
        <v>0.6</v>
      </c>
      <c r="G24">
        <v>0.6</v>
      </c>
      <c r="H24">
        <v>0.6</v>
      </c>
      <c r="I24">
        <v>0.6</v>
      </c>
      <c r="J24">
        <v>0.6</v>
      </c>
      <c r="K24">
        <v>0.6</v>
      </c>
    </row>
    <row r="25" spans="1:11" x14ac:dyDescent="0.25">
      <c r="A25" t="s">
        <v>34</v>
      </c>
      <c r="B25">
        <v>0.73599999999999999</v>
      </c>
      <c r="C25">
        <v>0.6</v>
      </c>
      <c r="D25">
        <v>0.6</v>
      </c>
      <c r="E25">
        <v>0.6</v>
      </c>
      <c r="F25">
        <v>0.6</v>
      </c>
      <c r="G25">
        <v>0.6</v>
      </c>
      <c r="H25">
        <v>0.6</v>
      </c>
      <c r="I25">
        <v>0.6</v>
      </c>
      <c r="J25">
        <v>0.6</v>
      </c>
      <c r="K25">
        <v>0.6</v>
      </c>
    </row>
    <row r="26" spans="1:11" x14ac:dyDescent="0.25">
      <c r="A26" t="s">
        <v>35</v>
      </c>
      <c r="B26">
        <v>0</v>
      </c>
      <c r="C26">
        <v>6.0000000000000001E-3</v>
      </c>
      <c r="D26">
        <v>8.0000000000000002E-3</v>
      </c>
      <c r="E26">
        <v>8.9999999999999993E-3</v>
      </c>
      <c r="F26">
        <v>0.01</v>
      </c>
      <c r="G26">
        <v>0.01</v>
      </c>
      <c r="H26">
        <v>1.0999999999999999E-2</v>
      </c>
      <c r="I26">
        <v>1.0999999999999999E-2</v>
      </c>
      <c r="J26">
        <v>1.2E-2</v>
      </c>
      <c r="K26">
        <v>1.2E-2</v>
      </c>
    </row>
    <row r="27" spans="1:11" x14ac:dyDescent="0.25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46" workbookViewId="0">
      <selection activeCell="B47" sqref="B47"/>
    </sheetView>
  </sheetViews>
  <sheetFormatPr baseColWidth="10" defaultColWidth="9.140625" defaultRowHeight="15" x14ac:dyDescent="0.25"/>
  <cols>
    <col min="1" max="1" width="15" bestFit="1" customWidth="1"/>
    <col min="2" max="2" width="22.7109375" style="3" customWidth="1"/>
    <col min="3" max="3" width="9.140625" customWidth="1"/>
    <col min="4" max="4" width="15.28515625" customWidth="1"/>
    <col min="5" max="5" width="5.5703125" customWidth="1"/>
  </cols>
  <sheetData>
    <row r="1" spans="1:18" x14ac:dyDescent="0.25">
      <c r="A1" t="s">
        <v>11</v>
      </c>
      <c r="B1" s="3">
        <v>0</v>
      </c>
      <c r="C1">
        <v>0.12</v>
      </c>
      <c r="D1">
        <v>0.24</v>
      </c>
      <c r="E1">
        <v>0.36</v>
      </c>
      <c r="F1">
        <v>0.48</v>
      </c>
      <c r="G1">
        <v>0.6</v>
      </c>
      <c r="H1">
        <v>0.72</v>
      </c>
      <c r="I1">
        <v>0.84</v>
      </c>
      <c r="J1">
        <v>0.96</v>
      </c>
      <c r="K1">
        <v>1.08</v>
      </c>
      <c r="L1">
        <v>1.2</v>
      </c>
    </row>
    <row r="2" spans="1:18" x14ac:dyDescent="0.25">
      <c r="A2" t="s">
        <v>10</v>
      </c>
      <c r="B2" s="3">
        <v>0</v>
      </c>
      <c r="C2">
        <v>2.5899999999999999E-2</v>
      </c>
      <c r="D2">
        <v>9.64E-2</v>
      </c>
      <c r="E2">
        <v>0.20019999999999999</v>
      </c>
      <c r="F2">
        <v>0.32629999999999998</v>
      </c>
      <c r="G2">
        <v>0.46350000000000002</v>
      </c>
      <c r="H2">
        <v>0.6008</v>
      </c>
      <c r="I2">
        <v>0.72689999999999999</v>
      </c>
      <c r="J2">
        <v>0.83069999999999999</v>
      </c>
      <c r="K2">
        <v>0.90110000000000001</v>
      </c>
      <c r="L2">
        <v>0.92710000000000004</v>
      </c>
    </row>
    <row r="4" spans="1:18" x14ac:dyDescent="0.25">
      <c r="A4" t="s">
        <v>40</v>
      </c>
      <c r="C4" t="s">
        <v>47</v>
      </c>
      <c r="D4">
        <f>4/3*PI()</f>
        <v>4.1887902047863905</v>
      </c>
    </row>
    <row r="5" spans="1:18" x14ac:dyDescent="0.25">
      <c r="A5" t="s">
        <v>41</v>
      </c>
      <c r="B5" s="3">
        <v>1.2</v>
      </c>
      <c r="C5" t="s">
        <v>48</v>
      </c>
      <c r="D5">
        <f>B5/2</f>
        <v>0.6</v>
      </c>
    </row>
    <row r="6" spans="1:18" x14ac:dyDescent="0.25">
      <c r="A6" t="s">
        <v>42</v>
      </c>
      <c r="B6" s="3">
        <f>+B5/10</f>
        <v>0.12</v>
      </c>
      <c r="C6" t="s">
        <v>49</v>
      </c>
      <c r="D6">
        <v>1.0249999999999999</v>
      </c>
    </row>
    <row r="8" spans="1:18" x14ac:dyDescent="0.25">
      <c r="B8" s="3" t="s">
        <v>43</v>
      </c>
      <c r="C8" s="3" t="s">
        <v>45</v>
      </c>
      <c r="D8" s="3" t="s">
        <v>50</v>
      </c>
      <c r="E8" s="3" t="s">
        <v>52</v>
      </c>
      <c r="G8" s="3" t="s">
        <v>54</v>
      </c>
      <c r="I8" s="3" t="s">
        <v>55</v>
      </c>
      <c r="J8" s="3" t="s">
        <v>56</v>
      </c>
      <c r="K8" s="3" t="s">
        <v>57</v>
      </c>
      <c r="L8" s="3" t="s">
        <v>58</v>
      </c>
      <c r="M8" s="3" t="s">
        <v>59</v>
      </c>
      <c r="N8" s="3" t="s">
        <v>60</v>
      </c>
      <c r="O8" s="3" t="s">
        <v>61</v>
      </c>
      <c r="P8" s="3" t="s">
        <v>62</v>
      </c>
      <c r="Q8" s="3" t="s">
        <v>63</v>
      </c>
      <c r="R8" s="3" t="s">
        <v>64</v>
      </c>
    </row>
    <row r="9" spans="1:18" x14ac:dyDescent="0.25">
      <c r="B9" s="3" t="s">
        <v>6</v>
      </c>
      <c r="C9" s="3" t="s">
        <v>46</v>
      </c>
      <c r="D9" s="3" t="s">
        <v>51</v>
      </c>
      <c r="E9" s="3" t="s">
        <v>53</v>
      </c>
      <c r="G9" s="3"/>
      <c r="I9" s="3">
        <v>0.12</v>
      </c>
      <c r="J9" s="3">
        <v>0.24</v>
      </c>
      <c r="K9" s="3">
        <v>0.36</v>
      </c>
      <c r="L9" s="3">
        <v>0.48</v>
      </c>
      <c r="M9" s="3">
        <v>0.6</v>
      </c>
      <c r="N9" s="3">
        <v>0.72</v>
      </c>
      <c r="O9" s="3">
        <v>0.84</v>
      </c>
      <c r="P9" s="3">
        <v>0.96</v>
      </c>
      <c r="Q9" s="3">
        <v>1.08</v>
      </c>
      <c r="R9" s="3">
        <v>1.2</v>
      </c>
    </row>
    <row r="10" spans="1:18" x14ac:dyDescent="0.25">
      <c r="B10" s="3">
        <v>0</v>
      </c>
      <c r="C10" s="3">
        <f>B2/D6</f>
        <v>0</v>
      </c>
      <c r="D10" s="3">
        <f>C10*$D$6</f>
        <v>0</v>
      </c>
      <c r="E10" s="3">
        <f>C10/$B$5^3</f>
        <v>0</v>
      </c>
      <c r="G10" s="3">
        <v>0</v>
      </c>
      <c r="H10" s="3">
        <v>0</v>
      </c>
      <c r="I10" s="5">
        <f t="shared" ref="I10:I19" si="0">(H10-H11)/(G10-G11)</f>
        <v>0.21583333333333335</v>
      </c>
      <c r="J10" s="5">
        <f>(I10-I11)/(G10-G12)</f>
        <v>1.5486111111111118</v>
      </c>
      <c r="K10" s="5">
        <f>(J10-J11)/-$K$9</f>
        <v>-1.0898919753086453</v>
      </c>
      <c r="L10" s="5">
        <f t="shared" ref="L10:L16" si="1">(K10-K11)/-$L$9</f>
        <v>6.0281635802478251E-2</v>
      </c>
      <c r="M10" s="5">
        <f t="shared" ref="M10:M15" si="2">(L10-L11)/-$M$9</f>
        <v>-0.16744898834019117</v>
      </c>
      <c r="N10" s="5">
        <f>(M10-M11)/-$N$9</f>
        <v>0.41862247085037319</v>
      </c>
      <c r="O10" s="5">
        <f>(N10-N11)/-$O$9</f>
        <v>-0.99672016869116087</v>
      </c>
      <c r="P10" s="5">
        <f>(O10-O11)/-$P$9</f>
        <v>2.1341809167574932</v>
      </c>
      <c r="Q10" s="5">
        <f>(P10-P11)/-Q9</f>
        <v>-3.8987789520344145</v>
      </c>
      <c r="R10" s="5">
        <f>(Q10-Q11)/-R9</f>
        <v>6.052898829642765</v>
      </c>
    </row>
    <row r="11" spans="1:18" x14ac:dyDescent="0.25">
      <c r="B11" s="4">
        <f t="shared" ref="B11:B20" si="3">+B10+$B$6</f>
        <v>0.12</v>
      </c>
      <c r="C11" s="4">
        <f>C2/D6</f>
        <v>2.5268292682926831E-2</v>
      </c>
      <c r="D11" s="4">
        <f t="shared" ref="D11:D20" si="4">C11*$D$6</f>
        <v>2.5899999999999999E-2</v>
      </c>
      <c r="E11" s="4">
        <f t="shared" ref="E11:E20" si="5">C11/$B$5^3</f>
        <v>1.4622854561878952E-2</v>
      </c>
      <c r="G11" s="4">
        <f t="shared" ref="G11:G20" si="6">+G10+$B$6</f>
        <v>0.12</v>
      </c>
      <c r="H11" s="4">
        <v>2.5899999999999999E-2</v>
      </c>
      <c r="I11" s="6">
        <f t="shared" si="0"/>
        <v>0.58750000000000013</v>
      </c>
      <c r="J11" s="6">
        <f>(I11-I12)/(G11-G13)</f>
        <v>1.1562499999999996</v>
      </c>
      <c r="K11" s="6">
        <f>(J11-J12)/-$K$9</f>
        <v>-1.0609567901234558</v>
      </c>
      <c r="L11" s="6">
        <f t="shared" si="1"/>
        <v>-4.0187757201636441E-2</v>
      </c>
      <c r="M11" s="6">
        <f t="shared" si="2"/>
        <v>0.13395919067207754</v>
      </c>
      <c r="N11" s="6">
        <f>(M11-M12)/-$N$9</f>
        <v>-0.41862247085020188</v>
      </c>
      <c r="O11" s="6">
        <f>(N11-N12)/-$O$9</f>
        <v>1.0520935113960324</v>
      </c>
      <c r="P11" s="6">
        <f>(O11-O12)/-$P$9</f>
        <v>-2.0765003514396745</v>
      </c>
      <c r="Q11" s="6">
        <f>(P11-P12)/-Q9</f>
        <v>3.3646996435369028</v>
      </c>
      <c r="R11" s="6"/>
    </row>
    <row r="12" spans="1:18" x14ac:dyDescent="0.25">
      <c r="B12" s="4">
        <f t="shared" si="3"/>
        <v>0.24</v>
      </c>
      <c r="C12" s="4">
        <f>D2/D6</f>
        <v>9.4048780487804892E-2</v>
      </c>
      <c r="D12" s="4">
        <f t="shared" si="4"/>
        <v>9.64E-2</v>
      </c>
      <c r="E12" s="4">
        <f t="shared" si="5"/>
        <v>5.4426377597109311E-2</v>
      </c>
      <c r="G12" s="4">
        <f t="shared" si="6"/>
        <v>0.24</v>
      </c>
      <c r="H12" s="4">
        <v>9.64E-2</v>
      </c>
      <c r="I12" s="6">
        <f t="shared" si="0"/>
        <v>0.86499999999999999</v>
      </c>
      <c r="J12" s="6">
        <f t="shared" ref="J12:J18" si="7">(I12-I13)/-$J$9</f>
        <v>0.77430555555555547</v>
      </c>
      <c r="K12" s="6">
        <f t="shared" ref="K12:K17" si="8">(J12-J13)/-$K$9</f>
        <v>-1.0802469135802413</v>
      </c>
      <c r="L12" s="6">
        <f t="shared" si="1"/>
        <v>4.0187757201610073E-2</v>
      </c>
      <c r="M12" s="6">
        <f t="shared" si="2"/>
        <v>-0.1674489883400678</v>
      </c>
      <c r="N12" s="6">
        <f>(M12-M13)/-$N$9</f>
        <v>0.46513607872246526</v>
      </c>
      <c r="O12" s="6">
        <f>(N12-N13)/-$O$9</f>
        <v>-0.94134682598605501</v>
      </c>
      <c r="P12" s="6">
        <f>(O12-O13)/-$P$9</f>
        <v>1.5573752635801807</v>
      </c>
      <c r="Q12" s="6"/>
      <c r="R12" s="6"/>
    </row>
    <row r="13" spans="1:18" x14ac:dyDescent="0.25">
      <c r="B13" s="4">
        <f t="shared" si="3"/>
        <v>0.36</v>
      </c>
      <c r="C13" s="4">
        <f>E2/D6</f>
        <v>0.19531707317073171</v>
      </c>
      <c r="D13" s="4">
        <f t="shared" si="4"/>
        <v>0.20019999999999999</v>
      </c>
      <c r="E13" s="4">
        <f t="shared" si="5"/>
        <v>0.11303071364046974</v>
      </c>
      <c r="G13" s="4">
        <f t="shared" si="6"/>
        <v>0.36</v>
      </c>
      <c r="H13" s="4">
        <v>0.20019999999999999</v>
      </c>
      <c r="I13" s="6">
        <f t="shared" si="0"/>
        <v>1.0508333333333333</v>
      </c>
      <c r="J13" s="6">
        <f t="shared" si="7"/>
        <v>0.38541666666666863</v>
      </c>
      <c r="K13" s="6">
        <f t="shared" si="8"/>
        <v>-1.0609567901234684</v>
      </c>
      <c r="L13" s="6">
        <f t="shared" si="1"/>
        <v>-6.0281635802430608E-2</v>
      </c>
      <c r="M13" s="6">
        <f t="shared" si="2"/>
        <v>0.16744898834010713</v>
      </c>
      <c r="N13" s="6">
        <f>(M13-M14)/-$N$9</f>
        <v>-0.32559525510582088</v>
      </c>
      <c r="O13" s="6">
        <f>(N13-N14)/-$O$9</f>
        <v>0.55373342705091855</v>
      </c>
      <c r="P13" s="6"/>
      <c r="Q13" s="6"/>
      <c r="R13" s="6"/>
    </row>
    <row r="14" spans="1:18" x14ac:dyDescent="0.25">
      <c r="B14" s="4">
        <f t="shared" si="3"/>
        <v>0.48</v>
      </c>
      <c r="C14" s="4">
        <f>F2/D6</f>
        <v>0.31834146341463415</v>
      </c>
      <c r="D14" s="4">
        <f t="shared" si="4"/>
        <v>0.32629999999999998</v>
      </c>
      <c r="E14" s="4">
        <f t="shared" si="5"/>
        <v>0.18422538392050589</v>
      </c>
      <c r="G14" s="4">
        <f t="shared" si="6"/>
        <v>0.48</v>
      </c>
      <c r="H14" s="4">
        <v>0.32629999999999998</v>
      </c>
      <c r="I14" s="6">
        <f t="shared" si="0"/>
        <v>1.1433333333333338</v>
      </c>
      <c r="J14" s="6">
        <f t="shared" si="7"/>
        <v>3.4722222222199894E-3</v>
      </c>
      <c r="K14" s="6">
        <f t="shared" si="8"/>
        <v>-1.0898919753086351</v>
      </c>
      <c r="L14" s="6">
        <f t="shared" si="1"/>
        <v>4.0187757201633666E-2</v>
      </c>
      <c r="M14" s="6">
        <f t="shared" si="2"/>
        <v>-6.6979595336083872E-2</v>
      </c>
      <c r="N14" s="6">
        <f>(M14-M15)/-$N$9</f>
        <v>0.13954082361695064</v>
      </c>
      <c r="O14" s="6"/>
      <c r="P14" s="6"/>
      <c r="Q14" s="6"/>
      <c r="R14" s="6"/>
    </row>
    <row r="15" spans="1:18" x14ac:dyDescent="0.25">
      <c r="B15" s="4">
        <f t="shared" si="3"/>
        <v>0.6</v>
      </c>
      <c r="C15" s="4">
        <f>G2/D6</f>
        <v>0.45219512195121958</v>
      </c>
      <c r="D15" s="4">
        <f t="shared" si="4"/>
        <v>0.46350000000000002</v>
      </c>
      <c r="E15" s="4">
        <f t="shared" si="5"/>
        <v>0.26168699186991873</v>
      </c>
      <c r="G15" s="4">
        <f t="shared" si="6"/>
        <v>0.6</v>
      </c>
      <c r="H15" s="4">
        <v>0.46350000000000002</v>
      </c>
      <c r="I15" s="6">
        <f t="shared" si="0"/>
        <v>1.1441666666666666</v>
      </c>
      <c r="J15" s="6">
        <f t="shared" si="7"/>
        <v>-0.38888888888888862</v>
      </c>
      <c r="K15" s="6">
        <f t="shared" si="8"/>
        <v>-1.070601851851851</v>
      </c>
      <c r="L15" s="6">
        <f t="shared" si="1"/>
        <v>-1.6653345369377348E-14</v>
      </c>
      <c r="M15" s="6">
        <f t="shared" si="2"/>
        <v>3.3489797668120574E-2</v>
      </c>
      <c r="N15" s="6"/>
      <c r="O15" s="6"/>
      <c r="P15" s="6"/>
      <c r="Q15" s="6"/>
      <c r="R15" s="6"/>
    </row>
    <row r="16" spans="1:18" x14ac:dyDescent="0.25">
      <c r="B16" s="4">
        <f t="shared" si="3"/>
        <v>0.72</v>
      </c>
      <c r="C16" s="4">
        <f>H2/D6</f>
        <v>0.58614634146341471</v>
      </c>
      <c r="D16" s="4">
        <f t="shared" si="4"/>
        <v>0.6008</v>
      </c>
      <c r="E16" s="4">
        <f t="shared" si="5"/>
        <v>0.33920505871725387</v>
      </c>
      <c r="G16" s="4">
        <f t="shared" si="6"/>
        <v>0.72</v>
      </c>
      <c r="H16" s="4">
        <v>0.6008</v>
      </c>
      <c r="I16" s="6">
        <f t="shared" si="0"/>
        <v>1.0508333333333333</v>
      </c>
      <c r="J16" s="6">
        <f t="shared" si="7"/>
        <v>-0.77430555555555491</v>
      </c>
      <c r="K16" s="6">
        <f t="shared" si="8"/>
        <v>-1.070601851851859</v>
      </c>
      <c r="L16" s="6">
        <f t="shared" si="1"/>
        <v>2.0093878600855691E-2</v>
      </c>
      <c r="M16" s="6"/>
      <c r="N16" s="6"/>
      <c r="O16" s="6"/>
      <c r="P16" s="6"/>
      <c r="Q16" s="6"/>
      <c r="R16" s="6"/>
    </row>
    <row r="17" spans="2:18" x14ac:dyDescent="0.25">
      <c r="B17" s="4">
        <f t="shared" si="3"/>
        <v>0.84</v>
      </c>
      <c r="C17" s="4">
        <f>I2/D6</f>
        <v>0.70917073170731715</v>
      </c>
      <c r="D17" s="4">
        <f t="shared" si="4"/>
        <v>0.72689999999999999</v>
      </c>
      <c r="E17" s="4">
        <f t="shared" si="5"/>
        <v>0.41039972899729005</v>
      </c>
      <c r="G17" s="4">
        <f t="shared" si="6"/>
        <v>0.84</v>
      </c>
      <c r="H17" s="4">
        <v>0.72689999999999999</v>
      </c>
      <c r="I17" s="6">
        <f t="shared" si="0"/>
        <v>0.8650000000000001</v>
      </c>
      <c r="J17" s="6">
        <f t="shared" si="7"/>
        <v>-1.1597222222222241</v>
      </c>
      <c r="K17" s="6">
        <f t="shared" si="8"/>
        <v>-1.0609567901234482</v>
      </c>
      <c r="L17" s="6"/>
      <c r="M17" s="6"/>
      <c r="N17" s="6"/>
      <c r="O17" s="6"/>
      <c r="P17" s="6"/>
      <c r="Q17" s="6"/>
      <c r="R17" s="6"/>
    </row>
    <row r="18" spans="2:18" x14ac:dyDescent="0.25">
      <c r="B18" s="4">
        <f t="shared" si="3"/>
        <v>0.96</v>
      </c>
      <c r="C18" s="4">
        <f>J2/D6</f>
        <v>0.81043902439024396</v>
      </c>
      <c r="D18" s="4">
        <f t="shared" si="4"/>
        <v>0.83069999999999999</v>
      </c>
      <c r="E18" s="4">
        <f t="shared" si="5"/>
        <v>0.46900406504065045</v>
      </c>
      <c r="G18" s="4">
        <f t="shared" si="6"/>
        <v>0.96</v>
      </c>
      <c r="H18" s="4">
        <v>0.83069999999999999</v>
      </c>
      <c r="I18" s="6">
        <f t="shared" si="0"/>
        <v>0.58666666666666634</v>
      </c>
      <c r="J18" s="6">
        <f t="shared" si="7"/>
        <v>-1.5416666666666654</v>
      </c>
      <c r="K18" s="6"/>
      <c r="L18" s="6"/>
      <c r="M18" s="6"/>
      <c r="N18" s="6"/>
      <c r="O18" s="6"/>
      <c r="P18" s="6"/>
      <c r="Q18" s="6"/>
      <c r="R18" s="6"/>
    </row>
    <row r="19" spans="2:18" x14ac:dyDescent="0.25">
      <c r="B19" s="4">
        <f t="shared" si="3"/>
        <v>1.08</v>
      </c>
      <c r="C19" s="4">
        <f>K2/D6</f>
        <v>0.87912195121951231</v>
      </c>
      <c r="D19" s="4">
        <f t="shared" si="4"/>
        <v>0.90110000000000001</v>
      </c>
      <c r="E19" s="4">
        <f t="shared" si="5"/>
        <v>0.50875112917795851</v>
      </c>
      <c r="G19" s="4">
        <f t="shared" si="6"/>
        <v>1.08</v>
      </c>
      <c r="H19" s="4">
        <v>0.90110000000000001</v>
      </c>
      <c r="I19" s="6">
        <f t="shared" si="0"/>
        <v>0.21666666666666667</v>
      </c>
      <c r="J19" s="6"/>
      <c r="K19" s="6"/>
      <c r="L19" s="6"/>
      <c r="M19" s="6"/>
      <c r="N19" s="6"/>
      <c r="O19" s="6"/>
      <c r="P19" s="6"/>
      <c r="Q19" s="6"/>
      <c r="R19" s="6"/>
    </row>
    <row r="20" spans="2:18" x14ac:dyDescent="0.25">
      <c r="B20" s="4">
        <f t="shared" si="3"/>
        <v>1.2000000000000002</v>
      </c>
      <c r="C20" s="4">
        <f>L2/D6</f>
        <v>0.90448780487804892</v>
      </c>
      <c r="D20" s="4">
        <f t="shared" si="4"/>
        <v>0.92710000000000004</v>
      </c>
      <c r="E20" s="4">
        <f t="shared" si="5"/>
        <v>0.52343044263775984</v>
      </c>
      <c r="G20" s="4">
        <f t="shared" si="6"/>
        <v>1.2000000000000002</v>
      </c>
      <c r="H20" s="4">
        <v>0.92710000000000004</v>
      </c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2:18" x14ac:dyDescent="0.25"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5">
      <c r="I22" s="3"/>
      <c r="J22" s="3"/>
      <c r="K22" s="3"/>
      <c r="L22" s="3"/>
      <c r="M22" s="3"/>
      <c r="N22" s="3"/>
      <c r="O22" s="3"/>
      <c r="P22" s="3"/>
      <c r="Q22" s="3"/>
      <c r="R22" s="3"/>
    </row>
    <row r="45" spans="1:11" x14ac:dyDescent="0.25">
      <c r="A45" t="s">
        <v>65</v>
      </c>
    </row>
    <row r="46" spans="1:11" x14ac:dyDescent="0.25">
      <c r="A46" t="s">
        <v>44</v>
      </c>
      <c r="B46" s="3">
        <v>2</v>
      </c>
    </row>
    <row r="47" spans="1:11" x14ac:dyDescent="0.25">
      <c r="A47" t="s">
        <v>67</v>
      </c>
      <c r="B47" s="3" t="s">
        <v>68</v>
      </c>
      <c r="C47" t="s">
        <v>69</v>
      </c>
      <c r="D47" t="s">
        <v>70</v>
      </c>
      <c r="E47" t="s">
        <v>71</v>
      </c>
      <c r="F47" t="s">
        <v>72</v>
      </c>
      <c r="G47" t="s">
        <v>73</v>
      </c>
      <c r="H47" t="s">
        <v>74</v>
      </c>
      <c r="I47" t="s">
        <v>75</v>
      </c>
      <c r="J47" t="s">
        <v>76</v>
      </c>
      <c r="K47" t="s">
        <v>77</v>
      </c>
    </row>
    <row r="48" spans="1:11" x14ac:dyDescent="0.25">
      <c r="B48" s="3">
        <f>2.00279740689228</f>
        <v>2.00279740689228</v>
      </c>
      <c r="C48">
        <f>-12.3639359919652</f>
        <v>-12.363935991965199</v>
      </c>
      <c r="D48">
        <f>32.993283361985</f>
        <v>32.993283361985</v>
      </c>
      <c r="E48">
        <f>-49.7275689720063</f>
        <v>-49.727568972006303</v>
      </c>
      <c r="F48">
        <f>46.3595315466054</f>
        <v>46.359531546605403</v>
      </c>
      <c r="G48">
        <f>-27.4917516490968</f>
        <v>-27.491751649096798</v>
      </c>
      <c r="H48">
        <f>10.2621471324481</f>
        <v>10.262147132448099</v>
      </c>
      <c r="I48">
        <v>-3.3661147420552302</v>
      </c>
      <c r="J48" s="7">
        <f>2.20015225418949</f>
        <v>2.20015225418949</v>
      </c>
      <c r="K48">
        <f>-0.0144282407408299</f>
        <v>-1.4428240740829899E-2</v>
      </c>
    </row>
    <row r="49" spans="1:2" x14ac:dyDescent="0.25">
      <c r="A49" t="s">
        <v>66</v>
      </c>
      <c r="B49" s="8">
        <f>B48*B46^(10)+C48*B46^(9)+D48*B46^(8)+E48*B46^(7)+F48*B46^(6)+G48*B46^(5)+H48*B46^(4)+I48*B46^(3)+J48*B46^(2)+K48*B46</f>
        <v>34.992183952518218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D3" sqref="D3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  <c r="G1" t="s">
        <v>0</v>
      </c>
      <c r="H1" t="s">
        <v>79</v>
      </c>
    </row>
    <row r="2" spans="1:8" x14ac:dyDescent="0.25">
      <c r="B2" t="s">
        <v>6</v>
      </c>
      <c r="C2" t="s">
        <v>7</v>
      </c>
      <c r="D2" t="s">
        <v>111</v>
      </c>
      <c r="E2" t="s">
        <v>6</v>
      </c>
      <c r="G2" t="s">
        <v>94</v>
      </c>
      <c r="H2">
        <v>0</v>
      </c>
    </row>
    <row r="3" spans="1:8" x14ac:dyDescent="0.25">
      <c r="A3" t="s">
        <v>92</v>
      </c>
      <c r="B3">
        <v>1.2</v>
      </c>
      <c r="C3">
        <v>682</v>
      </c>
      <c r="D3" s="1">
        <f>C3*$D$25</f>
        <v>6690.42</v>
      </c>
      <c r="E3">
        <v>431.8</v>
      </c>
      <c r="G3">
        <v>0.55000000000000004</v>
      </c>
      <c r="H3">
        <v>0</v>
      </c>
    </row>
    <row r="4" spans="1:8" x14ac:dyDescent="0.25">
      <c r="A4" t="s">
        <v>91</v>
      </c>
      <c r="B4">
        <v>10</v>
      </c>
      <c r="C4">
        <v>-0.12</v>
      </c>
      <c r="D4" s="9">
        <f t="shared" ref="D4:D23" si="0">C4*$D$25</f>
        <v>-1.1772</v>
      </c>
      <c r="G4" t="s">
        <v>93</v>
      </c>
    </row>
    <row r="5" spans="1:8" x14ac:dyDescent="0.25">
      <c r="A5" t="s">
        <v>96</v>
      </c>
      <c r="B5">
        <v>2</v>
      </c>
      <c r="C5">
        <v>-20</v>
      </c>
      <c r="D5" s="1">
        <f t="shared" si="0"/>
        <v>-196.20000000000002</v>
      </c>
      <c r="E5">
        <v>420.2</v>
      </c>
      <c r="G5">
        <v>4.8</v>
      </c>
      <c r="H5">
        <f>G5+G7*0.5</f>
        <v>5.8</v>
      </c>
    </row>
    <row r="6" spans="1:8" x14ac:dyDescent="0.25">
      <c r="A6" t="s">
        <v>95</v>
      </c>
      <c r="B6">
        <v>98</v>
      </c>
      <c r="C6">
        <v>-0.01</v>
      </c>
      <c r="D6" s="9">
        <f t="shared" si="0"/>
        <v>-9.8100000000000007E-2</v>
      </c>
      <c r="G6" t="s">
        <v>80</v>
      </c>
      <c r="H6">
        <f>H5+G7*0.5</f>
        <v>6.8</v>
      </c>
    </row>
    <row r="7" spans="1:8" x14ac:dyDescent="0.25">
      <c r="A7" t="s">
        <v>97</v>
      </c>
      <c r="B7">
        <v>2</v>
      </c>
      <c r="C7">
        <v>-20</v>
      </c>
      <c r="D7" s="1">
        <f t="shared" si="0"/>
        <v>-196.20000000000002</v>
      </c>
      <c r="E7">
        <v>320.77999999999997</v>
      </c>
      <c r="G7">
        <v>2</v>
      </c>
    </row>
    <row r="8" spans="1:8" x14ac:dyDescent="0.25">
      <c r="A8" t="s">
        <v>98</v>
      </c>
      <c r="B8">
        <v>98</v>
      </c>
      <c r="C8">
        <v>-0.01</v>
      </c>
      <c r="D8" s="9">
        <f t="shared" si="0"/>
        <v>-9.8100000000000007E-2</v>
      </c>
      <c r="G8" t="s">
        <v>81</v>
      </c>
      <c r="H8">
        <f>H6+G9*0.5</f>
        <v>7.0549999999999997</v>
      </c>
    </row>
    <row r="9" spans="1:8" x14ac:dyDescent="0.25">
      <c r="A9" t="s">
        <v>99</v>
      </c>
      <c r="B9">
        <v>2</v>
      </c>
      <c r="C9">
        <v>-20</v>
      </c>
      <c r="D9" s="1">
        <f t="shared" si="0"/>
        <v>-196.20000000000002</v>
      </c>
      <c r="E9">
        <v>222.08</v>
      </c>
      <c r="G9">
        <v>0.51</v>
      </c>
    </row>
    <row r="10" spans="1:8" x14ac:dyDescent="0.25">
      <c r="A10" t="s">
        <v>100</v>
      </c>
      <c r="B10">
        <v>212.9</v>
      </c>
      <c r="C10">
        <v>-0.01</v>
      </c>
      <c r="D10" s="9">
        <f t="shared" si="0"/>
        <v>-9.8100000000000007E-2</v>
      </c>
      <c r="G10" t="s">
        <v>81</v>
      </c>
      <c r="H10">
        <f>H8+G11</f>
        <v>7.5649999999999995</v>
      </c>
    </row>
    <row r="11" spans="1:8" x14ac:dyDescent="0.25">
      <c r="A11" t="s">
        <v>101</v>
      </c>
      <c r="B11">
        <v>0.51</v>
      </c>
      <c r="C11">
        <v>23</v>
      </c>
      <c r="D11" s="1">
        <f t="shared" si="0"/>
        <v>225.63000000000002</v>
      </c>
      <c r="E11">
        <v>12.03</v>
      </c>
      <c r="G11">
        <v>0.51</v>
      </c>
    </row>
    <row r="12" spans="1:8" x14ac:dyDescent="0.25">
      <c r="A12" t="s">
        <v>102</v>
      </c>
      <c r="B12">
        <v>0.51</v>
      </c>
      <c r="C12">
        <v>23</v>
      </c>
      <c r="D12" s="1">
        <f t="shared" si="0"/>
        <v>225.63000000000002</v>
      </c>
      <c r="E12">
        <v>11.53</v>
      </c>
      <c r="G12" t="s">
        <v>81</v>
      </c>
      <c r="H12">
        <f>H10+G13</f>
        <v>8.0749999999999993</v>
      </c>
    </row>
    <row r="13" spans="1:8" x14ac:dyDescent="0.25">
      <c r="A13" t="s">
        <v>103</v>
      </c>
      <c r="B13">
        <v>0.51</v>
      </c>
      <c r="C13">
        <v>23</v>
      </c>
      <c r="D13" s="1">
        <f t="shared" si="0"/>
        <v>225.63000000000002</v>
      </c>
      <c r="E13">
        <v>11.03</v>
      </c>
      <c r="G13">
        <v>0.51</v>
      </c>
    </row>
    <row r="14" spans="1:8" x14ac:dyDescent="0.25">
      <c r="A14" t="s">
        <v>104</v>
      </c>
      <c r="B14">
        <v>0.51</v>
      </c>
      <c r="C14">
        <v>23</v>
      </c>
      <c r="D14" s="1">
        <f t="shared" si="0"/>
        <v>225.63000000000002</v>
      </c>
      <c r="E14">
        <v>10.53</v>
      </c>
      <c r="G14" t="s">
        <v>81</v>
      </c>
      <c r="H14">
        <f>H12+G15</f>
        <v>8.5849999999999991</v>
      </c>
    </row>
    <row r="15" spans="1:8" x14ac:dyDescent="0.25">
      <c r="A15" t="s">
        <v>105</v>
      </c>
      <c r="B15">
        <v>0.51</v>
      </c>
      <c r="C15">
        <v>23</v>
      </c>
      <c r="D15" s="1">
        <f t="shared" si="0"/>
        <v>225.63000000000002</v>
      </c>
      <c r="E15">
        <v>10.029999999999999</v>
      </c>
      <c r="G15">
        <v>0.51</v>
      </c>
    </row>
    <row r="16" spans="1:8" x14ac:dyDescent="0.25">
      <c r="A16" t="s">
        <v>106</v>
      </c>
      <c r="B16">
        <v>0.51</v>
      </c>
      <c r="C16">
        <v>23</v>
      </c>
      <c r="D16" s="1">
        <f t="shared" si="0"/>
        <v>225.63000000000002</v>
      </c>
      <c r="E16">
        <v>9.5299999999999994</v>
      </c>
      <c r="G16" t="s">
        <v>81</v>
      </c>
      <c r="H16">
        <f>H14+G17</f>
        <v>9.0949999999999989</v>
      </c>
    </row>
    <row r="17" spans="1:8" x14ac:dyDescent="0.25">
      <c r="A17" t="s">
        <v>107</v>
      </c>
      <c r="B17">
        <v>0.51</v>
      </c>
      <c r="C17">
        <v>23</v>
      </c>
      <c r="D17" s="1">
        <f t="shared" si="0"/>
        <v>225.63000000000002</v>
      </c>
      <c r="E17">
        <v>9.02</v>
      </c>
      <c r="G17">
        <v>0.51</v>
      </c>
    </row>
    <row r="18" spans="1:8" x14ac:dyDescent="0.25">
      <c r="A18" t="s">
        <v>108</v>
      </c>
      <c r="B18">
        <v>0.51</v>
      </c>
      <c r="C18">
        <v>23</v>
      </c>
      <c r="D18" s="1">
        <f t="shared" si="0"/>
        <v>225.63000000000002</v>
      </c>
      <c r="E18">
        <v>8.52</v>
      </c>
      <c r="G18" t="s">
        <v>81</v>
      </c>
      <c r="H18">
        <f>H16+G19</f>
        <v>9.6049999999999986</v>
      </c>
    </row>
    <row r="19" spans="1:8" x14ac:dyDescent="0.25">
      <c r="A19" t="s">
        <v>109</v>
      </c>
      <c r="B19">
        <v>0.51</v>
      </c>
      <c r="C19">
        <v>23</v>
      </c>
      <c r="D19" s="1">
        <f t="shared" si="0"/>
        <v>225.63000000000002</v>
      </c>
      <c r="E19">
        <v>8.02</v>
      </c>
      <c r="G19">
        <v>0.51</v>
      </c>
    </row>
    <row r="20" spans="1:8" x14ac:dyDescent="0.25">
      <c r="A20" t="s">
        <v>101</v>
      </c>
      <c r="B20">
        <v>0.51</v>
      </c>
      <c r="C20">
        <v>23</v>
      </c>
      <c r="D20" s="1">
        <f t="shared" si="0"/>
        <v>225.63000000000002</v>
      </c>
      <c r="E20">
        <v>7.52</v>
      </c>
      <c r="G20" t="s">
        <v>81</v>
      </c>
      <c r="H20">
        <f>H18+G21</f>
        <v>10.114999999999998</v>
      </c>
    </row>
    <row r="21" spans="1:8" x14ac:dyDescent="0.25">
      <c r="A21" t="s">
        <v>80</v>
      </c>
      <c r="B21">
        <v>2</v>
      </c>
      <c r="C21">
        <v>-20</v>
      </c>
      <c r="D21" s="1">
        <f t="shared" si="0"/>
        <v>-196.20000000000002</v>
      </c>
      <c r="E21">
        <v>6.28</v>
      </c>
      <c r="G21">
        <v>0.51</v>
      </c>
    </row>
    <row r="22" spans="1:8" x14ac:dyDescent="0.25">
      <c r="A22" t="s">
        <v>93</v>
      </c>
      <c r="B22">
        <v>4.8</v>
      </c>
      <c r="C22">
        <v>-2.33</v>
      </c>
      <c r="D22" s="1">
        <f t="shared" si="0"/>
        <v>-22.857300000000002</v>
      </c>
      <c r="G22" t="s">
        <v>81</v>
      </c>
      <c r="H22">
        <f>H20+G23</f>
        <v>10.624999999999998</v>
      </c>
    </row>
    <row r="23" spans="1:8" x14ac:dyDescent="0.25">
      <c r="A23" t="s">
        <v>110</v>
      </c>
      <c r="B23">
        <v>0.55000000000000004</v>
      </c>
      <c r="C23">
        <v>1350</v>
      </c>
      <c r="D23" s="1">
        <f t="shared" si="0"/>
        <v>13243.5</v>
      </c>
      <c r="E23">
        <v>0</v>
      </c>
      <c r="G23">
        <v>0.51</v>
      </c>
    </row>
    <row r="24" spans="1:8" x14ac:dyDescent="0.25">
      <c r="G24" t="s">
        <v>81</v>
      </c>
      <c r="H24">
        <f>H22+G25</f>
        <v>11.134999999999998</v>
      </c>
    </row>
    <row r="25" spans="1:8" x14ac:dyDescent="0.25">
      <c r="A25">
        <v>1</v>
      </c>
      <c r="B25" t="s">
        <v>8</v>
      </c>
      <c r="C25" t="s">
        <v>9</v>
      </c>
      <c r="D25">
        <v>9.81</v>
      </c>
      <c r="E25" t="s">
        <v>111</v>
      </c>
      <c r="G25">
        <v>0.51</v>
      </c>
    </row>
    <row r="26" spans="1:8" x14ac:dyDescent="0.25">
      <c r="G26" t="s">
        <v>81</v>
      </c>
      <c r="H26">
        <f>H24+G27</f>
        <v>11.644999999999998</v>
      </c>
    </row>
    <row r="27" spans="1:8" x14ac:dyDescent="0.25">
      <c r="G27">
        <v>0.51</v>
      </c>
    </row>
    <row r="28" spans="1:8" x14ac:dyDescent="0.25">
      <c r="G28" t="s">
        <v>90</v>
      </c>
      <c r="H28">
        <f>H26+(G27*0.5)+(G29*0.5)</f>
        <v>118.35</v>
      </c>
    </row>
    <row r="29" spans="1:8" x14ac:dyDescent="0.25">
      <c r="G29">
        <v>212.9</v>
      </c>
    </row>
    <row r="30" spans="1:8" x14ac:dyDescent="0.25">
      <c r="G30" t="s">
        <v>83</v>
      </c>
      <c r="H30">
        <f>H28+(G29*0.5)+(G31*0.5)</f>
        <v>225.8</v>
      </c>
    </row>
    <row r="31" spans="1:8" x14ac:dyDescent="0.25">
      <c r="G31">
        <v>2</v>
      </c>
    </row>
    <row r="32" spans="1:8" x14ac:dyDescent="0.25">
      <c r="G32" t="s">
        <v>90</v>
      </c>
      <c r="H32">
        <f>H30+(G31*0.5)+(G33*0.5)</f>
        <v>275.8</v>
      </c>
    </row>
    <row r="33" spans="7:8" x14ac:dyDescent="0.25">
      <c r="G33">
        <v>98</v>
      </c>
    </row>
    <row r="34" spans="7:8" x14ac:dyDescent="0.25">
      <c r="G34" t="s">
        <v>83</v>
      </c>
      <c r="H34">
        <f>H32+(G33*0.5)+(G35*0.5)</f>
        <v>325.8</v>
      </c>
    </row>
    <row r="35" spans="7:8" x14ac:dyDescent="0.25">
      <c r="G35">
        <v>2</v>
      </c>
    </row>
    <row r="36" spans="7:8" x14ac:dyDescent="0.25">
      <c r="G36" t="s">
        <v>90</v>
      </c>
      <c r="H36">
        <f>H34+(G35*0.5)+(G37*0.5)</f>
        <v>375.8</v>
      </c>
    </row>
    <row r="37" spans="7:8" x14ac:dyDescent="0.25">
      <c r="G37">
        <v>98</v>
      </c>
    </row>
    <row r="38" spans="7:8" x14ac:dyDescent="0.25">
      <c r="G38" t="s">
        <v>83</v>
      </c>
      <c r="H38">
        <f>H36+(G37*0.5)+(G39*0.5)</f>
        <v>425.8</v>
      </c>
    </row>
    <row r="39" spans="7:8" x14ac:dyDescent="0.25">
      <c r="G39">
        <v>2</v>
      </c>
      <c r="H39">
        <f>H38+(G39*0.5)</f>
        <v>426.8</v>
      </c>
    </row>
    <row r="40" spans="7:8" x14ac:dyDescent="0.25">
      <c r="G40" t="s">
        <v>91</v>
      </c>
      <c r="H40">
        <f>H39+(G41*0.5)</f>
        <v>431.8</v>
      </c>
    </row>
    <row r="41" spans="7:8" x14ac:dyDescent="0.25">
      <c r="G41">
        <v>10</v>
      </c>
      <c r="H41">
        <f>H40+(G41*0.5)</f>
        <v>436.8</v>
      </c>
    </row>
    <row r="42" spans="7:8" x14ac:dyDescent="0.25">
      <c r="G42" t="s">
        <v>92</v>
      </c>
      <c r="H42">
        <f>H41+(G43*0.5)</f>
        <v>437.40000000000003</v>
      </c>
    </row>
    <row r="43" spans="7:8" x14ac:dyDescent="0.25">
      <c r="G43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43 nodos</vt:lpstr>
      <vt:lpstr>Lineas</vt:lpstr>
      <vt:lpstr>funcion hidro maxsurf</vt:lpstr>
      <vt:lpstr>Cálculos propios</vt:lpstr>
      <vt:lpstr>24 nodos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2016-06-09T01:01:14Z</dcterms:modified>
</cp:coreProperties>
</file>