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iCO\CCM\Аква\"/>
    </mc:Choice>
  </mc:AlternateContent>
  <bookViews>
    <workbookView xWindow="0" yWindow="0" windowWidth="15432" windowHeight="7932"/>
  </bookViews>
  <sheets>
    <sheet name="ИТ" sheetId="4" r:id="rId1"/>
  </sheets>
  <definedNames>
    <definedName name="_xlnm._FilterDatabase" localSheetId="0" hidden="1">ИТ!$A$2:$I$1736</definedName>
    <definedName name="ФОТ" localSheetId="0">ИТ!#REF!</definedName>
    <definedName name="ФОТ">#REF!</definedName>
    <definedName name="ФОТ2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5" i="4" l="1"/>
  <c r="I1152" i="4"/>
  <c r="H1152" i="4"/>
  <c r="I997" i="4"/>
  <c r="I93" i="4"/>
  <c r="G56" i="4"/>
  <c r="I1705" i="4" l="1"/>
  <c r="D1705" i="4"/>
  <c r="G1705" i="4" s="1"/>
  <c r="G1703" i="4"/>
  <c r="G1697" i="4"/>
  <c r="G1698" i="4" s="1"/>
  <c r="G1699" i="4" s="1"/>
  <c r="D1531" i="4"/>
  <c r="D1500" i="4"/>
  <c r="G1500" i="4" s="1"/>
  <c r="I1500" i="4" s="1"/>
  <c r="D1470" i="4"/>
  <c r="G1470" i="4" s="1"/>
  <c r="I1470" i="4" s="1"/>
  <c r="G1487" i="4"/>
  <c r="D1493" i="4"/>
  <c r="G1493" i="4" s="1"/>
  <c r="I1493" i="4" s="1"/>
  <c r="F1469" i="4"/>
  <c r="H1469" i="4" s="1"/>
  <c r="G1491" i="4"/>
  <c r="G1489" i="4"/>
  <c r="G1498" i="4"/>
  <c r="H1467" i="4"/>
  <c r="I1467" i="4" s="1"/>
  <c r="H1465" i="4"/>
  <c r="I1465" i="4" s="1"/>
  <c r="H1463" i="4"/>
  <c r="I1463" i="4" s="1"/>
  <c r="H1461" i="4"/>
  <c r="I1461" i="4" s="1"/>
  <c r="H1459" i="4"/>
  <c r="I1459" i="4" s="1"/>
  <c r="H1457" i="4"/>
  <c r="I1457" i="4" s="1"/>
  <c r="H1455" i="4"/>
  <c r="I1455" i="4" s="1"/>
  <c r="H1453" i="4"/>
  <c r="I1453" i="4" s="1"/>
  <c r="H1451" i="4"/>
  <c r="I1451" i="4" s="1"/>
  <c r="H1449" i="4"/>
  <c r="I1449" i="4" s="1"/>
  <c r="H1447" i="4"/>
  <c r="I1447" i="4" s="1"/>
  <c r="H1445" i="4"/>
  <c r="I1445" i="4" s="1"/>
  <c r="H1443" i="4"/>
  <c r="I1443" i="4" s="1"/>
  <c r="H1441" i="4"/>
  <c r="I1441" i="4" s="1"/>
  <c r="H1439" i="4"/>
  <c r="I1439" i="4" s="1"/>
  <c r="H1437" i="4"/>
  <c r="I1437" i="4" s="1"/>
  <c r="H1435" i="4"/>
  <c r="I1435" i="4" s="1"/>
  <c r="H1433" i="4"/>
  <c r="I1433" i="4" s="1"/>
  <c r="H1431" i="4"/>
  <c r="I1431" i="4" s="1"/>
  <c r="H1429" i="4"/>
  <c r="I1429" i="4" s="1"/>
  <c r="H1427" i="4"/>
  <c r="I1427" i="4" s="1"/>
  <c r="H1425" i="4"/>
  <c r="I1425" i="4" s="1"/>
  <c r="H1423" i="4"/>
  <c r="I1423" i="4" s="1"/>
  <c r="H1513" i="4"/>
  <c r="H1514" i="4"/>
  <c r="I1514" i="4" s="1"/>
  <c r="H1515" i="4"/>
  <c r="I1515" i="4" s="1"/>
  <c r="H1516" i="4"/>
  <c r="I1516" i="4" s="1"/>
  <c r="H1517" i="4"/>
  <c r="I1517" i="4" s="1"/>
  <c r="H1518" i="4"/>
  <c r="I1518" i="4" s="1"/>
  <c r="H1519" i="4"/>
  <c r="I1519" i="4" s="1"/>
  <c r="H1520" i="4"/>
  <c r="I1520" i="4" s="1"/>
  <c r="H1521" i="4"/>
  <c r="I1521" i="4" s="1"/>
  <c r="D1512" i="4"/>
  <c r="G1512" i="4" s="1"/>
  <c r="I1512" i="4" s="1"/>
  <c r="H1533" i="4"/>
  <c r="I1533" i="4" s="1"/>
  <c r="H1534" i="4"/>
  <c r="I1534" i="4" s="1"/>
  <c r="H1535" i="4"/>
  <c r="I1535" i="4" s="1"/>
  <c r="H1536" i="4"/>
  <c r="I1536" i="4" s="1"/>
  <c r="H1532" i="4"/>
  <c r="I1532" i="4" s="1"/>
  <c r="D1522" i="4"/>
  <c r="G1522" i="4" s="1"/>
  <c r="I1522" i="4" s="1"/>
  <c r="H1527" i="4"/>
  <c r="I1527" i="4" s="1"/>
  <c r="H1528" i="4"/>
  <c r="I1528" i="4" s="1"/>
  <c r="H1529" i="4"/>
  <c r="I1529" i="4" s="1"/>
  <c r="H1530" i="4"/>
  <c r="I1530" i="4" s="1"/>
  <c r="G1418" i="4"/>
  <c r="I1418" i="4" s="1"/>
  <c r="G1395" i="4"/>
  <c r="I1395" i="4" s="1"/>
  <c r="H1337" i="4"/>
  <c r="I1337" i="4" s="1"/>
  <c r="D1336" i="4"/>
  <c r="G1336" i="4" s="1"/>
  <c r="I1336" i="4" s="1"/>
  <c r="H1322" i="4"/>
  <c r="I1322" i="4" s="1"/>
  <c r="G1311" i="4"/>
  <c r="I1311" i="4" s="1"/>
  <c r="D1280" i="4"/>
  <c r="G1280" i="4" s="1"/>
  <c r="I1280" i="4" s="1"/>
  <c r="G1272" i="4"/>
  <c r="I1272" i="4" s="1"/>
  <c r="H1233" i="4"/>
  <c r="I1233" i="4" s="1"/>
  <c r="G1221" i="4"/>
  <c r="I1221" i="4" s="1"/>
  <c r="G1218" i="4"/>
  <c r="I1218" i="4" s="1"/>
  <c r="H1214" i="4"/>
  <c r="I1214" i="4" s="1"/>
  <c r="H1209" i="4"/>
  <c r="I1209" i="4" s="1"/>
  <c r="G1202" i="4"/>
  <c r="I1202" i="4" s="1"/>
  <c r="H1196" i="4"/>
  <c r="I1196" i="4" s="1"/>
  <c r="G1188" i="4"/>
  <c r="G1184" i="4"/>
  <c r="G1180" i="4"/>
  <c r="G1177" i="4"/>
  <c r="H1175" i="4"/>
  <c r="I1175" i="4" s="1"/>
  <c r="G1163" i="4"/>
  <c r="I1163" i="4" s="1"/>
  <c r="G1161" i="4"/>
  <c r="I1161" i="4" s="1"/>
  <c r="I1703" i="4" l="1"/>
  <c r="I1697" i="4"/>
  <c r="I1487" i="4"/>
  <c r="I1469" i="4"/>
  <c r="I1491" i="4"/>
  <c r="I1489" i="4"/>
  <c r="I1498" i="4"/>
  <c r="I1188" i="4"/>
  <c r="I1184" i="4"/>
  <c r="I1180" i="4"/>
  <c r="I1177" i="4"/>
  <c r="H1164" i="4"/>
  <c r="I1164" i="4" s="1"/>
  <c r="G1156" i="4"/>
  <c r="I1156" i="4" s="1"/>
  <c r="G1153" i="4"/>
  <c r="I1153" i="4" s="1"/>
  <c r="G1150" i="4"/>
  <c r="I1150" i="4" s="1"/>
  <c r="G1147" i="4"/>
  <c r="I1147" i="4" s="1"/>
  <c r="G1130" i="4"/>
  <c r="H1126" i="4"/>
  <c r="I1126" i="4" s="1"/>
  <c r="G1123" i="4"/>
  <c r="I1123" i="4" s="1"/>
  <c r="D1085" i="4"/>
  <c r="G1085" i="4" s="1"/>
  <c r="I1085" i="4" s="1"/>
  <c r="D1081" i="4"/>
  <c r="G1081" i="4" s="1"/>
  <c r="I1081" i="4" s="1"/>
  <c r="G1071" i="4"/>
  <c r="I1071" i="4" s="1"/>
  <c r="D974" i="4"/>
  <c r="G979" i="4"/>
  <c r="I979" i="4" s="1"/>
  <c r="H956" i="4"/>
  <c r="I956" i="4" s="1"/>
  <c r="G942" i="4"/>
  <c r="G937" i="4"/>
  <c r="G931" i="4"/>
  <c r="I931" i="4" s="1"/>
  <c r="G926" i="4"/>
  <c r="G920" i="4"/>
  <c r="G915" i="4"/>
  <c r="G910" i="4"/>
  <c r="G903" i="4"/>
  <c r="I903" i="4" s="1"/>
  <c r="G896" i="4"/>
  <c r="I1130" i="4" l="1"/>
  <c r="I942" i="4"/>
  <c r="I937" i="4"/>
  <c r="I926" i="4"/>
  <c r="I920" i="4"/>
  <c r="I915" i="4"/>
  <c r="I910" i="4"/>
  <c r="I896" i="4"/>
  <c r="G767" i="4"/>
  <c r="I767" i="4" s="1"/>
  <c r="G766" i="4"/>
  <c r="D892" i="4"/>
  <c r="F884" i="4"/>
  <c r="H884" i="4" s="1"/>
  <c r="I884" i="4" s="1"/>
  <c r="H754" i="4"/>
  <c r="I754" i="4" s="1"/>
  <c r="I766" i="4" l="1"/>
  <c r="H892" i="4"/>
  <c r="I892" i="4" s="1"/>
  <c r="G485" i="4"/>
  <c r="I485" i="4" s="1"/>
  <c r="G487" i="4"/>
  <c r="I487" i="4" s="1"/>
  <c r="D469" i="4"/>
  <c r="G469" i="4" s="1"/>
  <c r="I469" i="4" s="1"/>
  <c r="D476" i="4"/>
  <c r="G476" i="4" s="1"/>
  <c r="I476" i="4" s="1"/>
  <c r="D466" i="4"/>
  <c r="G466" i="4" s="1"/>
  <c r="I466" i="4" s="1"/>
  <c r="D463" i="4"/>
  <c r="G463" i="4" s="1"/>
  <c r="I463" i="4" s="1"/>
  <c r="H417" i="4"/>
  <c r="I417" i="4" s="1"/>
  <c r="G439" i="4"/>
  <c r="I439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40" i="4"/>
  <c r="I440" i="4" s="1"/>
  <c r="D388" i="4"/>
  <c r="H388" i="4" s="1"/>
  <c r="G357" i="4"/>
  <c r="I357" i="4" s="1"/>
  <c r="D358" i="4"/>
  <c r="H358" i="4" s="1"/>
  <c r="I358" i="4" s="1"/>
  <c r="G313" i="4"/>
  <c r="I313" i="4" s="1"/>
  <c r="G308" i="4"/>
  <c r="I308" i="4" s="1"/>
  <c r="D309" i="4"/>
  <c r="H309" i="4" s="1"/>
  <c r="I309" i="4" s="1"/>
  <c r="G262" i="4"/>
  <c r="I262" i="4" s="1"/>
  <c r="D169" i="4"/>
  <c r="G167" i="4"/>
  <c r="I167" i="4" s="1"/>
  <c r="G149" i="4"/>
  <c r="I149" i="4" s="1"/>
  <c r="D117" i="4"/>
  <c r="G117" i="4" s="1"/>
  <c r="I117" i="4" s="1"/>
  <c r="H12" i="4"/>
  <c r="H13" i="4" s="1"/>
  <c r="H93" i="4"/>
  <c r="G81" i="4"/>
  <c r="I81" i="4" s="1"/>
  <c r="D80" i="4"/>
  <c r="H80" i="4" s="1"/>
  <c r="I80" i="4" s="1"/>
  <c r="D79" i="4"/>
  <c r="G79" i="4" s="1"/>
  <c r="I79" i="4" s="1"/>
  <c r="G38" i="4"/>
  <c r="I3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H37" i="4"/>
  <c r="I37" i="4" s="1"/>
  <c r="H28" i="4"/>
  <c r="I28" i="4" s="1"/>
  <c r="G25" i="4"/>
  <c r="I25" i="4" s="1"/>
  <c r="G19" i="4"/>
  <c r="I19" i="4" s="1"/>
  <c r="G20" i="4"/>
  <c r="I20" i="4" s="1"/>
  <c r="G21" i="4"/>
  <c r="I21" i="4" s="1"/>
  <c r="G18" i="4"/>
  <c r="I18" i="4" s="1"/>
  <c r="G16" i="4"/>
  <c r="I16" i="4" s="1"/>
  <c r="G15" i="4"/>
  <c r="I15" i="4" s="1"/>
  <c r="G5" i="4"/>
  <c r="I5" i="4" s="1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D1725" i="4"/>
  <c r="G1725" i="4" s="1"/>
  <c r="G1726" i="4" s="1"/>
  <c r="G1727" i="4" s="1"/>
  <c r="I1724" i="4"/>
  <c r="H1724" i="4"/>
  <c r="I1723" i="4"/>
  <c r="H1723" i="4"/>
  <c r="F1718" i="4"/>
  <c r="D1718" i="4"/>
  <c r="F1717" i="4"/>
  <c r="D1717" i="4"/>
  <c r="F1716" i="4"/>
  <c r="D1716" i="4"/>
  <c r="F1715" i="4"/>
  <c r="D1715" i="4"/>
  <c r="E1711" i="4"/>
  <c r="G1711" i="4" s="1"/>
  <c r="I1711" i="4" s="1"/>
  <c r="F1713" i="4"/>
  <c r="D1713" i="4"/>
  <c r="F1712" i="4"/>
  <c r="H1712" i="4" s="1"/>
  <c r="I1712" i="4" s="1"/>
  <c r="F1710" i="4"/>
  <c r="H1710" i="4" s="1"/>
  <c r="I1710" i="4" s="1"/>
  <c r="G1709" i="4"/>
  <c r="I1709" i="4" s="1"/>
  <c r="E1708" i="4"/>
  <c r="G1708" i="4" s="1"/>
  <c r="H1707" i="4"/>
  <c r="I1707" i="4" s="1"/>
  <c r="H1706" i="4"/>
  <c r="I1706" i="4" s="1"/>
  <c r="H1704" i="4"/>
  <c r="I1704" i="4" s="1"/>
  <c r="H1702" i="4"/>
  <c r="H1696" i="4"/>
  <c r="I1696" i="4" s="1"/>
  <c r="H1695" i="4"/>
  <c r="I1695" i="4" s="1"/>
  <c r="H1694" i="4"/>
  <c r="I1694" i="4" s="1"/>
  <c r="H1693" i="4"/>
  <c r="I1693" i="4" s="1"/>
  <c r="H1692" i="4"/>
  <c r="I1692" i="4" s="1"/>
  <c r="H1691" i="4"/>
  <c r="I1691" i="4" s="1"/>
  <c r="H1690" i="4"/>
  <c r="I1690" i="4" s="1"/>
  <c r="H1689" i="4"/>
  <c r="I1689" i="4" s="1"/>
  <c r="H1688" i="4"/>
  <c r="I1688" i="4" s="1"/>
  <c r="H1687" i="4"/>
  <c r="I1687" i="4" s="1"/>
  <c r="H1686" i="4"/>
  <c r="I1686" i="4" s="1"/>
  <c r="H1685" i="4"/>
  <c r="I1685" i="4" s="1"/>
  <c r="H1684" i="4"/>
  <c r="I1684" i="4" s="1"/>
  <c r="H1683" i="4"/>
  <c r="H1681" i="4"/>
  <c r="I1681" i="4" s="1"/>
  <c r="H1680" i="4"/>
  <c r="I1680" i="4" s="1"/>
  <c r="H1679" i="4"/>
  <c r="I1679" i="4" s="1"/>
  <c r="H1678" i="4"/>
  <c r="I1678" i="4" s="1"/>
  <c r="H1677" i="4"/>
  <c r="I1677" i="4" s="1"/>
  <c r="H1676" i="4"/>
  <c r="I1676" i="4" s="1"/>
  <c r="H1675" i="4"/>
  <c r="I1675" i="4" s="1"/>
  <c r="H1674" i="4"/>
  <c r="I1674" i="4" s="1"/>
  <c r="H1673" i="4"/>
  <c r="I1673" i="4" s="1"/>
  <c r="H1672" i="4"/>
  <c r="I1672" i="4" s="1"/>
  <c r="H1671" i="4"/>
  <c r="I1671" i="4" s="1"/>
  <c r="H1670" i="4"/>
  <c r="I1670" i="4" s="1"/>
  <c r="H1669" i="4"/>
  <c r="I1669" i="4" s="1"/>
  <c r="H1668" i="4"/>
  <c r="I1668" i="4" s="1"/>
  <c r="H1667" i="4"/>
  <c r="I1667" i="4" s="1"/>
  <c r="H1666" i="4"/>
  <c r="I1666" i="4" s="1"/>
  <c r="H1665" i="4"/>
  <c r="I1665" i="4" s="1"/>
  <c r="H1664" i="4"/>
  <c r="I1664" i="4" s="1"/>
  <c r="H1663" i="4"/>
  <c r="I1663" i="4" s="1"/>
  <c r="H1662" i="4"/>
  <c r="I1662" i="4" s="1"/>
  <c r="H1661" i="4"/>
  <c r="I1661" i="4" s="1"/>
  <c r="H1660" i="4"/>
  <c r="I1660" i="4" s="1"/>
  <c r="H1659" i="4"/>
  <c r="I1659" i="4" s="1"/>
  <c r="H1658" i="4"/>
  <c r="I1658" i="4" s="1"/>
  <c r="H1657" i="4"/>
  <c r="I1657" i="4" s="1"/>
  <c r="H1656" i="4"/>
  <c r="I1656" i="4" s="1"/>
  <c r="H1655" i="4"/>
  <c r="I1655" i="4" s="1"/>
  <c r="H1654" i="4"/>
  <c r="I1654" i="4" s="1"/>
  <c r="H1653" i="4"/>
  <c r="I1653" i="4" s="1"/>
  <c r="H1652" i="4"/>
  <c r="I1652" i="4" s="1"/>
  <c r="H1650" i="4"/>
  <c r="I1650" i="4" s="1"/>
  <c r="H1649" i="4"/>
  <c r="I1649" i="4" s="1"/>
  <c r="H1648" i="4"/>
  <c r="I1648" i="4" s="1"/>
  <c r="H1647" i="4"/>
  <c r="I1647" i="4" s="1"/>
  <c r="H1646" i="4"/>
  <c r="I1646" i="4" s="1"/>
  <c r="H1645" i="4"/>
  <c r="I1645" i="4" s="1"/>
  <c r="H1644" i="4"/>
  <c r="I1644" i="4" s="1"/>
  <c r="H1643" i="4"/>
  <c r="I1643" i="4" s="1"/>
  <c r="H1642" i="4"/>
  <c r="I1642" i="4" s="1"/>
  <c r="H1641" i="4"/>
  <c r="I1641" i="4" s="1"/>
  <c r="H1640" i="4"/>
  <c r="I1640" i="4" s="1"/>
  <c r="H1639" i="4"/>
  <c r="I1639" i="4" s="1"/>
  <c r="H1638" i="4"/>
  <c r="I1638" i="4" s="1"/>
  <c r="H1637" i="4"/>
  <c r="I1637" i="4" s="1"/>
  <c r="H1636" i="4"/>
  <c r="I1636" i="4" s="1"/>
  <c r="H1635" i="4"/>
  <c r="I1635" i="4" s="1"/>
  <c r="H1634" i="4"/>
  <c r="I1634" i="4" s="1"/>
  <c r="H1633" i="4"/>
  <c r="I1633" i="4" s="1"/>
  <c r="H1632" i="4"/>
  <c r="I1632" i="4" s="1"/>
  <c r="H1631" i="4"/>
  <c r="I1631" i="4" s="1"/>
  <c r="H1630" i="4"/>
  <c r="I1630" i="4" s="1"/>
  <c r="H1629" i="4"/>
  <c r="I1629" i="4" s="1"/>
  <c r="H1627" i="4"/>
  <c r="I1627" i="4" s="1"/>
  <c r="H1626" i="4"/>
  <c r="I1626" i="4" s="1"/>
  <c r="H1625" i="4"/>
  <c r="I1625" i="4" s="1"/>
  <c r="H1624" i="4"/>
  <c r="I1624" i="4" s="1"/>
  <c r="H1623" i="4"/>
  <c r="I1623" i="4" s="1"/>
  <c r="H1622" i="4"/>
  <c r="I1622" i="4" s="1"/>
  <c r="H1621" i="4"/>
  <c r="I1621" i="4" s="1"/>
  <c r="H1620" i="4"/>
  <c r="I1620" i="4" s="1"/>
  <c r="H1619" i="4"/>
  <c r="I1619" i="4" s="1"/>
  <c r="H1618" i="4"/>
  <c r="I1618" i="4" s="1"/>
  <c r="H1617" i="4"/>
  <c r="I1617" i="4" s="1"/>
  <c r="H1616" i="4"/>
  <c r="I1616" i="4" s="1"/>
  <c r="H1615" i="4"/>
  <c r="I1615" i="4" s="1"/>
  <c r="H1614" i="4"/>
  <c r="I1614" i="4" s="1"/>
  <c r="H1612" i="4"/>
  <c r="I1612" i="4" s="1"/>
  <c r="H1611" i="4"/>
  <c r="I1611" i="4" s="1"/>
  <c r="H1610" i="4"/>
  <c r="I1610" i="4" s="1"/>
  <c r="H1609" i="4"/>
  <c r="I1609" i="4" s="1"/>
  <c r="H1608" i="4"/>
  <c r="I1608" i="4" s="1"/>
  <c r="H1607" i="4"/>
  <c r="I1607" i="4" s="1"/>
  <c r="H1606" i="4"/>
  <c r="I1606" i="4" s="1"/>
  <c r="H1605" i="4"/>
  <c r="I1605" i="4" s="1"/>
  <c r="H1604" i="4"/>
  <c r="I1604" i="4" s="1"/>
  <c r="H1603" i="4"/>
  <c r="H1601" i="4"/>
  <c r="I1601" i="4" s="1"/>
  <c r="H1600" i="4"/>
  <c r="I1600" i="4" s="1"/>
  <c r="H1599" i="4"/>
  <c r="I1599" i="4" s="1"/>
  <c r="H1598" i="4"/>
  <c r="I1598" i="4" s="1"/>
  <c r="H1597" i="4"/>
  <c r="I1597" i="4" s="1"/>
  <c r="H1596" i="4"/>
  <c r="I1596" i="4" s="1"/>
  <c r="H1595" i="4"/>
  <c r="I1595" i="4" s="1"/>
  <c r="H1594" i="4"/>
  <c r="I1594" i="4" s="1"/>
  <c r="H1593" i="4"/>
  <c r="I1593" i="4" s="1"/>
  <c r="H1592" i="4"/>
  <c r="I1592" i="4" s="1"/>
  <c r="H1591" i="4"/>
  <c r="I1591" i="4" s="1"/>
  <c r="H1590" i="4"/>
  <c r="I1590" i="4" s="1"/>
  <c r="H1589" i="4"/>
  <c r="I1589" i="4" s="1"/>
  <c r="H1588" i="4"/>
  <c r="I1588" i="4" s="1"/>
  <c r="H1587" i="4"/>
  <c r="I1587" i="4" s="1"/>
  <c r="H1586" i="4"/>
  <c r="I1586" i="4" s="1"/>
  <c r="H1585" i="4"/>
  <c r="I1585" i="4" s="1"/>
  <c r="H1584" i="4"/>
  <c r="I1584" i="4" s="1"/>
  <c r="H1583" i="4"/>
  <c r="I1583" i="4" s="1"/>
  <c r="H1582" i="4"/>
  <c r="I1582" i="4" s="1"/>
  <c r="H1581" i="4"/>
  <c r="I1581" i="4" s="1"/>
  <c r="H1580" i="4"/>
  <c r="I1580" i="4" s="1"/>
  <c r="H1579" i="4"/>
  <c r="I1579" i="4" s="1"/>
  <c r="H1578" i="4"/>
  <c r="I1578" i="4" s="1"/>
  <c r="H1577" i="4"/>
  <c r="I1577" i="4" s="1"/>
  <c r="H1576" i="4"/>
  <c r="I1576" i="4" s="1"/>
  <c r="H1575" i="4"/>
  <c r="I1575" i="4" s="1"/>
  <c r="H1574" i="4"/>
  <c r="I1574" i="4" s="1"/>
  <c r="H1573" i="4"/>
  <c r="I1573" i="4" s="1"/>
  <c r="H1572" i="4"/>
  <c r="I1572" i="4" s="1"/>
  <c r="H1571" i="4"/>
  <c r="I1571" i="4" s="1"/>
  <c r="H1570" i="4"/>
  <c r="I1570" i="4" s="1"/>
  <c r="H1569" i="4"/>
  <c r="I1569" i="4" s="1"/>
  <c r="H1568" i="4"/>
  <c r="I1568" i="4" s="1"/>
  <c r="H1567" i="4"/>
  <c r="H1566" i="4"/>
  <c r="I1566" i="4" s="1"/>
  <c r="H1565" i="4"/>
  <c r="I1565" i="4" s="1"/>
  <c r="H1564" i="4"/>
  <c r="I1564" i="4" s="1"/>
  <c r="H1563" i="4"/>
  <c r="I1563" i="4" s="1"/>
  <c r="H1562" i="4"/>
  <c r="I1562" i="4" s="1"/>
  <c r="H1561" i="4"/>
  <c r="I1561" i="4" s="1"/>
  <c r="H1560" i="4"/>
  <c r="I1560" i="4" s="1"/>
  <c r="H1559" i="4"/>
  <c r="I1559" i="4" s="1"/>
  <c r="H1558" i="4"/>
  <c r="I1558" i="4" s="1"/>
  <c r="H1557" i="4"/>
  <c r="I1557" i="4" s="1"/>
  <c r="H1556" i="4"/>
  <c r="I1556" i="4" s="1"/>
  <c r="H1555" i="4"/>
  <c r="I1555" i="4" s="1"/>
  <c r="H1554" i="4"/>
  <c r="I1554" i="4" s="1"/>
  <c r="H1553" i="4"/>
  <c r="I1553" i="4" s="1"/>
  <c r="H1552" i="4"/>
  <c r="I1552" i="4" s="1"/>
  <c r="H1551" i="4"/>
  <c r="I1551" i="4" s="1"/>
  <c r="H1550" i="4"/>
  <c r="I1550" i="4" s="1"/>
  <c r="H1549" i="4"/>
  <c r="I1549" i="4" s="1"/>
  <c r="H1548" i="4"/>
  <c r="I1548" i="4" s="1"/>
  <c r="H1547" i="4"/>
  <c r="I1547" i="4" s="1"/>
  <c r="H1546" i="4"/>
  <c r="I1546" i="4" s="1"/>
  <c r="H1545" i="4"/>
  <c r="I1545" i="4" s="1"/>
  <c r="H1544" i="4"/>
  <c r="I1544" i="4" s="1"/>
  <c r="H1543" i="4"/>
  <c r="I1543" i="4" s="1"/>
  <c r="H1542" i="4"/>
  <c r="I1542" i="4" s="1"/>
  <c r="H1541" i="4"/>
  <c r="H1526" i="4"/>
  <c r="I1526" i="4" s="1"/>
  <c r="H1525" i="4"/>
  <c r="I1525" i="4" s="1"/>
  <c r="H1524" i="4"/>
  <c r="I1524" i="4" s="1"/>
  <c r="H1523" i="4"/>
  <c r="I1523" i="4" s="1"/>
  <c r="H1486" i="4"/>
  <c r="I1486" i="4" s="1"/>
  <c r="H1485" i="4"/>
  <c r="I1485" i="4" s="1"/>
  <c r="H1484" i="4"/>
  <c r="I1484" i="4" s="1"/>
  <c r="H1483" i="4"/>
  <c r="I1483" i="4" s="1"/>
  <c r="H1482" i="4"/>
  <c r="I1482" i="4" s="1"/>
  <c r="H1481" i="4"/>
  <c r="I1481" i="4" s="1"/>
  <c r="H1480" i="4"/>
  <c r="I1480" i="4" s="1"/>
  <c r="H1479" i="4"/>
  <c r="I1479" i="4" s="1"/>
  <c r="H1478" i="4"/>
  <c r="I1478" i="4" s="1"/>
  <c r="H1477" i="4"/>
  <c r="I1477" i="4" s="1"/>
  <c r="H1476" i="4"/>
  <c r="I1476" i="4" s="1"/>
  <c r="H1475" i="4"/>
  <c r="I1475" i="4" s="1"/>
  <c r="H1474" i="4"/>
  <c r="I1474" i="4" s="1"/>
  <c r="H1473" i="4"/>
  <c r="I1473" i="4" s="1"/>
  <c r="H1511" i="4"/>
  <c r="H1510" i="4"/>
  <c r="H1509" i="4"/>
  <c r="I1513" i="4"/>
  <c r="H1508" i="4"/>
  <c r="H1507" i="4"/>
  <c r="H1506" i="4"/>
  <c r="H1505" i="4"/>
  <c r="H1504" i="4"/>
  <c r="H1499" i="4"/>
  <c r="H1497" i="4"/>
  <c r="H1496" i="4"/>
  <c r="H1495" i="4"/>
  <c r="H1503" i="4"/>
  <c r="H1494" i="4"/>
  <c r="H1501" i="4"/>
  <c r="H1502" i="4"/>
  <c r="H1472" i="4"/>
  <c r="H1488" i="4"/>
  <c r="H1492" i="4"/>
  <c r="H1490" i="4"/>
  <c r="G1468" i="4"/>
  <c r="H1471" i="4"/>
  <c r="G1466" i="4"/>
  <c r="G1464" i="4"/>
  <c r="G1462" i="4"/>
  <c r="G1460" i="4"/>
  <c r="G1458" i="4"/>
  <c r="G1456" i="4"/>
  <c r="G1454" i="4"/>
  <c r="G1452" i="4"/>
  <c r="G1450" i="4"/>
  <c r="G1448" i="4"/>
  <c r="G1446" i="4"/>
  <c r="G1444" i="4"/>
  <c r="G1442" i="4"/>
  <c r="I1442" i="4" s="1"/>
  <c r="G1440" i="4"/>
  <c r="G1438" i="4"/>
  <c r="G1436" i="4"/>
  <c r="G1434" i="4"/>
  <c r="G1432" i="4"/>
  <c r="G1430" i="4"/>
  <c r="G1428" i="4"/>
  <c r="G1426" i="4"/>
  <c r="G1424" i="4"/>
  <c r="G1422" i="4"/>
  <c r="H1417" i="4"/>
  <c r="I1417" i="4" s="1"/>
  <c r="G1416" i="4"/>
  <c r="H1415" i="4"/>
  <c r="I1415" i="4" s="1"/>
  <c r="H1414" i="4"/>
  <c r="I1414" i="4" s="1"/>
  <c r="H1413" i="4"/>
  <c r="H1412" i="4"/>
  <c r="I1412" i="4" s="1"/>
  <c r="H1411" i="4"/>
  <c r="H1410" i="4"/>
  <c r="H1409" i="4"/>
  <c r="D1408" i="4"/>
  <c r="G1408" i="4" s="1"/>
  <c r="I1408" i="4" s="1"/>
  <c r="H1407" i="4"/>
  <c r="I1407" i="4" s="1"/>
  <c r="G1406" i="4"/>
  <c r="H1405" i="4"/>
  <c r="G1404" i="4"/>
  <c r="H1403" i="4"/>
  <c r="I1403" i="4" s="1"/>
  <c r="D1402" i="4"/>
  <c r="H1402" i="4" s="1"/>
  <c r="I1402" i="4" s="1"/>
  <c r="H1401" i="4"/>
  <c r="I1401" i="4" s="1"/>
  <c r="D1400" i="4"/>
  <c r="H1400" i="4" s="1"/>
  <c r="I1400" i="4" s="1"/>
  <c r="H1399" i="4"/>
  <c r="I1399" i="4" s="1"/>
  <c r="H1398" i="4"/>
  <c r="I1398" i="4" s="1"/>
  <c r="H1397" i="4"/>
  <c r="H1396" i="4"/>
  <c r="H1394" i="4"/>
  <c r="I1394" i="4" s="1"/>
  <c r="H1393" i="4"/>
  <c r="I1393" i="4" s="1"/>
  <c r="G1392" i="4"/>
  <c r="H1391" i="4"/>
  <c r="I1391" i="4" s="1"/>
  <c r="H1390" i="4"/>
  <c r="I1390" i="4" s="1"/>
  <c r="D1389" i="4"/>
  <c r="G1389" i="4" s="1"/>
  <c r="H1388" i="4"/>
  <c r="G1387" i="4"/>
  <c r="H1386" i="4"/>
  <c r="I1386" i="4" s="1"/>
  <c r="H1385" i="4"/>
  <c r="I1385" i="4" s="1"/>
  <c r="G1384" i="4"/>
  <c r="H1383" i="4"/>
  <c r="I1383" i="4" s="1"/>
  <c r="H1382" i="4"/>
  <c r="I1382" i="4" s="1"/>
  <c r="H1381" i="4"/>
  <c r="I1381" i="4" s="1"/>
  <c r="H1380" i="4"/>
  <c r="I1380" i="4" s="1"/>
  <c r="H1379" i="4"/>
  <c r="I1379" i="4" s="1"/>
  <c r="G1378" i="4"/>
  <c r="H1377" i="4"/>
  <c r="I1377" i="4" s="1"/>
  <c r="H1376" i="4"/>
  <c r="I1376" i="4" s="1"/>
  <c r="H1375" i="4"/>
  <c r="H1374" i="4"/>
  <c r="I1374" i="4" s="1"/>
  <c r="G1373" i="4"/>
  <c r="H1372" i="4"/>
  <c r="I1372" i="4" s="1"/>
  <c r="H1371" i="4"/>
  <c r="I1371" i="4" s="1"/>
  <c r="H1370" i="4"/>
  <c r="I1370" i="4" s="1"/>
  <c r="H1369" i="4"/>
  <c r="I1369" i="4" s="1"/>
  <c r="H1368" i="4"/>
  <c r="I1368" i="4" s="1"/>
  <c r="H1367" i="4"/>
  <c r="I1367" i="4" s="1"/>
  <c r="H1366" i="4"/>
  <c r="I1366" i="4" s="1"/>
  <c r="H1365" i="4"/>
  <c r="I1365" i="4" s="1"/>
  <c r="H1364" i="4"/>
  <c r="I1364" i="4" s="1"/>
  <c r="H1363" i="4"/>
  <c r="I1363" i="4" s="1"/>
  <c r="H1362" i="4"/>
  <c r="I1362" i="4" s="1"/>
  <c r="H1361" i="4"/>
  <c r="I1361" i="4" s="1"/>
  <c r="H1360" i="4"/>
  <c r="I1360" i="4" s="1"/>
  <c r="H1359" i="4"/>
  <c r="I1359" i="4" s="1"/>
  <c r="H1358" i="4"/>
  <c r="I1358" i="4" s="1"/>
  <c r="H1357" i="4"/>
  <c r="I1357" i="4" s="1"/>
  <c r="H1356" i="4"/>
  <c r="I1356" i="4" s="1"/>
  <c r="H1355" i="4"/>
  <c r="I1355" i="4" s="1"/>
  <c r="H1354" i="4"/>
  <c r="I1354" i="4" s="1"/>
  <c r="H1353" i="4"/>
  <c r="I1353" i="4" s="1"/>
  <c r="H1352" i="4"/>
  <c r="H1351" i="4"/>
  <c r="D1350" i="4"/>
  <c r="G1350" i="4" s="1"/>
  <c r="I1350" i="4" s="1"/>
  <c r="H1349" i="4"/>
  <c r="I1349" i="4" s="1"/>
  <c r="H1348" i="4"/>
  <c r="I1348" i="4" s="1"/>
  <c r="D1347" i="4"/>
  <c r="H1347" i="4" s="1"/>
  <c r="I1347" i="4" s="1"/>
  <c r="H1346" i="4"/>
  <c r="I1346" i="4" s="1"/>
  <c r="H1345" i="4"/>
  <c r="I1345" i="4" s="1"/>
  <c r="H1344" i="4"/>
  <c r="I1344" i="4" s="1"/>
  <c r="H1343" i="4"/>
  <c r="I1343" i="4" s="1"/>
  <c r="H1342" i="4"/>
  <c r="I1342" i="4" s="1"/>
  <c r="H1341" i="4"/>
  <c r="I1341" i="4" s="1"/>
  <c r="H1340" i="4"/>
  <c r="I1340" i="4" s="1"/>
  <c r="H1339" i="4"/>
  <c r="I1339" i="4" s="1"/>
  <c r="H1338" i="4"/>
  <c r="H1335" i="4"/>
  <c r="I1335" i="4" s="1"/>
  <c r="H1334" i="4"/>
  <c r="I1334" i="4" s="1"/>
  <c r="H1333" i="4"/>
  <c r="I1333" i="4" s="1"/>
  <c r="H1332" i="4"/>
  <c r="I1332" i="4" s="1"/>
  <c r="H1331" i="4"/>
  <c r="I1331" i="4" s="1"/>
  <c r="H1330" i="4"/>
  <c r="I1330" i="4" s="1"/>
  <c r="H1329" i="4"/>
  <c r="I1329" i="4" s="1"/>
  <c r="H1328" i="4"/>
  <c r="I1328" i="4" s="1"/>
  <c r="H1327" i="4"/>
  <c r="I1327" i="4" s="1"/>
  <c r="H1326" i="4"/>
  <c r="I1326" i="4" s="1"/>
  <c r="H1325" i="4"/>
  <c r="I1325" i="4" s="1"/>
  <c r="H1324" i="4"/>
  <c r="I1324" i="4" s="1"/>
  <c r="H1323" i="4"/>
  <c r="G1321" i="4"/>
  <c r="H1317" i="4"/>
  <c r="I1317" i="4" s="1"/>
  <c r="H1316" i="4"/>
  <c r="I1316" i="4" s="1"/>
  <c r="H1315" i="4"/>
  <c r="H1314" i="4"/>
  <c r="H1313" i="4"/>
  <c r="I1313" i="4" s="1"/>
  <c r="H1312" i="4"/>
  <c r="I1312" i="4" s="1"/>
  <c r="H1310" i="4"/>
  <c r="I1310" i="4" s="1"/>
  <c r="H1309" i="4"/>
  <c r="H1308" i="4"/>
  <c r="I1308" i="4" s="1"/>
  <c r="H1307" i="4"/>
  <c r="I1307" i="4" s="1"/>
  <c r="H1306" i="4"/>
  <c r="I1306" i="4" s="1"/>
  <c r="H1305" i="4"/>
  <c r="I1305" i="4" s="1"/>
  <c r="H1304" i="4"/>
  <c r="I1304" i="4" s="1"/>
  <c r="H1303" i="4"/>
  <c r="I1303" i="4" s="1"/>
  <c r="H1302" i="4"/>
  <c r="H1301" i="4"/>
  <c r="H1300" i="4"/>
  <c r="H1299" i="4"/>
  <c r="H1298" i="4"/>
  <c r="H1297" i="4"/>
  <c r="H1296" i="4"/>
  <c r="H1295" i="4"/>
  <c r="H1294" i="4"/>
  <c r="I1294" i="4" s="1"/>
  <c r="H1293" i="4"/>
  <c r="H1292" i="4"/>
  <c r="H1291" i="4"/>
  <c r="I1291" i="4" s="1"/>
  <c r="H1290" i="4"/>
  <c r="I1290" i="4" s="1"/>
  <c r="H1289" i="4"/>
  <c r="H1288" i="4"/>
  <c r="I1288" i="4" s="1"/>
  <c r="H1287" i="4"/>
  <c r="H1286" i="4"/>
  <c r="I1286" i="4" s="1"/>
  <c r="H1285" i="4"/>
  <c r="H1284" i="4"/>
  <c r="I1284" i="4" s="1"/>
  <c r="H1283" i="4"/>
  <c r="H1279" i="4"/>
  <c r="G1279" i="4"/>
  <c r="H1278" i="4"/>
  <c r="G1278" i="4"/>
  <c r="H1277" i="4"/>
  <c r="G1277" i="4"/>
  <c r="D1276" i="4"/>
  <c r="G1276" i="4" s="1"/>
  <c r="I1276" i="4" s="1"/>
  <c r="H1275" i="4"/>
  <c r="G1274" i="4"/>
  <c r="I1274" i="4" s="1"/>
  <c r="H1273" i="4"/>
  <c r="I1273" i="4" s="1"/>
  <c r="H1271" i="4"/>
  <c r="I1271" i="4" s="1"/>
  <c r="H1270" i="4"/>
  <c r="I1270" i="4" s="1"/>
  <c r="G1269" i="4"/>
  <c r="H1268" i="4"/>
  <c r="I1268" i="4" s="1"/>
  <c r="H1267" i="4"/>
  <c r="I1267" i="4" s="1"/>
  <c r="H1266" i="4"/>
  <c r="I1266" i="4" s="1"/>
  <c r="H1265" i="4"/>
  <c r="I1265" i="4" s="1"/>
  <c r="H1264" i="4"/>
  <c r="I1264" i="4" s="1"/>
  <c r="H1263" i="4"/>
  <c r="I1263" i="4" s="1"/>
  <c r="H1262" i="4"/>
  <c r="I1262" i="4" s="1"/>
  <c r="H1261" i="4"/>
  <c r="I1261" i="4" s="1"/>
  <c r="H1260" i="4"/>
  <c r="I1260" i="4" s="1"/>
  <c r="H1259" i="4"/>
  <c r="I1259" i="4" s="1"/>
  <c r="H1258" i="4"/>
  <c r="I1258" i="4" s="1"/>
  <c r="H1257" i="4"/>
  <c r="I1257" i="4" s="1"/>
  <c r="H1256" i="4"/>
  <c r="I1256" i="4" s="1"/>
  <c r="H1255" i="4"/>
  <c r="I1255" i="4" s="1"/>
  <c r="H1254" i="4"/>
  <c r="I1254" i="4" s="1"/>
  <c r="H1253" i="4"/>
  <c r="I1253" i="4" s="1"/>
  <c r="H1252" i="4"/>
  <c r="I1252" i="4" s="1"/>
  <c r="H1251" i="4"/>
  <c r="I1251" i="4" s="1"/>
  <c r="H1250" i="4"/>
  <c r="I1250" i="4" s="1"/>
  <c r="D1249" i="4"/>
  <c r="G1249" i="4" s="1"/>
  <c r="H1248" i="4"/>
  <c r="H1247" i="4"/>
  <c r="G1246" i="4"/>
  <c r="H1245" i="4"/>
  <c r="I1245" i="4" s="1"/>
  <c r="H1244" i="4"/>
  <c r="I1244" i="4" s="1"/>
  <c r="H1243" i="4"/>
  <c r="I1243" i="4" s="1"/>
  <c r="H1242" i="4"/>
  <c r="I1242" i="4" s="1"/>
  <c r="H1241" i="4"/>
  <c r="I1241" i="4" s="1"/>
  <c r="G1240" i="4"/>
  <c r="H1239" i="4"/>
  <c r="I1239" i="4" s="1"/>
  <c r="H1238" i="4"/>
  <c r="I1238" i="4" s="1"/>
  <c r="H1237" i="4"/>
  <c r="I1237" i="4" s="1"/>
  <c r="H1236" i="4"/>
  <c r="I1236" i="4" s="1"/>
  <c r="H1235" i="4"/>
  <c r="G1234" i="4"/>
  <c r="H1226" i="4"/>
  <c r="H1225" i="4"/>
  <c r="D1224" i="4"/>
  <c r="G1224" i="4" s="1"/>
  <c r="I1224" i="4" s="1"/>
  <c r="H1232" i="4"/>
  <c r="I1232" i="4" s="1"/>
  <c r="H1231" i="4"/>
  <c r="I1231" i="4" s="1"/>
  <c r="H1230" i="4"/>
  <c r="I1230" i="4" s="1"/>
  <c r="H1229" i="4"/>
  <c r="I1229" i="4" s="1"/>
  <c r="H1228" i="4"/>
  <c r="I1228" i="4" s="1"/>
  <c r="H1223" i="4"/>
  <c r="I1223" i="4" s="1"/>
  <c r="H1222" i="4"/>
  <c r="I1222" i="4" s="1"/>
  <c r="H1201" i="4"/>
  <c r="I1201" i="4" s="1"/>
  <c r="H1194" i="4"/>
  <c r="I1194" i="4" s="1"/>
  <c r="H1183" i="4"/>
  <c r="I1183" i="4" s="1"/>
  <c r="H1179" i="4"/>
  <c r="I1179" i="4" s="1"/>
  <c r="H1176" i="4"/>
  <c r="I1176" i="4" s="1"/>
  <c r="H1217" i="4"/>
  <c r="I1217" i="4" s="1"/>
  <c r="H1212" i="4"/>
  <c r="I1212" i="4" s="1"/>
  <c r="H1207" i="4"/>
  <c r="I1207" i="4" s="1"/>
  <c r="H1200" i="4"/>
  <c r="I1200" i="4" s="1"/>
  <c r="H1193" i="4"/>
  <c r="I1193" i="4" s="1"/>
  <c r="H1187" i="4"/>
  <c r="I1187" i="4" s="1"/>
  <c r="H1211" i="4"/>
  <c r="I1211" i="4" s="1"/>
  <c r="H1216" i="4"/>
  <c r="I1216" i="4" s="1"/>
  <c r="H1206" i="4"/>
  <c r="I1206" i="4" s="1"/>
  <c r="H1199" i="4"/>
  <c r="I1199" i="4" s="1"/>
  <c r="H1192" i="4"/>
  <c r="I1192" i="4" s="1"/>
  <c r="H1191" i="4"/>
  <c r="I1191" i="4" s="1"/>
  <c r="H1182" i="4"/>
  <c r="I1182" i="4" s="1"/>
  <c r="H1215" i="4"/>
  <c r="I1215" i="4" s="1"/>
  <c r="H1210" i="4"/>
  <c r="I1210" i="4" s="1"/>
  <c r="H1205" i="4"/>
  <c r="I1205" i="4" s="1"/>
  <c r="H1204" i="4"/>
  <c r="I1204" i="4" s="1"/>
  <c r="H1198" i="4"/>
  <c r="I1198" i="4" s="1"/>
  <c r="H1197" i="4"/>
  <c r="I1197" i="4" s="1"/>
  <c r="H1190" i="4"/>
  <c r="I1190" i="4" s="1"/>
  <c r="H1186" i="4"/>
  <c r="I1186" i="4" s="1"/>
  <c r="H1220" i="4"/>
  <c r="H1219" i="4"/>
  <c r="G1213" i="4"/>
  <c r="G1208" i="4"/>
  <c r="H1203" i="4"/>
  <c r="G1195" i="4"/>
  <c r="H1189" i="4"/>
  <c r="H1185" i="4"/>
  <c r="H1181" i="4"/>
  <c r="H1178" i="4"/>
  <c r="G1174" i="4"/>
  <c r="H1172" i="4"/>
  <c r="I1172" i="4" s="1"/>
  <c r="G1170" i="4"/>
  <c r="H1282" i="4"/>
  <c r="H1281" i="4"/>
  <c r="H1169" i="4"/>
  <c r="I1169" i="4" s="1"/>
  <c r="H1168" i="4"/>
  <c r="I1168" i="4" s="1"/>
  <c r="H1167" i="4"/>
  <c r="H1166" i="4"/>
  <c r="I1166" i="4" s="1"/>
  <c r="H1165" i="4"/>
  <c r="H1171" i="4"/>
  <c r="H1173" i="4"/>
  <c r="H1162" i="4"/>
  <c r="H1160" i="4"/>
  <c r="H1159" i="4"/>
  <c r="H1158" i="4"/>
  <c r="H1157" i="4"/>
  <c r="H1155" i="4"/>
  <c r="I1155" i="4" s="1"/>
  <c r="H1154" i="4"/>
  <c r="I1154" i="4" s="1"/>
  <c r="H1151" i="4"/>
  <c r="H1149" i="4"/>
  <c r="I1149" i="4" s="1"/>
  <c r="H1148" i="4"/>
  <c r="H1146" i="4"/>
  <c r="I1146" i="4" s="1"/>
  <c r="H1145" i="4"/>
  <c r="I1145" i="4" s="1"/>
  <c r="H1144" i="4"/>
  <c r="I1144" i="4" s="1"/>
  <c r="H1143" i="4"/>
  <c r="I1143" i="4" s="1"/>
  <c r="H1142" i="4"/>
  <c r="I1142" i="4" s="1"/>
  <c r="H1141" i="4"/>
  <c r="I1141" i="4" s="1"/>
  <c r="H1140" i="4"/>
  <c r="I1140" i="4" s="1"/>
  <c r="H1139" i="4"/>
  <c r="I1139" i="4" s="1"/>
  <c r="H1138" i="4"/>
  <c r="I1138" i="4" s="1"/>
  <c r="H1137" i="4"/>
  <c r="H1136" i="4"/>
  <c r="I1136" i="4" s="1"/>
  <c r="H1135" i="4"/>
  <c r="I1135" i="4" s="1"/>
  <c r="H1134" i="4"/>
  <c r="I1134" i="4" s="1"/>
  <c r="H1133" i="4"/>
  <c r="I1133" i="4" s="1"/>
  <c r="H1132" i="4"/>
  <c r="I1132" i="4" s="1"/>
  <c r="H1131" i="4"/>
  <c r="G1125" i="4"/>
  <c r="H1124" i="4"/>
  <c r="I1124" i="4" s="1"/>
  <c r="H1122" i="4"/>
  <c r="H1121" i="4"/>
  <c r="H1120" i="4"/>
  <c r="H1119" i="4"/>
  <c r="H1118" i="4"/>
  <c r="D1117" i="4"/>
  <c r="G1117" i="4" s="1"/>
  <c r="I1117" i="4" s="1"/>
  <c r="D1116" i="4"/>
  <c r="H1116" i="4" s="1"/>
  <c r="I1116" i="4" s="1"/>
  <c r="D1115" i="4"/>
  <c r="H1115" i="4" s="1"/>
  <c r="I1115" i="4" s="1"/>
  <c r="H1114" i="4"/>
  <c r="I1114" i="4" s="1"/>
  <c r="H1113" i="4"/>
  <c r="D1112" i="4"/>
  <c r="G1112" i="4" s="1"/>
  <c r="H1111" i="4"/>
  <c r="I1111" i="4" s="1"/>
  <c r="H1110" i="4"/>
  <c r="H1109" i="4"/>
  <c r="I1109" i="4" s="1"/>
  <c r="H1108" i="4"/>
  <c r="H1107" i="4"/>
  <c r="H1106" i="4"/>
  <c r="I1106" i="4" s="1"/>
  <c r="H1105" i="4"/>
  <c r="I1105" i="4" s="1"/>
  <c r="H1104" i="4"/>
  <c r="H1103" i="4"/>
  <c r="I1103" i="4" s="1"/>
  <c r="H1102" i="4"/>
  <c r="H1101" i="4"/>
  <c r="H1100" i="4"/>
  <c r="H1099" i="4"/>
  <c r="H1098" i="4"/>
  <c r="H1097" i="4"/>
  <c r="I1097" i="4" s="1"/>
  <c r="H1096" i="4"/>
  <c r="H1095" i="4"/>
  <c r="I1095" i="4" s="1"/>
  <c r="H1094" i="4"/>
  <c r="H1093" i="4"/>
  <c r="I1093" i="4" s="1"/>
  <c r="H1092" i="4"/>
  <c r="H1091" i="4"/>
  <c r="I1091" i="4" s="1"/>
  <c r="H1090" i="4"/>
  <c r="H1089" i="4"/>
  <c r="I1089" i="4" s="1"/>
  <c r="H1088" i="4"/>
  <c r="H1087" i="4"/>
  <c r="I1087" i="4" s="1"/>
  <c r="H1086" i="4"/>
  <c r="H1084" i="4"/>
  <c r="I1084" i="4" s="1"/>
  <c r="H1083" i="4"/>
  <c r="I1083" i="4" s="1"/>
  <c r="H1082" i="4"/>
  <c r="H1080" i="4"/>
  <c r="H1079" i="4"/>
  <c r="D1078" i="4"/>
  <c r="G1078" i="4" s="1"/>
  <c r="I1078" i="4" s="1"/>
  <c r="H1077" i="4"/>
  <c r="I1077" i="4" s="1"/>
  <c r="H1076" i="4"/>
  <c r="I1076" i="4" s="1"/>
  <c r="H1075" i="4"/>
  <c r="H1074" i="4"/>
  <c r="I1074" i="4" s="1"/>
  <c r="G1073" i="4"/>
  <c r="H1070" i="4"/>
  <c r="I1070" i="4" s="1"/>
  <c r="H1069" i="4"/>
  <c r="I1069" i="4" s="1"/>
  <c r="H1068" i="4"/>
  <c r="I1068" i="4" s="1"/>
  <c r="H1067" i="4"/>
  <c r="I1067" i="4" s="1"/>
  <c r="H1066" i="4"/>
  <c r="I1066" i="4" s="1"/>
  <c r="H1065" i="4"/>
  <c r="I1065" i="4" s="1"/>
  <c r="H1064" i="4"/>
  <c r="I1064" i="4" s="1"/>
  <c r="H1063" i="4"/>
  <c r="I1063" i="4" s="1"/>
  <c r="H1062" i="4"/>
  <c r="I1062" i="4" s="1"/>
  <c r="H1061" i="4"/>
  <c r="I1061" i="4" s="1"/>
  <c r="H1072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D998" i="4"/>
  <c r="G998" i="4" s="1"/>
  <c r="I998" i="4" s="1"/>
  <c r="H997" i="4"/>
  <c r="G996" i="4"/>
  <c r="H995" i="4"/>
  <c r="I995" i="4" s="1"/>
  <c r="H994" i="4"/>
  <c r="I994" i="4" s="1"/>
  <c r="H993" i="4"/>
  <c r="I993" i="4" s="1"/>
  <c r="H992" i="4"/>
  <c r="I992" i="4" s="1"/>
  <c r="H991" i="4"/>
  <c r="I991" i="4" s="1"/>
  <c r="H990" i="4"/>
  <c r="I990" i="4" s="1"/>
  <c r="H989" i="4"/>
  <c r="I989" i="4" s="1"/>
  <c r="H988" i="4"/>
  <c r="I988" i="4" s="1"/>
  <c r="H987" i="4"/>
  <c r="D986" i="4"/>
  <c r="G986" i="4" s="1"/>
  <c r="H985" i="4"/>
  <c r="G984" i="4"/>
  <c r="H983" i="4"/>
  <c r="I983" i="4" s="1"/>
  <c r="G982" i="4"/>
  <c r="H981" i="4"/>
  <c r="I981" i="4" s="1"/>
  <c r="H980" i="4"/>
  <c r="H978" i="4"/>
  <c r="H977" i="4"/>
  <c r="H976" i="4"/>
  <c r="I976" i="4" s="1"/>
  <c r="H975" i="4"/>
  <c r="G974" i="4"/>
  <c r="I974" i="4" s="1"/>
  <c r="H973" i="4"/>
  <c r="H972" i="4"/>
  <c r="I972" i="4" s="1"/>
  <c r="H971" i="4"/>
  <c r="I971" i="4" s="1"/>
  <c r="H970" i="4"/>
  <c r="I970" i="4" s="1"/>
  <c r="H969" i="4"/>
  <c r="I969" i="4" s="1"/>
  <c r="G968" i="4"/>
  <c r="H967" i="4"/>
  <c r="I967" i="4" s="1"/>
  <c r="H966" i="4"/>
  <c r="I966" i="4" s="1"/>
  <c r="H965" i="4"/>
  <c r="I965" i="4" s="1"/>
  <c r="H964" i="4"/>
  <c r="I964" i="4" s="1"/>
  <c r="G963" i="4"/>
  <c r="H962" i="4"/>
  <c r="G961" i="4"/>
  <c r="H960" i="4"/>
  <c r="I960" i="4" s="1"/>
  <c r="H959" i="4"/>
  <c r="I959" i="4" s="1"/>
  <c r="H958" i="4"/>
  <c r="I958" i="4" s="1"/>
  <c r="G957" i="4"/>
  <c r="H954" i="4"/>
  <c r="I954" i="4" s="1"/>
  <c r="H953" i="4"/>
  <c r="I953" i="4" s="1"/>
  <c r="H949" i="4"/>
  <c r="I949" i="4" s="1"/>
  <c r="H948" i="4"/>
  <c r="I948" i="4" s="1"/>
  <c r="H947" i="4"/>
  <c r="I947" i="4" s="1"/>
  <c r="H946" i="4"/>
  <c r="I946" i="4" s="1"/>
  <c r="H941" i="4"/>
  <c r="I941" i="4" s="1"/>
  <c r="H925" i="4"/>
  <c r="I925" i="4" s="1"/>
  <c r="H919" i="4"/>
  <c r="I919" i="4" s="1"/>
  <c r="H914" i="4"/>
  <c r="I914" i="4" s="1"/>
  <c r="H909" i="4"/>
  <c r="I909" i="4" s="1"/>
  <c r="H902" i="4"/>
  <c r="I902" i="4" s="1"/>
  <c r="G955" i="4"/>
  <c r="H936" i="4"/>
  <c r="I936" i="4" s="1"/>
  <c r="H940" i="4"/>
  <c r="I940" i="4" s="1"/>
  <c r="H944" i="4"/>
  <c r="I944" i="4" s="1"/>
  <c r="H939" i="4"/>
  <c r="I939" i="4" s="1"/>
  <c r="H935" i="4"/>
  <c r="I935" i="4" s="1"/>
  <c r="H930" i="4"/>
  <c r="I930" i="4" s="1"/>
  <c r="H924" i="4"/>
  <c r="I924" i="4" s="1"/>
  <c r="H908" i="4"/>
  <c r="I908" i="4" s="1"/>
  <c r="H901" i="4"/>
  <c r="I901" i="4" s="1"/>
  <c r="H934" i="4"/>
  <c r="I934" i="4" s="1"/>
  <c r="H929" i="4"/>
  <c r="I929" i="4" s="1"/>
  <c r="H923" i="4"/>
  <c r="I923" i="4" s="1"/>
  <c r="H918" i="4"/>
  <c r="I918" i="4" s="1"/>
  <c r="H913" i="4"/>
  <c r="I913" i="4" s="1"/>
  <c r="H907" i="4"/>
  <c r="I907" i="4" s="1"/>
  <c r="H900" i="4"/>
  <c r="I900" i="4" s="1"/>
  <c r="H933" i="4"/>
  <c r="I933" i="4" s="1"/>
  <c r="H928" i="4"/>
  <c r="I928" i="4" s="1"/>
  <c r="H922" i="4"/>
  <c r="I922" i="4" s="1"/>
  <c r="H917" i="4"/>
  <c r="I917" i="4" s="1"/>
  <c r="H912" i="4"/>
  <c r="I912" i="4" s="1"/>
  <c r="H906" i="4"/>
  <c r="I906" i="4" s="1"/>
  <c r="H905" i="4"/>
  <c r="I905" i="4" s="1"/>
  <c r="H899" i="4"/>
  <c r="I899" i="4" s="1"/>
  <c r="H898" i="4"/>
  <c r="I898" i="4" s="1"/>
  <c r="H943" i="4"/>
  <c r="H938" i="4"/>
  <c r="H932" i="4"/>
  <c r="H927" i="4"/>
  <c r="H921" i="4"/>
  <c r="H916" i="4"/>
  <c r="H911" i="4"/>
  <c r="H904" i="4"/>
  <c r="H897" i="4"/>
  <c r="D952" i="4"/>
  <c r="H952" i="4" s="1"/>
  <c r="I952" i="4" s="1"/>
  <c r="D891" i="4"/>
  <c r="D890" i="4"/>
  <c r="D889" i="4"/>
  <c r="H889" i="4" s="1"/>
  <c r="D888" i="4"/>
  <c r="H888" i="4" s="1"/>
  <c r="D887" i="4"/>
  <c r="H887" i="4" s="1"/>
  <c r="F885" i="4"/>
  <c r="H885" i="4" s="1"/>
  <c r="E883" i="4"/>
  <c r="G883" i="4" s="1"/>
  <c r="D882" i="4"/>
  <c r="G882" i="4" s="1"/>
  <c r="G881" i="4"/>
  <c r="D879" i="4"/>
  <c r="D880" i="4" s="1"/>
  <c r="H880" i="4" s="1"/>
  <c r="H875" i="4"/>
  <c r="I875" i="4" s="1"/>
  <c r="D874" i="4"/>
  <c r="H874" i="4" s="1"/>
  <c r="G873" i="4"/>
  <c r="D871" i="4"/>
  <c r="G871" i="4" s="1"/>
  <c r="D868" i="4"/>
  <c r="H868" i="4" s="1"/>
  <c r="I868" i="4" s="1"/>
  <c r="D867" i="4"/>
  <c r="H867" i="4" s="1"/>
  <c r="D866" i="4"/>
  <c r="G866" i="4" s="1"/>
  <c r="D863" i="4"/>
  <c r="D862" i="4"/>
  <c r="H862" i="4" s="1"/>
  <c r="I862" i="4" s="1"/>
  <c r="D860" i="4"/>
  <c r="G860" i="4" s="1"/>
  <c r="D859" i="4"/>
  <c r="H859" i="4" s="1"/>
  <c r="D858" i="4"/>
  <c r="G858" i="4" s="1"/>
  <c r="D855" i="4"/>
  <c r="D856" i="4" s="1"/>
  <c r="H856" i="4" s="1"/>
  <c r="D854" i="4"/>
  <c r="H854" i="4" s="1"/>
  <c r="I854" i="4" s="1"/>
  <c r="D853" i="4"/>
  <c r="H853" i="4" s="1"/>
  <c r="I853" i="4" s="1"/>
  <c r="G852" i="4"/>
  <c r="D849" i="4"/>
  <c r="D850" i="4" s="1"/>
  <c r="H850" i="4" s="1"/>
  <c r="D848" i="4"/>
  <c r="D847" i="4"/>
  <c r="D845" i="4"/>
  <c r="D843" i="4"/>
  <c r="G843" i="4" s="1"/>
  <c r="I843" i="4" s="1"/>
  <c r="D841" i="4"/>
  <c r="G841" i="4" s="1"/>
  <c r="I841" i="4" s="1"/>
  <c r="D839" i="4"/>
  <c r="D838" i="4"/>
  <c r="G838" i="4" s="1"/>
  <c r="I838" i="4" s="1"/>
  <c r="D835" i="4"/>
  <c r="D836" i="4" s="1"/>
  <c r="H836" i="4" s="1"/>
  <c r="D832" i="4"/>
  <c r="D833" i="4" s="1"/>
  <c r="H833" i="4" s="1"/>
  <c r="D829" i="4"/>
  <c r="D831" i="4" s="1"/>
  <c r="H831" i="4" s="1"/>
  <c r="I831" i="4" s="1"/>
  <c r="D825" i="4"/>
  <c r="D827" i="4" s="1"/>
  <c r="D822" i="4"/>
  <c r="D823" i="4" s="1"/>
  <c r="H823" i="4" s="1"/>
  <c r="D819" i="4"/>
  <c r="D814" i="4"/>
  <c r="D811" i="4"/>
  <c r="D813" i="4" s="1"/>
  <c r="D807" i="4"/>
  <c r="H807" i="4" s="1"/>
  <c r="I807" i="4" s="1"/>
  <c r="D802" i="4"/>
  <c r="D806" i="4" s="1"/>
  <c r="H806" i="4" s="1"/>
  <c r="I806" i="4" s="1"/>
  <c r="D799" i="4"/>
  <c r="H799" i="4" s="1"/>
  <c r="I799" i="4" s="1"/>
  <c r="D798" i="4"/>
  <c r="H798" i="4" s="1"/>
  <c r="I798" i="4" s="1"/>
  <c r="D797" i="4"/>
  <c r="H797" i="4" s="1"/>
  <c r="I797" i="4" s="1"/>
  <c r="D796" i="4"/>
  <c r="D793" i="4"/>
  <c r="D790" i="4"/>
  <c r="G790" i="4" s="1"/>
  <c r="D786" i="4"/>
  <c r="D788" i="4" s="1"/>
  <c r="H788" i="4" s="1"/>
  <c r="I788" i="4" s="1"/>
  <c r="D783" i="4"/>
  <c r="D785" i="4" s="1"/>
  <c r="H785" i="4" s="1"/>
  <c r="I785" i="4" s="1"/>
  <c r="D776" i="4"/>
  <c r="D780" i="4" s="1"/>
  <c r="H780" i="4" s="1"/>
  <c r="D773" i="4"/>
  <c r="H773" i="4" s="1"/>
  <c r="D772" i="4"/>
  <c r="H772" i="4" s="1"/>
  <c r="I772" i="4" s="1"/>
  <c r="D771" i="4"/>
  <c r="D775" i="4" s="1"/>
  <c r="H775" i="4" s="1"/>
  <c r="I775" i="4" s="1"/>
  <c r="D768" i="4"/>
  <c r="D762" i="4"/>
  <c r="H762" i="4" s="1"/>
  <c r="I762" i="4" s="1"/>
  <c r="D760" i="4"/>
  <c r="G759" i="4"/>
  <c r="D758" i="4"/>
  <c r="D757" i="4"/>
  <c r="H757" i="4" s="1"/>
  <c r="D756" i="4"/>
  <c r="G755" i="4"/>
  <c r="G753" i="4"/>
  <c r="D749" i="4"/>
  <c r="G749" i="4" s="1"/>
  <c r="H746" i="4"/>
  <c r="I746" i="4" s="1"/>
  <c r="H745" i="4"/>
  <c r="I745" i="4" s="1"/>
  <c r="H744" i="4"/>
  <c r="I744" i="4" s="1"/>
  <c r="H743" i="4"/>
  <c r="I743" i="4" s="1"/>
  <c r="D742" i="4"/>
  <c r="H742" i="4" s="1"/>
  <c r="I742" i="4" s="1"/>
  <c r="D741" i="4"/>
  <c r="H741" i="4" s="1"/>
  <c r="I741" i="4" s="1"/>
  <c r="H740" i="4"/>
  <c r="I740" i="4" s="1"/>
  <c r="H739" i="4"/>
  <c r="I739" i="4" s="1"/>
  <c r="H738" i="4"/>
  <c r="I738" i="4" s="1"/>
  <c r="H737" i="4"/>
  <c r="I737" i="4" s="1"/>
  <c r="H736" i="4"/>
  <c r="I736" i="4" s="1"/>
  <c r="D735" i="4"/>
  <c r="D734" i="4"/>
  <c r="D733" i="4"/>
  <c r="H733" i="4" s="1"/>
  <c r="D732" i="4"/>
  <c r="H732" i="4" s="1"/>
  <c r="D731" i="4"/>
  <c r="D730" i="4"/>
  <c r="H730" i="4" s="1"/>
  <c r="D729" i="4"/>
  <c r="H729" i="4" s="1"/>
  <c r="D728" i="4"/>
  <c r="H724" i="4"/>
  <c r="I724" i="4" s="1"/>
  <c r="H723" i="4"/>
  <c r="I723" i="4" s="1"/>
  <c r="H722" i="4"/>
  <c r="I722" i="4" s="1"/>
  <c r="H721" i="4"/>
  <c r="I721" i="4" s="1"/>
  <c r="D720" i="4"/>
  <c r="H720" i="4" s="1"/>
  <c r="I720" i="4" s="1"/>
  <c r="D719" i="4"/>
  <c r="H719" i="4" s="1"/>
  <c r="I719" i="4" s="1"/>
  <c r="H718" i="4"/>
  <c r="I718" i="4" s="1"/>
  <c r="H717" i="4"/>
  <c r="I717" i="4" s="1"/>
  <c r="H716" i="4"/>
  <c r="I716" i="4" s="1"/>
  <c r="D715" i="4"/>
  <c r="D714" i="4"/>
  <c r="D713" i="4"/>
  <c r="H709" i="4"/>
  <c r="I709" i="4" s="1"/>
  <c r="H708" i="4"/>
  <c r="I708" i="4" s="1"/>
  <c r="H707" i="4"/>
  <c r="I707" i="4" s="1"/>
  <c r="H706" i="4"/>
  <c r="I706" i="4" s="1"/>
  <c r="D705" i="4"/>
  <c r="H705" i="4" s="1"/>
  <c r="I705" i="4" s="1"/>
  <c r="D704" i="4"/>
  <c r="H704" i="4" s="1"/>
  <c r="I704" i="4" s="1"/>
  <c r="H703" i="4"/>
  <c r="I703" i="4" s="1"/>
  <c r="H702" i="4"/>
  <c r="I702" i="4" s="1"/>
  <c r="H701" i="4"/>
  <c r="I701" i="4" s="1"/>
  <c r="D700" i="4"/>
  <c r="H700" i="4" s="1"/>
  <c r="I700" i="4" s="1"/>
  <c r="D699" i="4"/>
  <c r="H699" i="4" s="1"/>
  <c r="D698" i="4"/>
  <c r="D697" i="4"/>
  <c r="H693" i="4"/>
  <c r="I693" i="4" s="1"/>
  <c r="H692" i="4"/>
  <c r="I692" i="4" s="1"/>
  <c r="H691" i="4"/>
  <c r="I691" i="4" s="1"/>
  <c r="H690" i="4"/>
  <c r="I690" i="4" s="1"/>
  <c r="D689" i="4"/>
  <c r="H689" i="4" s="1"/>
  <c r="I689" i="4" s="1"/>
  <c r="D688" i="4"/>
  <c r="H688" i="4" s="1"/>
  <c r="I688" i="4" s="1"/>
  <c r="H687" i="4"/>
  <c r="I687" i="4" s="1"/>
  <c r="H686" i="4"/>
  <c r="I686" i="4" s="1"/>
  <c r="H685" i="4"/>
  <c r="I685" i="4" s="1"/>
  <c r="H684" i="4"/>
  <c r="I684" i="4" s="1"/>
  <c r="H683" i="4"/>
  <c r="I683" i="4" s="1"/>
  <c r="D682" i="4"/>
  <c r="D681" i="4"/>
  <c r="H677" i="4"/>
  <c r="H676" i="4"/>
  <c r="H675" i="4"/>
  <c r="H674" i="4"/>
  <c r="D673" i="4"/>
  <c r="H672" i="4"/>
  <c r="D671" i="4"/>
  <c r="H670" i="4"/>
  <c r="H669" i="4"/>
  <c r="D668" i="4"/>
  <c r="H668" i="4" s="1"/>
  <c r="D667" i="4"/>
  <c r="D666" i="4"/>
  <c r="H666" i="4" s="1"/>
  <c r="H665" i="4"/>
  <c r="D664" i="4"/>
  <c r="H664" i="4" s="1"/>
  <c r="D663" i="4"/>
  <c r="D662" i="4"/>
  <c r="D661" i="4"/>
  <c r="D660" i="4"/>
  <c r="D659" i="4"/>
  <c r="H659" i="4" s="1"/>
  <c r="D655" i="4"/>
  <c r="H655" i="4" s="1"/>
  <c r="I655" i="4" s="1"/>
  <c r="D654" i="4"/>
  <c r="H654" i="4" s="1"/>
  <c r="I654" i="4" s="1"/>
  <c r="D653" i="4"/>
  <c r="D652" i="4"/>
  <c r="D651" i="4"/>
  <c r="H651" i="4" s="1"/>
  <c r="D650" i="4"/>
  <c r="D649" i="4"/>
  <c r="H649" i="4" s="1"/>
  <c r="D648" i="4"/>
  <c r="H648" i="4" s="1"/>
  <c r="D647" i="4"/>
  <c r="H647" i="4" s="1"/>
  <c r="D646" i="4"/>
  <c r="H646" i="4" s="1"/>
  <c r="D645" i="4"/>
  <c r="D644" i="4"/>
  <c r="D643" i="4"/>
  <c r="D642" i="4"/>
  <c r="H642" i="4" s="1"/>
  <c r="D641" i="4"/>
  <c r="H641" i="4" s="1"/>
  <c r="D637" i="4"/>
  <c r="H637" i="4" s="1"/>
  <c r="I637" i="4" s="1"/>
  <c r="D636" i="4"/>
  <c r="H636" i="4" s="1"/>
  <c r="I636" i="4" s="1"/>
  <c r="D635" i="4"/>
  <c r="H635" i="4" s="1"/>
  <c r="I635" i="4" s="1"/>
  <c r="D634" i="4"/>
  <c r="D633" i="4"/>
  <c r="H633" i="4" s="1"/>
  <c r="D632" i="4"/>
  <c r="D627" i="4"/>
  <c r="D626" i="4"/>
  <c r="H626" i="4" s="1"/>
  <c r="I626" i="4" s="1"/>
  <c r="D624" i="4"/>
  <c r="H624" i="4" s="1"/>
  <c r="G623" i="4"/>
  <c r="D620" i="4"/>
  <c r="H620" i="4" s="1"/>
  <c r="D619" i="4"/>
  <c r="D618" i="4"/>
  <c r="D617" i="4"/>
  <c r="D616" i="4"/>
  <c r="D615" i="4"/>
  <c r="D614" i="4"/>
  <c r="H609" i="4"/>
  <c r="H606" i="4"/>
  <c r="H601" i="4"/>
  <c r="H600" i="4"/>
  <c r="H597" i="4"/>
  <c r="D595" i="4"/>
  <c r="G595" i="4" s="1"/>
  <c r="H592" i="4"/>
  <c r="H591" i="4"/>
  <c r="H590" i="4"/>
  <c r="H587" i="4"/>
  <c r="H584" i="4"/>
  <c r="H583" i="4"/>
  <c r="D581" i="4"/>
  <c r="D582" i="4" s="1"/>
  <c r="D577" i="4"/>
  <c r="D576" i="4"/>
  <c r="D575" i="4"/>
  <c r="H575" i="4" s="1"/>
  <c r="D574" i="4"/>
  <c r="H574" i="4" s="1"/>
  <c r="D570" i="4"/>
  <c r="D572" i="4" s="1"/>
  <c r="H569" i="4"/>
  <c r="H568" i="4"/>
  <c r="I568" i="4" s="1"/>
  <c r="H567" i="4"/>
  <c r="I567" i="4" s="1"/>
  <c r="G566" i="4"/>
  <c r="I566" i="4" s="1"/>
  <c r="D565" i="4"/>
  <c r="H565" i="4" s="1"/>
  <c r="I565" i="4" s="1"/>
  <c r="D564" i="4"/>
  <c r="H564" i="4" s="1"/>
  <c r="I564" i="4" s="1"/>
  <c r="D563" i="4"/>
  <c r="H563" i="4" s="1"/>
  <c r="I563" i="4" s="1"/>
  <c r="D562" i="4"/>
  <c r="H562" i="4" s="1"/>
  <c r="I562" i="4" s="1"/>
  <c r="D561" i="4"/>
  <c r="H561" i="4" s="1"/>
  <c r="I561" i="4" s="1"/>
  <c r="D560" i="4"/>
  <c r="H560" i="4" s="1"/>
  <c r="I560" i="4" s="1"/>
  <c r="G559" i="4"/>
  <c r="D558" i="4"/>
  <c r="H558" i="4" s="1"/>
  <c r="I558" i="4" s="1"/>
  <c r="D557" i="4"/>
  <c r="H557" i="4" s="1"/>
  <c r="I557" i="4" s="1"/>
  <c r="D556" i="4"/>
  <c r="H556" i="4" s="1"/>
  <c r="I556" i="4" s="1"/>
  <c r="D555" i="4"/>
  <c r="H555" i="4" s="1"/>
  <c r="I555" i="4" s="1"/>
  <c r="D554" i="4"/>
  <c r="H554" i="4" s="1"/>
  <c r="I554" i="4" s="1"/>
  <c r="G553" i="4"/>
  <c r="H552" i="4"/>
  <c r="I552" i="4" s="1"/>
  <c r="D551" i="4"/>
  <c r="H551" i="4" s="1"/>
  <c r="I551" i="4" s="1"/>
  <c r="D550" i="4"/>
  <c r="H550" i="4" s="1"/>
  <c r="I550" i="4" s="1"/>
  <c r="D548" i="4"/>
  <c r="D549" i="4" s="1"/>
  <c r="H549" i="4" s="1"/>
  <c r="G547" i="4"/>
  <c r="D537" i="4"/>
  <c r="D545" i="4" s="1"/>
  <c r="H545" i="4" s="1"/>
  <c r="I545" i="4" s="1"/>
  <c r="H536" i="4"/>
  <c r="I536" i="4" s="1"/>
  <c r="D535" i="4"/>
  <c r="H535" i="4" s="1"/>
  <c r="I535" i="4" s="1"/>
  <c r="H534" i="4"/>
  <c r="I534" i="4" s="1"/>
  <c r="H533" i="4"/>
  <c r="I533" i="4" s="1"/>
  <c r="D532" i="4"/>
  <c r="H532" i="4" s="1"/>
  <c r="D531" i="4"/>
  <c r="H531" i="4" s="1"/>
  <c r="I531" i="4" s="1"/>
  <c r="D530" i="4"/>
  <c r="H530" i="4" s="1"/>
  <c r="I530" i="4" s="1"/>
  <c r="D529" i="4"/>
  <c r="H529" i="4" s="1"/>
  <c r="I529" i="4" s="1"/>
  <c r="G528" i="4"/>
  <c r="H527" i="4"/>
  <c r="I527" i="4" s="1"/>
  <c r="H526" i="4"/>
  <c r="I526" i="4" s="1"/>
  <c r="D525" i="4"/>
  <c r="H525" i="4" s="1"/>
  <c r="H524" i="4"/>
  <c r="H523" i="4"/>
  <c r="I523" i="4" s="1"/>
  <c r="D521" i="4"/>
  <c r="H521" i="4" s="1"/>
  <c r="I521" i="4" s="1"/>
  <c r="D520" i="4"/>
  <c r="H520" i="4" s="1"/>
  <c r="I520" i="4" s="1"/>
  <c r="D519" i="4"/>
  <c r="H519" i="4" s="1"/>
  <c r="I519" i="4" s="1"/>
  <c r="D517" i="4"/>
  <c r="H517" i="4" s="1"/>
  <c r="I517" i="4" s="1"/>
  <c r="D516" i="4"/>
  <c r="H516" i="4" s="1"/>
  <c r="I516" i="4" s="1"/>
  <c r="D515" i="4"/>
  <c r="H515" i="4" s="1"/>
  <c r="I515" i="4" s="1"/>
  <c r="D514" i="4"/>
  <c r="H514" i="4" s="1"/>
  <c r="G513" i="4"/>
  <c r="H512" i="4"/>
  <c r="I512" i="4" s="1"/>
  <c r="D511" i="4"/>
  <c r="H511" i="4" s="1"/>
  <c r="I511" i="4" s="1"/>
  <c r="D510" i="4"/>
  <c r="H510" i="4" s="1"/>
  <c r="I510" i="4" s="1"/>
  <c r="D509" i="4"/>
  <c r="H509" i="4" s="1"/>
  <c r="I509" i="4" s="1"/>
  <c r="D508" i="4"/>
  <c r="H508" i="4" s="1"/>
  <c r="I508" i="4" s="1"/>
  <c r="D506" i="4"/>
  <c r="D505" i="4"/>
  <c r="H505" i="4" s="1"/>
  <c r="G504" i="4"/>
  <c r="D503" i="4"/>
  <c r="H503" i="4" s="1"/>
  <c r="I503" i="4" s="1"/>
  <c r="D502" i="4"/>
  <c r="H502" i="4" s="1"/>
  <c r="I502" i="4" s="1"/>
  <c r="D501" i="4"/>
  <c r="H501" i="4" s="1"/>
  <c r="I501" i="4" s="1"/>
  <c r="D499" i="4"/>
  <c r="D500" i="4" s="1"/>
  <c r="H500" i="4" s="1"/>
  <c r="I500" i="4" s="1"/>
  <c r="H498" i="4"/>
  <c r="I498" i="4" s="1"/>
  <c r="H497" i="4"/>
  <c r="I497" i="4" s="1"/>
  <c r="H496" i="4"/>
  <c r="I496" i="4" s="1"/>
  <c r="D495" i="4"/>
  <c r="H495" i="4" s="1"/>
  <c r="I495" i="4" s="1"/>
  <c r="D494" i="4"/>
  <c r="H494" i="4" s="1"/>
  <c r="I494" i="4" s="1"/>
  <c r="D493" i="4"/>
  <c r="H493" i="4" s="1"/>
  <c r="G492" i="4"/>
  <c r="H475" i="4"/>
  <c r="H480" i="4"/>
  <c r="H474" i="4"/>
  <c r="H473" i="4"/>
  <c r="H488" i="4"/>
  <c r="H472" i="4"/>
  <c r="H465" i="4"/>
  <c r="H464" i="4"/>
  <c r="H482" i="4"/>
  <c r="H483" i="4"/>
  <c r="H481" i="4"/>
  <c r="H471" i="4"/>
  <c r="H470" i="4"/>
  <c r="H478" i="4"/>
  <c r="H484" i="4"/>
  <c r="H479" i="4"/>
  <c r="H468" i="4"/>
  <c r="H467" i="4"/>
  <c r="H486" i="4"/>
  <c r="H477" i="4"/>
  <c r="H438" i="4"/>
  <c r="I438" i="4" s="1"/>
  <c r="D437" i="4"/>
  <c r="H437" i="4" s="1"/>
  <c r="I437" i="4" s="1"/>
  <c r="D436" i="4"/>
  <c r="H436" i="4" s="1"/>
  <c r="I436" i="4" s="1"/>
  <c r="D435" i="4"/>
  <c r="H435" i="4" s="1"/>
  <c r="I435" i="4" s="1"/>
  <c r="D434" i="4"/>
  <c r="H434" i="4" s="1"/>
  <c r="I434" i="4" s="1"/>
  <c r="G433" i="4"/>
  <c r="I433" i="4" s="1"/>
  <c r="D432" i="4"/>
  <c r="H432" i="4" s="1"/>
  <c r="I432" i="4" s="1"/>
  <c r="D430" i="4"/>
  <c r="H430" i="4" s="1"/>
  <c r="I430" i="4" s="1"/>
  <c r="D429" i="4"/>
  <c r="H429" i="4" s="1"/>
  <c r="I429" i="4" s="1"/>
  <c r="D428" i="4"/>
  <c r="G428" i="4" s="1"/>
  <c r="I428" i="4" s="1"/>
  <c r="D427" i="4"/>
  <c r="H427" i="4" s="1"/>
  <c r="I427" i="4" s="1"/>
  <c r="D426" i="4"/>
  <c r="H426" i="4" s="1"/>
  <c r="I426" i="4" s="1"/>
  <c r="D425" i="4"/>
  <c r="H425" i="4" s="1"/>
  <c r="I425" i="4" s="1"/>
  <c r="D424" i="4"/>
  <c r="H424" i="4" s="1"/>
  <c r="I424" i="4" s="1"/>
  <c r="D423" i="4"/>
  <c r="H423" i="4" s="1"/>
  <c r="I423" i="4" s="1"/>
  <c r="D422" i="4"/>
  <c r="H422" i="4" s="1"/>
  <c r="I422" i="4" s="1"/>
  <c r="D421" i="4"/>
  <c r="H421" i="4" s="1"/>
  <c r="I421" i="4" s="1"/>
  <c r="D420" i="4"/>
  <c r="H420" i="4" s="1"/>
  <c r="I420" i="4" s="1"/>
  <c r="D419" i="4"/>
  <c r="H419" i="4" s="1"/>
  <c r="I419" i="4" s="1"/>
  <c r="D418" i="4"/>
  <c r="H418" i="4" s="1"/>
  <c r="D416" i="4"/>
  <c r="H416" i="4" s="1"/>
  <c r="I416" i="4" s="1"/>
  <c r="D415" i="4"/>
  <c r="H415" i="4" s="1"/>
  <c r="I415" i="4" s="1"/>
  <c r="D414" i="4"/>
  <c r="H414" i="4" s="1"/>
  <c r="I414" i="4" s="1"/>
  <c r="D413" i="4"/>
  <c r="H413" i="4" s="1"/>
  <c r="I413" i="4" s="1"/>
  <c r="D412" i="4"/>
  <c r="H412" i="4" s="1"/>
  <c r="I412" i="4" s="1"/>
  <c r="D411" i="4"/>
  <c r="H411" i="4" s="1"/>
  <c r="I411" i="4" s="1"/>
  <c r="D410" i="4"/>
  <c r="H410" i="4" s="1"/>
  <c r="I410" i="4" s="1"/>
  <c r="D409" i="4"/>
  <c r="H409" i="4" s="1"/>
  <c r="I409" i="4" s="1"/>
  <c r="D408" i="4"/>
  <c r="H408" i="4" s="1"/>
  <c r="I408" i="4" s="1"/>
  <c r="D407" i="4"/>
  <c r="G407" i="4" s="1"/>
  <c r="I407" i="4" s="1"/>
  <c r="D406" i="4"/>
  <c r="H406" i="4" s="1"/>
  <c r="I406" i="4" s="1"/>
  <c r="D405" i="4"/>
  <c r="H405" i="4" s="1"/>
  <c r="I405" i="4" s="1"/>
  <c r="D404" i="4"/>
  <c r="H404" i="4" s="1"/>
  <c r="I404" i="4" s="1"/>
  <c r="D403" i="4"/>
  <c r="G403" i="4" s="1"/>
  <c r="I403" i="4" s="1"/>
  <c r="D402" i="4"/>
  <c r="H402" i="4" s="1"/>
  <c r="I402" i="4" s="1"/>
  <c r="D401" i="4"/>
  <c r="H401" i="4" s="1"/>
  <c r="I401" i="4" s="1"/>
  <c r="D400" i="4"/>
  <c r="H400" i="4" s="1"/>
  <c r="I400" i="4" s="1"/>
  <c r="D399" i="4"/>
  <c r="H399" i="4" s="1"/>
  <c r="I399" i="4" s="1"/>
  <c r="D398" i="4"/>
  <c r="H398" i="4" s="1"/>
  <c r="I398" i="4" s="1"/>
  <c r="D397" i="4"/>
  <c r="H397" i="4" s="1"/>
  <c r="I397" i="4" s="1"/>
  <c r="D396" i="4"/>
  <c r="H396" i="4" s="1"/>
  <c r="I396" i="4" s="1"/>
  <c r="D395" i="4"/>
  <c r="H395" i="4" s="1"/>
  <c r="I395" i="4" s="1"/>
  <c r="D394" i="4"/>
  <c r="H394" i="4" s="1"/>
  <c r="I394" i="4" s="1"/>
  <c r="D393" i="4"/>
  <c r="H393" i="4" s="1"/>
  <c r="I393" i="4" s="1"/>
  <c r="D392" i="4"/>
  <c r="G392" i="4" s="1"/>
  <c r="I392" i="4" s="1"/>
  <c r="D387" i="4"/>
  <c r="H386" i="4"/>
  <c r="I386" i="4" s="1"/>
  <c r="H385" i="4"/>
  <c r="I385" i="4" s="1"/>
  <c r="H384" i="4"/>
  <c r="I384" i="4" s="1"/>
  <c r="H383" i="4"/>
  <c r="I383" i="4" s="1"/>
  <c r="H382" i="4"/>
  <c r="I382" i="4" s="1"/>
  <c r="H381" i="4"/>
  <c r="I381" i="4" s="1"/>
  <c r="H380" i="4"/>
  <c r="I380" i="4" s="1"/>
  <c r="H379" i="4"/>
  <c r="I379" i="4" s="1"/>
  <c r="H378" i="4"/>
  <c r="I378" i="4" s="1"/>
  <c r="H377" i="4"/>
  <c r="I377" i="4" s="1"/>
  <c r="H376" i="4"/>
  <c r="I376" i="4" s="1"/>
  <c r="H375" i="4"/>
  <c r="I375" i="4" s="1"/>
  <c r="H374" i="4"/>
  <c r="I374" i="4" s="1"/>
  <c r="H373" i="4"/>
  <c r="I373" i="4" s="1"/>
  <c r="H372" i="4"/>
  <c r="I372" i="4" s="1"/>
  <c r="H371" i="4"/>
  <c r="I371" i="4" s="1"/>
  <c r="G370" i="4"/>
  <c r="D364" i="4"/>
  <c r="D359" i="4"/>
  <c r="D363" i="4" s="1"/>
  <c r="H363" i="4" s="1"/>
  <c r="I363" i="4" s="1"/>
  <c r="D356" i="4"/>
  <c r="H356" i="4" s="1"/>
  <c r="I356" i="4" s="1"/>
  <c r="D355" i="4"/>
  <c r="H355" i="4" s="1"/>
  <c r="I355" i="4" s="1"/>
  <c r="D354" i="4"/>
  <c r="H354" i="4" s="1"/>
  <c r="I354" i="4" s="1"/>
  <c r="D352" i="4"/>
  <c r="H352" i="4" s="1"/>
  <c r="I352" i="4" s="1"/>
  <c r="D351" i="4"/>
  <c r="H351" i="4" s="1"/>
  <c r="I351" i="4" s="1"/>
  <c r="D350" i="4"/>
  <c r="D353" i="4" s="1"/>
  <c r="G353" i="4" s="1"/>
  <c r="I353" i="4" s="1"/>
  <c r="H349" i="4"/>
  <c r="I349" i="4" s="1"/>
  <c r="H348" i="4"/>
  <c r="I348" i="4" s="1"/>
  <c r="H347" i="4"/>
  <c r="I347" i="4" s="1"/>
  <c r="H346" i="4"/>
  <c r="I346" i="4" s="1"/>
  <c r="H345" i="4"/>
  <c r="I345" i="4" s="1"/>
  <c r="H344" i="4"/>
  <c r="I344" i="4" s="1"/>
  <c r="H343" i="4"/>
  <c r="I343" i="4" s="1"/>
  <c r="H342" i="4"/>
  <c r="I342" i="4" s="1"/>
  <c r="H341" i="4"/>
  <c r="I341" i="4" s="1"/>
  <c r="H340" i="4"/>
  <c r="I340" i="4" s="1"/>
  <c r="H339" i="4"/>
  <c r="I339" i="4" s="1"/>
  <c r="H338" i="4"/>
  <c r="I338" i="4" s="1"/>
  <c r="H337" i="4"/>
  <c r="I337" i="4" s="1"/>
  <c r="H336" i="4"/>
  <c r="I336" i="4" s="1"/>
  <c r="H335" i="4"/>
  <c r="I335" i="4" s="1"/>
  <c r="H334" i="4"/>
  <c r="I334" i="4" s="1"/>
  <c r="H333" i="4"/>
  <c r="I333" i="4" s="1"/>
  <c r="H332" i="4"/>
  <c r="I332" i="4" s="1"/>
  <c r="H331" i="4"/>
  <c r="I331" i="4" s="1"/>
  <c r="H330" i="4"/>
  <c r="I330" i="4" s="1"/>
  <c r="H329" i="4"/>
  <c r="I329" i="4" s="1"/>
  <c r="H328" i="4"/>
  <c r="I328" i="4" s="1"/>
  <c r="H327" i="4"/>
  <c r="I327" i="4" s="1"/>
  <c r="H326" i="4"/>
  <c r="I326" i="4" s="1"/>
  <c r="H325" i="4"/>
  <c r="I325" i="4" s="1"/>
  <c r="H324" i="4"/>
  <c r="I324" i="4" s="1"/>
  <c r="H323" i="4"/>
  <c r="I323" i="4" s="1"/>
  <c r="H322" i="4"/>
  <c r="I322" i="4" s="1"/>
  <c r="H321" i="4"/>
  <c r="I321" i="4" s="1"/>
  <c r="H320" i="4"/>
  <c r="I320" i="4" s="1"/>
  <c r="H319" i="4"/>
  <c r="I319" i="4" s="1"/>
  <c r="H318" i="4"/>
  <c r="I318" i="4" s="1"/>
  <c r="H317" i="4"/>
  <c r="I317" i="4" s="1"/>
  <c r="H316" i="4"/>
  <c r="I316" i="4" s="1"/>
  <c r="H315" i="4"/>
  <c r="I315" i="4" s="1"/>
  <c r="H314" i="4"/>
  <c r="I314" i="4" s="1"/>
  <c r="D307" i="4"/>
  <c r="H307" i="4" s="1"/>
  <c r="I307" i="4" s="1"/>
  <c r="D306" i="4"/>
  <c r="H306" i="4" s="1"/>
  <c r="I306" i="4" s="1"/>
  <c r="D305" i="4"/>
  <c r="H305" i="4" s="1"/>
  <c r="G304" i="4"/>
  <c r="D303" i="4"/>
  <c r="H303" i="4" s="1"/>
  <c r="D302" i="4"/>
  <c r="H302" i="4" s="1"/>
  <c r="I302" i="4" s="1"/>
  <c r="D301" i="4"/>
  <c r="H301" i="4" s="1"/>
  <c r="I301" i="4" s="1"/>
  <c r="G300" i="4"/>
  <c r="D299" i="4"/>
  <c r="H299" i="4" s="1"/>
  <c r="I299" i="4" s="1"/>
  <c r="D298" i="4"/>
  <c r="H298" i="4" s="1"/>
  <c r="I298" i="4" s="1"/>
  <c r="D297" i="4"/>
  <c r="H297" i="4" s="1"/>
  <c r="I297" i="4" s="1"/>
  <c r="D292" i="4"/>
  <c r="D295" i="4" s="1"/>
  <c r="H295" i="4" s="1"/>
  <c r="I295" i="4" s="1"/>
  <c r="D286" i="4"/>
  <c r="D289" i="4" s="1"/>
  <c r="H289" i="4" s="1"/>
  <c r="I289" i="4" s="1"/>
  <c r="D285" i="4"/>
  <c r="H285" i="4" s="1"/>
  <c r="I285" i="4" s="1"/>
  <c r="D276" i="4"/>
  <c r="D280" i="4" s="1"/>
  <c r="H280" i="4" s="1"/>
  <c r="I280" i="4" s="1"/>
  <c r="D275" i="4"/>
  <c r="H275" i="4" s="1"/>
  <c r="I275" i="4" s="1"/>
  <c r="D266" i="4"/>
  <c r="D268" i="4" s="1"/>
  <c r="H268" i="4" s="1"/>
  <c r="I268" i="4" s="1"/>
  <c r="D259" i="4"/>
  <c r="H259" i="4" s="1"/>
  <c r="I259" i="4" s="1"/>
  <c r="D258" i="4"/>
  <c r="H258" i="4" s="1"/>
  <c r="I258" i="4" s="1"/>
  <c r="D257" i="4"/>
  <c r="H257" i="4" s="1"/>
  <c r="I257" i="4" s="1"/>
  <c r="D256" i="4"/>
  <c r="H256" i="4" s="1"/>
  <c r="I256" i="4" s="1"/>
  <c r="D253" i="4"/>
  <c r="G253" i="4" s="1"/>
  <c r="H252" i="4"/>
  <c r="I252" i="4" s="1"/>
  <c r="H251" i="4"/>
  <c r="I251" i="4" s="1"/>
  <c r="D249" i="4"/>
  <c r="D250" i="4" s="1"/>
  <c r="H250" i="4" s="1"/>
  <c r="I250" i="4" s="1"/>
  <c r="D246" i="4"/>
  <c r="G246" i="4" s="1"/>
  <c r="I246" i="4" s="1"/>
  <c r="D243" i="4"/>
  <c r="H243" i="4" s="1"/>
  <c r="I243" i="4" s="1"/>
  <c r="D242" i="4"/>
  <c r="D236" i="4"/>
  <c r="D238" i="4" s="1"/>
  <c r="H238" i="4" s="1"/>
  <c r="I238" i="4" s="1"/>
  <c r="D232" i="4"/>
  <c r="D234" i="4" s="1"/>
  <c r="H234" i="4" s="1"/>
  <c r="I234" i="4" s="1"/>
  <c r="D231" i="4"/>
  <c r="H231" i="4" s="1"/>
  <c r="I231" i="4" s="1"/>
  <c r="D230" i="4"/>
  <c r="H230" i="4" s="1"/>
  <c r="I230" i="4" s="1"/>
  <c r="D229" i="4"/>
  <c r="H229" i="4" s="1"/>
  <c r="G228" i="4"/>
  <c r="D224" i="4"/>
  <c r="G224" i="4" s="1"/>
  <c r="H223" i="4"/>
  <c r="I223" i="4" s="1"/>
  <c r="H222" i="4"/>
  <c r="I222" i="4" s="1"/>
  <c r="D221" i="4"/>
  <c r="H221" i="4" s="1"/>
  <c r="I221" i="4" s="1"/>
  <c r="D220" i="4"/>
  <c r="H220" i="4" s="1"/>
  <c r="I220" i="4" s="1"/>
  <c r="D219" i="4"/>
  <c r="H219" i="4" s="1"/>
  <c r="D218" i="4"/>
  <c r="G218" i="4" s="1"/>
  <c r="D215" i="4"/>
  <c r="H215" i="4" s="1"/>
  <c r="I215" i="4" s="1"/>
  <c r="D214" i="4"/>
  <c r="H214" i="4" s="1"/>
  <c r="I214" i="4" s="1"/>
  <c r="D213" i="4"/>
  <c r="H213" i="4" s="1"/>
  <c r="I213" i="4" s="1"/>
  <c r="D212" i="4"/>
  <c r="H212" i="4" s="1"/>
  <c r="I212" i="4" s="1"/>
  <c r="D211" i="4"/>
  <c r="G211" i="4" s="1"/>
  <c r="D208" i="4"/>
  <c r="D209" i="4" s="1"/>
  <c r="G209" i="4" s="1"/>
  <c r="D205" i="4"/>
  <c r="D207" i="4" s="1"/>
  <c r="H207" i="4" s="1"/>
  <c r="D204" i="4"/>
  <c r="H204" i="4" s="1"/>
  <c r="I204" i="4" s="1"/>
  <c r="D203" i="4"/>
  <c r="H203" i="4" s="1"/>
  <c r="I203" i="4" s="1"/>
  <c r="D202" i="4"/>
  <c r="H202" i="4" s="1"/>
  <c r="I202" i="4" s="1"/>
  <c r="D201" i="4"/>
  <c r="H201" i="4" s="1"/>
  <c r="I201" i="4" s="1"/>
  <c r="F198" i="4"/>
  <c r="D196" i="4"/>
  <c r="D198" i="4" s="1"/>
  <c r="H195" i="4"/>
  <c r="I195" i="4" s="1"/>
  <c r="D191" i="4"/>
  <c r="D192" i="4" s="1"/>
  <c r="H192" i="4" s="1"/>
  <c r="D187" i="4"/>
  <c r="H187" i="4" s="1"/>
  <c r="D186" i="4"/>
  <c r="H186" i="4" s="1"/>
  <c r="D185" i="4"/>
  <c r="H185" i="4" s="1"/>
  <c r="D184" i="4"/>
  <c r="G184" i="4" s="1"/>
  <c r="D180" i="4"/>
  <c r="H180" i="4" s="1"/>
  <c r="I180" i="4" s="1"/>
  <c r="D179" i="4"/>
  <c r="H179" i="4" s="1"/>
  <c r="I179" i="4" s="1"/>
  <c r="D176" i="4"/>
  <c r="H176" i="4" s="1"/>
  <c r="I176" i="4" s="1"/>
  <c r="D175" i="4"/>
  <c r="H175" i="4" s="1"/>
  <c r="I175" i="4" s="1"/>
  <c r="D174" i="4"/>
  <c r="H174" i="4" s="1"/>
  <c r="I174" i="4" s="1"/>
  <c r="D173" i="4"/>
  <c r="H173" i="4" s="1"/>
  <c r="I173" i="4" s="1"/>
  <c r="D172" i="4"/>
  <c r="H172" i="4" s="1"/>
  <c r="I172" i="4" s="1"/>
  <c r="D171" i="4"/>
  <c r="H171" i="4" s="1"/>
  <c r="I171" i="4" s="1"/>
  <c r="H170" i="4"/>
  <c r="I170" i="4" s="1"/>
  <c r="D183" i="4"/>
  <c r="H183" i="4" s="1"/>
  <c r="I183" i="4" s="1"/>
  <c r="D182" i="4"/>
  <c r="H182" i="4" s="1"/>
  <c r="I182" i="4" s="1"/>
  <c r="G181" i="4"/>
  <c r="I181" i="4" s="1"/>
  <c r="D166" i="4"/>
  <c r="H166" i="4" s="1"/>
  <c r="I166" i="4" s="1"/>
  <c r="D165" i="4"/>
  <c r="H165" i="4" s="1"/>
  <c r="I165" i="4" s="1"/>
  <c r="D164" i="4"/>
  <c r="H164" i="4" s="1"/>
  <c r="I164" i="4" s="1"/>
  <c r="D163" i="4"/>
  <c r="H163" i="4" s="1"/>
  <c r="I163" i="4" s="1"/>
  <c r="D160" i="4"/>
  <c r="G160" i="4" s="1"/>
  <c r="H158" i="4"/>
  <c r="I158" i="4" s="1"/>
  <c r="D157" i="4"/>
  <c r="H157" i="4" s="1"/>
  <c r="I157" i="4" s="1"/>
  <c r="D156" i="4"/>
  <c r="H156" i="4" s="1"/>
  <c r="I156" i="4" s="1"/>
  <c r="D155" i="4"/>
  <c r="H155" i="4" s="1"/>
  <c r="I155" i="4" s="1"/>
  <c r="D154" i="4"/>
  <c r="H154" i="4" s="1"/>
  <c r="I154" i="4" s="1"/>
  <c r="D153" i="4"/>
  <c r="H153" i="4" s="1"/>
  <c r="I153" i="4" s="1"/>
  <c r="D152" i="4"/>
  <c r="H152" i="4" s="1"/>
  <c r="I152" i="4" s="1"/>
  <c r="D151" i="4"/>
  <c r="H151" i="4" s="1"/>
  <c r="I151" i="4" s="1"/>
  <c r="D150" i="4"/>
  <c r="D148" i="4"/>
  <c r="H148" i="4" s="1"/>
  <c r="I148" i="4" s="1"/>
  <c r="D147" i="4"/>
  <c r="H147" i="4" s="1"/>
  <c r="I147" i="4" s="1"/>
  <c r="D146" i="4"/>
  <c r="H146" i="4" s="1"/>
  <c r="I146" i="4" s="1"/>
  <c r="D145" i="4"/>
  <c r="H145" i="4" s="1"/>
  <c r="I145" i="4" s="1"/>
  <c r="D144" i="4"/>
  <c r="H144" i="4" s="1"/>
  <c r="I144" i="4" s="1"/>
  <c r="D143" i="4"/>
  <c r="H143" i="4" s="1"/>
  <c r="I143" i="4" s="1"/>
  <c r="D142" i="4"/>
  <c r="H142" i="4" s="1"/>
  <c r="I142" i="4" s="1"/>
  <c r="D141" i="4"/>
  <c r="H141" i="4" s="1"/>
  <c r="I141" i="4" s="1"/>
  <c r="D140" i="4"/>
  <c r="H140" i="4" s="1"/>
  <c r="I140" i="4" s="1"/>
  <c r="D139" i="4"/>
  <c r="H139" i="4" s="1"/>
  <c r="I139" i="4" s="1"/>
  <c r="D138" i="4"/>
  <c r="H138" i="4" s="1"/>
  <c r="I138" i="4" s="1"/>
  <c r="D136" i="4"/>
  <c r="H136" i="4" s="1"/>
  <c r="I136" i="4" s="1"/>
  <c r="D133" i="4"/>
  <c r="G133" i="4" s="1"/>
  <c r="I133" i="4" s="1"/>
  <c r="D132" i="4"/>
  <c r="H132" i="4" s="1"/>
  <c r="I132" i="4" s="1"/>
  <c r="H131" i="4"/>
  <c r="I131" i="4" s="1"/>
  <c r="D130" i="4"/>
  <c r="H130" i="4" s="1"/>
  <c r="I130" i="4" s="1"/>
  <c r="D129" i="4"/>
  <c r="H129" i="4" s="1"/>
  <c r="I129" i="4" s="1"/>
  <c r="D125" i="4"/>
  <c r="H125" i="4" s="1"/>
  <c r="I125" i="4" s="1"/>
  <c r="D124" i="4"/>
  <c r="D126" i="4" s="1"/>
  <c r="H126" i="4" s="1"/>
  <c r="I126" i="4" s="1"/>
  <c r="D123" i="4"/>
  <c r="G123" i="4" s="1"/>
  <c r="I123" i="4" s="1"/>
  <c r="H122" i="4"/>
  <c r="I122" i="4" s="1"/>
  <c r="H121" i="4"/>
  <c r="I121" i="4" s="1"/>
  <c r="D120" i="4"/>
  <c r="H120" i="4" s="1"/>
  <c r="I120" i="4" s="1"/>
  <c r="D119" i="4"/>
  <c r="H119" i="4" s="1"/>
  <c r="I119" i="4" s="1"/>
  <c r="D118" i="4"/>
  <c r="H118" i="4" s="1"/>
  <c r="I118" i="4" s="1"/>
  <c r="H116" i="4"/>
  <c r="I116" i="4" s="1"/>
  <c r="D115" i="4"/>
  <c r="H115" i="4" s="1"/>
  <c r="I115" i="4" s="1"/>
  <c r="D114" i="4"/>
  <c r="H114" i="4" s="1"/>
  <c r="I114" i="4" s="1"/>
  <c r="D113" i="4"/>
  <c r="H113" i="4" s="1"/>
  <c r="I113" i="4" s="1"/>
  <c r="D112" i="4"/>
  <c r="H112" i="4" s="1"/>
  <c r="I112" i="4" s="1"/>
  <c r="D109" i="4"/>
  <c r="H109" i="4" s="1"/>
  <c r="I109" i="4" s="1"/>
  <c r="D108" i="4"/>
  <c r="D110" i="4" s="1"/>
  <c r="H104" i="4"/>
  <c r="I104" i="4" s="1"/>
  <c r="H103" i="4"/>
  <c r="I103" i="4" s="1"/>
  <c r="G102" i="4"/>
  <c r="D100" i="4"/>
  <c r="H100" i="4" s="1"/>
  <c r="I100" i="4" s="1"/>
  <c r="D98" i="4"/>
  <c r="D101" i="4" s="1"/>
  <c r="H101" i="4" s="1"/>
  <c r="I101" i="4" s="1"/>
  <c r="H97" i="4"/>
  <c r="I97" i="4" s="1"/>
  <c r="H96" i="4"/>
  <c r="I96" i="4" s="1"/>
  <c r="H95" i="4"/>
  <c r="I95" i="4" s="1"/>
  <c r="G94" i="4"/>
  <c r="G92" i="4"/>
  <c r="D91" i="4"/>
  <c r="H91" i="4" s="1"/>
  <c r="I91" i="4" s="1"/>
  <c r="D90" i="4"/>
  <c r="H90" i="4" s="1"/>
  <c r="H89" i="4"/>
  <c r="I89" i="4" s="1"/>
  <c r="G88" i="4"/>
  <c r="D87" i="4"/>
  <c r="H87" i="4" s="1"/>
  <c r="I87" i="4" s="1"/>
  <c r="D86" i="4"/>
  <c r="H86" i="4" s="1"/>
  <c r="I86" i="4" s="1"/>
  <c r="H85" i="4"/>
  <c r="I85" i="4" s="1"/>
  <c r="H84" i="4"/>
  <c r="I84" i="4" s="1"/>
  <c r="D83" i="4"/>
  <c r="D82" i="4"/>
  <c r="D78" i="4"/>
  <c r="H78" i="4" s="1"/>
  <c r="I78" i="4" s="1"/>
  <c r="D76" i="4"/>
  <c r="H76" i="4" s="1"/>
  <c r="I76" i="4" s="1"/>
  <c r="D75" i="4"/>
  <c r="H75" i="4" s="1"/>
  <c r="I75" i="4" s="1"/>
  <c r="D74" i="4"/>
  <c r="H74" i="4" s="1"/>
  <c r="D73" i="4"/>
  <c r="G72" i="4"/>
  <c r="I72" i="4" s="1"/>
  <c r="H71" i="4"/>
  <c r="I71" i="4" s="1"/>
  <c r="H70" i="4"/>
  <c r="I70" i="4" s="1"/>
  <c r="H69" i="4"/>
  <c r="I69" i="4" s="1"/>
  <c r="D68" i="4"/>
  <c r="H68" i="4" s="1"/>
  <c r="I68" i="4" s="1"/>
  <c r="H67" i="4"/>
  <c r="I67" i="4" s="1"/>
  <c r="H65" i="4"/>
  <c r="I65" i="4" s="1"/>
  <c r="D64" i="4"/>
  <c r="D66" i="4" s="1"/>
  <c r="H66" i="4" s="1"/>
  <c r="I66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G55" i="4"/>
  <c r="I55" i="4" s="1"/>
  <c r="G54" i="4"/>
  <c r="I54" i="4" s="1"/>
  <c r="H53" i="4"/>
  <c r="I53" i="4" s="1"/>
  <c r="H52" i="4"/>
  <c r="I52" i="4" s="1"/>
  <c r="H51" i="4"/>
  <c r="I51" i="4" s="1"/>
  <c r="H49" i="4"/>
  <c r="I49" i="4" s="1"/>
  <c r="H48" i="4"/>
  <c r="I48" i="4" s="1"/>
  <c r="D47" i="4"/>
  <c r="H47" i="4" s="1"/>
  <c r="I47" i="4" s="1"/>
  <c r="H46" i="4"/>
  <c r="I46" i="4" s="1"/>
  <c r="D45" i="4"/>
  <c r="H45" i="4" s="1"/>
  <c r="I45" i="4" s="1"/>
  <c r="H44" i="4"/>
  <c r="I44" i="4" s="1"/>
  <c r="H43" i="4"/>
  <c r="I43" i="4" s="1"/>
  <c r="H42" i="4"/>
  <c r="I42" i="4" s="1"/>
  <c r="H41" i="4"/>
  <c r="H40" i="4"/>
  <c r="I40" i="4" s="1"/>
  <c r="H39" i="4"/>
  <c r="I39" i="4" s="1"/>
  <c r="G27" i="4"/>
  <c r="I27" i="4" s="1"/>
  <c r="D26" i="4"/>
  <c r="H26" i="4" s="1"/>
  <c r="I26" i="4" s="1"/>
  <c r="I1708" i="4" l="1"/>
  <c r="I1567" i="4"/>
  <c r="I1541" i="4"/>
  <c r="H1698" i="4"/>
  <c r="H1699" i="4" s="1"/>
  <c r="H1537" i="4"/>
  <c r="H1538" i="4" s="1"/>
  <c r="G1419" i="4"/>
  <c r="G1420" i="4" s="1"/>
  <c r="H1419" i="4"/>
  <c r="H1420" i="4" s="1"/>
  <c r="G1318" i="4"/>
  <c r="G1319" i="4" s="1"/>
  <c r="H1318" i="4"/>
  <c r="H1319" i="4" s="1"/>
  <c r="G1127" i="4"/>
  <c r="G1128" i="4" s="1"/>
  <c r="D846" i="4"/>
  <c r="H846" i="4" s="1"/>
  <c r="I846" i="4" s="1"/>
  <c r="G845" i="4"/>
  <c r="I845" i="4" s="1"/>
  <c r="D840" i="4"/>
  <c r="H840" i="4" s="1"/>
  <c r="I840" i="4" s="1"/>
  <c r="G839" i="4"/>
  <c r="I839" i="4" s="1"/>
  <c r="H489" i="4"/>
  <c r="H490" i="4" s="1"/>
  <c r="G489" i="4"/>
  <c r="G490" i="4" s="1"/>
  <c r="G460" i="4"/>
  <c r="G461" i="4" s="1"/>
  <c r="H389" i="4"/>
  <c r="H390" i="4" s="1"/>
  <c r="I388" i="4"/>
  <c r="D134" i="4"/>
  <c r="H134" i="4" s="1"/>
  <c r="D135" i="4"/>
  <c r="H135" i="4" s="1"/>
  <c r="I135" i="4" s="1"/>
  <c r="G108" i="4"/>
  <c r="I12" i="4"/>
  <c r="I13" i="4" s="1"/>
  <c r="G22" i="4"/>
  <c r="G23" i="4" s="1"/>
  <c r="G12" i="4"/>
  <c r="G13" i="4" s="1"/>
  <c r="I1170" i="4"/>
  <c r="I1189" i="4"/>
  <c r="I665" i="4"/>
  <c r="D695" i="4"/>
  <c r="H695" i="4" s="1"/>
  <c r="I695" i="4" s="1"/>
  <c r="G859" i="4"/>
  <c r="I859" i="4" s="1"/>
  <c r="H667" i="4"/>
  <c r="I667" i="4" s="1"/>
  <c r="I1162" i="4"/>
  <c r="I1464" i="4"/>
  <c r="I1501" i="4"/>
  <c r="I1499" i="4"/>
  <c r="D541" i="4"/>
  <c r="H541" i="4" s="1"/>
  <c r="I541" i="4" s="1"/>
  <c r="I1090" i="4"/>
  <c r="I1035" i="4"/>
  <c r="I757" i="4"/>
  <c r="D631" i="4"/>
  <c r="G631" i="4" s="1"/>
  <c r="G786" i="4"/>
  <c r="I1448" i="4"/>
  <c r="I1490" i="4"/>
  <c r="I1472" i="4"/>
  <c r="I1496" i="4"/>
  <c r="I641" i="4"/>
  <c r="I943" i="4"/>
  <c r="I1003" i="4"/>
  <c r="I1027" i="4"/>
  <c r="I1167" i="4"/>
  <c r="I479" i="4"/>
  <c r="I584" i="4"/>
  <c r="D837" i="4"/>
  <c r="H837" i="4" s="1"/>
  <c r="I837" i="4" s="1"/>
  <c r="I1510" i="4"/>
  <c r="I955" i="4"/>
  <c r="I1104" i="4"/>
  <c r="I1121" i="4"/>
  <c r="I1289" i="4"/>
  <c r="I1314" i="4"/>
  <c r="I1492" i="4"/>
  <c r="I1502" i="4"/>
  <c r="I1497" i="4"/>
  <c r="I1511" i="4"/>
  <c r="I648" i="4"/>
  <c r="I938" i="4"/>
  <c r="I1032" i="4"/>
  <c r="I1092" i="4"/>
  <c r="I1107" i="4"/>
  <c r="I1159" i="4"/>
  <c r="I1019" i="4"/>
  <c r="G196" i="4"/>
  <c r="I488" i="4"/>
  <c r="I1030" i="4"/>
  <c r="I1296" i="4"/>
  <c r="I1302" i="4"/>
  <c r="H848" i="4"/>
  <c r="I848" i="4" s="1"/>
  <c r="H652" i="4"/>
  <c r="I652" i="4" s="1"/>
  <c r="H682" i="4"/>
  <c r="I682" i="4" s="1"/>
  <c r="I1056" i="4"/>
  <c r="I1283" i="4"/>
  <c r="I1315" i="4"/>
  <c r="I486" i="4"/>
  <c r="I1426" i="4"/>
  <c r="H1715" i="4"/>
  <c r="I1715" i="4" s="1"/>
  <c r="I1509" i="4"/>
  <c r="I646" i="4"/>
  <c r="I984" i="4"/>
  <c r="I1039" i="4"/>
  <c r="I1094" i="4"/>
  <c r="H64" i="4"/>
  <c r="I64" i="4" s="1"/>
  <c r="I1411" i="4"/>
  <c r="D518" i="4"/>
  <c r="H518" i="4" s="1"/>
  <c r="I518" i="4" s="1"/>
  <c r="H548" i="4"/>
  <c r="I548" i="4" s="1"/>
  <c r="I1387" i="4"/>
  <c r="I1454" i="4"/>
  <c r="I1494" i="4"/>
  <c r="I591" i="4"/>
  <c r="I1495" i="4"/>
  <c r="I1471" i="4"/>
  <c r="I1503" i="4"/>
  <c r="I1505" i="4"/>
  <c r="D844" i="4"/>
  <c r="H844" i="4" s="1"/>
  <c r="I844" i="4" s="1"/>
  <c r="I1033" i="4"/>
  <c r="I1108" i="4"/>
  <c r="I1297" i="4"/>
  <c r="I102" i="4"/>
  <c r="I474" i="4"/>
  <c r="I1057" i="4"/>
  <c r="I1086" i="4"/>
  <c r="I1101" i="4"/>
  <c r="D193" i="4"/>
  <c r="H193" i="4" s="1"/>
  <c r="I193" i="4" s="1"/>
  <c r="D225" i="4"/>
  <c r="H225" i="4" s="1"/>
  <c r="I225" i="4" s="1"/>
  <c r="I592" i="4"/>
  <c r="I699" i="4"/>
  <c r="I999" i="4"/>
  <c r="I1058" i="4"/>
  <c r="I1110" i="4"/>
  <c r="I1404" i="4"/>
  <c r="I1413" i="4"/>
  <c r="D161" i="4"/>
  <c r="H161" i="4" s="1"/>
  <c r="I467" i="4"/>
  <c r="I569" i="4"/>
  <c r="H650" i="4"/>
  <c r="I650" i="4" s="1"/>
  <c r="I753" i="4"/>
  <c r="I897" i="4"/>
  <c r="I1006" i="4"/>
  <c r="I1012" i="4"/>
  <c r="I1208" i="4"/>
  <c r="I1277" i="4"/>
  <c r="I1396" i="4"/>
  <c r="D639" i="4"/>
  <c r="H639" i="4" s="1"/>
  <c r="I639" i="4" s="1"/>
  <c r="H644" i="4"/>
  <c r="I644" i="4" s="1"/>
  <c r="H731" i="4"/>
  <c r="I731" i="4" s="1"/>
  <c r="I1007" i="4"/>
  <c r="I1025" i="4"/>
  <c r="I1036" i="4"/>
  <c r="I1042" i="4"/>
  <c r="I1054" i="4"/>
  <c r="I1098" i="4"/>
  <c r="I1131" i="4"/>
  <c r="H1716" i="4"/>
  <c r="I1716" i="4" s="1"/>
  <c r="H681" i="4"/>
  <c r="I1122" i="4"/>
  <c r="I982" i="4"/>
  <c r="I1049" i="4"/>
  <c r="I1185" i="4"/>
  <c r="I1219" i="4"/>
  <c r="I975" i="4"/>
  <c r="I1044" i="4"/>
  <c r="I1171" i="4"/>
  <c r="I1456" i="4"/>
  <c r="H1718" i="4"/>
  <c r="I1718" i="4" s="1"/>
  <c r="G73" i="4"/>
  <c r="D162" i="4"/>
  <c r="H162" i="4" s="1"/>
  <c r="I162" i="4" s="1"/>
  <c r="G191" i="4"/>
  <c r="I484" i="4"/>
  <c r="G771" i="4"/>
  <c r="G835" i="4"/>
  <c r="D870" i="4"/>
  <c r="H870" i="4" s="1"/>
  <c r="I870" i="4" s="1"/>
  <c r="I932" i="4"/>
  <c r="I1047" i="4"/>
  <c r="I1100" i="4"/>
  <c r="I1213" i="4"/>
  <c r="I1462" i="4"/>
  <c r="I1008" i="4"/>
  <c r="I1059" i="4"/>
  <c r="H1713" i="4"/>
  <c r="I1713" i="4" s="1"/>
  <c r="H198" i="4"/>
  <c r="D255" i="4"/>
  <c r="D261" i="4" s="1"/>
  <c r="H261" i="4" s="1"/>
  <c r="I261" i="4" s="1"/>
  <c r="D284" i="4"/>
  <c r="H284" i="4" s="1"/>
  <c r="I284" i="4" s="1"/>
  <c r="I477" i="4"/>
  <c r="I464" i="4"/>
  <c r="I524" i="4"/>
  <c r="I623" i="4"/>
  <c r="I670" i="4"/>
  <c r="I996" i="4"/>
  <c r="I1009" i="4"/>
  <c r="I1020" i="4"/>
  <c r="I1060" i="4"/>
  <c r="I1102" i="4"/>
  <c r="I1247" i="4"/>
  <c r="I1285" i="4"/>
  <c r="I1298" i="4"/>
  <c r="D77" i="4"/>
  <c r="H77" i="4" s="1"/>
  <c r="I77" i="4" s="1"/>
  <c r="I1430" i="4"/>
  <c r="H17" i="4"/>
  <c r="H22" i="4" s="1"/>
  <c r="D197" i="4"/>
  <c r="G197" i="4" s="1"/>
  <c r="D226" i="4"/>
  <c r="H226" i="4" s="1"/>
  <c r="I226" i="4" s="1"/>
  <c r="I597" i="4"/>
  <c r="G783" i="4"/>
  <c r="I1004" i="4"/>
  <c r="I1043" i="4"/>
  <c r="I1055" i="4"/>
  <c r="I1165" i="4"/>
  <c r="I1220" i="4"/>
  <c r="I1248" i="4"/>
  <c r="I1293" i="4"/>
  <c r="I1299" i="4"/>
  <c r="I1432" i="4"/>
  <c r="I1444" i="4"/>
  <c r="I1504" i="4"/>
  <c r="D784" i="4"/>
  <c r="H784" i="4" s="1"/>
  <c r="I784" i="4" s="1"/>
  <c r="D864" i="4"/>
  <c r="H864" i="4" s="1"/>
  <c r="I864" i="4" s="1"/>
  <c r="D199" i="4"/>
  <c r="H199" i="4" s="1"/>
  <c r="I199" i="4" s="1"/>
  <c r="D227" i="4"/>
  <c r="H227" i="4" s="1"/>
  <c r="I227" i="4" s="1"/>
  <c r="D294" i="4"/>
  <c r="H294" i="4" s="1"/>
  <c r="I294" i="4" s="1"/>
  <c r="H614" i="4"/>
  <c r="I614" i="4" s="1"/>
  <c r="H627" i="4"/>
  <c r="I627" i="4" s="1"/>
  <c r="I730" i="4"/>
  <c r="D826" i="4"/>
  <c r="H890" i="4"/>
  <c r="I890" i="4" s="1"/>
  <c r="I1050" i="4"/>
  <c r="I1125" i="4"/>
  <c r="I1269" i="4"/>
  <c r="I1300" i="4"/>
  <c r="I1351" i="4"/>
  <c r="I1422" i="4"/>
  <c r="I1434" i="4"/>
  <c r="I481" i="4"/>
  <c r="H882" i="4"/>
  <c r="I881" i="4" s="1"/>
  <c r="I1017" i="4"/>
  <c r="I1240" i="4"/>
  <c r="I1309" i="4"/>
  <c r="I1458" i="4"/>
  <c r="I1468" i="4"/>
  <c r="I1488" i="4"/>
  <c r="I1506" i="4"/>
  <c r="I1112" i="4"/>
  <c r="I1702" i="4"/>
  <c r="G249" i="4"/>
  <c r="D538" i="4"/>
  <c r="H538" i="4" s="1"/>
  <c r="I538" i="4" s="1"/>
  <c r="I583" i="4"/>
  <c r="H643" i="4"/>
  <c r="I643" i="4" s="1"/>
  <c r="I668" i="4"/>
  <c r="D787" i="4"/>
  <c r="H787" i="4" s="1"/>
  <c r="I787" i="4" s="1"/>
  <c r="G802" i="4"/>
  <c r="I1000" i="4"/>
  <c r="I1023" i="4"/>
  <c r="I1040" i="4"/>
  <c r="I1113" i="4"/>
  <c r="I1160" i="4"/>
  <c r="I1301" i="4"/>
  <c r="I1352" i="4"/>
  <c r="D539" i="4"/>
  <c r="H539" i="4" s="1"/>
  <c r="I539" i="4" s="1"/>
  <c r="D805" i="4"/>
  <c r="H805" i="4" s="1"/>
  <c r="I805" i="4" s="1"/>
  <c r="D869" i="4"/>
  <c r="H869" i="4" s="1"/>
  <c r="I869" i="4" s="1"/>
  <c r="I1151" i="4"/>
  <c r="I1438" i="4"/>
  <c r="I1450" i="4"/>
  <c r="H813" i="4"/>
  <c r="G387" i="4"/>
  <c r="G389" i="4" s="1"/>
  <c r="G390" i="4" s="1"/>
  <c r="H588" i="4"/>
  <c r="D801" i="4"/>
  <c r="H801" i="4" s="1"/>
  <c r="I801" i="4" s="1"/>
  <c r="G796" i="4"/>
  <c r="G819" i="4"/>
  <c r="D821" i="4"/>
  <c r="H821" i="4" s="1"/>
  <c r="I1275" i="4"/>
  <c r="D640" i="4"/>
  <c r="G640" i="4" s="1"/>
  <c r="I640" i="4" s="1"/>
  <c r="H653" i="4"/>
  <c r="I653" i="4" s="1"/>
  <c r="H715" i="4"/>
  <c r="H760" i="4"/>
  <c r="I760" i="4" s="1"/>
  <c r="D761" i="4"/>
  <c r="H761" i="4" s="1"/>
  <c r="I761" i="4" s="1"/>
  <c r="I1375" i="4"/>
  <c r="I1373" i="4"/>
  <c r="H615" i="4"/>
  <c r="H673" i="4"/>
  <c r="H506" i="4"/>
  <c r="I506" i="4" s="1"/>
  <c r="D507" i="4"/>
  <c r="H507" i="4" s="1"/>
  <c r="I507" i="4" s="1"/>
  <c r="H662" i="4"/>
  <c r="H209" i="4"/>
  <c r="I209" i="4" s="1"/>
  <c r="I92" i="4"/>
  <c r="D235" i="4"/>
  <c r="H235" i="4" s="1"/>
  <c r="I235" i="4" s="1"/>
  <c r="D271" i="4"/>
  <c r="H271" i="4" s="1"/>
  <c r="I271" i="4" s="1"/>
  <c r="D283" i="4"/>
  <c r="H283" i="4" s="1"/>
  <c r="I283" i="4" s="1"/>
  <c r="G350" i="4"/>
  <c r="I350" i="4" s="1"/>
  <c r="I483" i="4"/>
  <c r="I601" i="4"/>
  <c r="D679" i="4"/>
  <c r="H679" i="4" s="1"/>
  <c r="I679" i="4" s="1"/>
  <c r="D747" i="4"/>
  <c r="H747" i="4" s="1"/>
  <c r="I747" i="4" s="1"/>
  <c r="D818" i="4"/>
  <c r="I1052" i="4"/>
  <c r="I1088" i="4"/>
  <c r="I1178" i="4"/>
  <c r="I1203" i="4"/>
  <c r="I1424" i="4"/>
  <c r="I1466" i="4"/>
  <c r="I1507" i="4"/>
  <c r="I1148" i="4"/>
  <c r="I187" i="4"/>
  <c r="G205" i="4"/>
  <c r="D210" i="4"/>
  <c r="H210" i="4" s="1"/>
  <c r="G236" i="4"/>
  <c r="D272" i="4"/>
  <c r="H272" i="4" s="1"/>
  <c r="I272" i="4" s="1"/>
  <c r="I482" i="4"/>
  <c r="I473" i="4"/>
  <c r="D542" i="4"/>
  <c r="H542" i="4" s="1"/>
  <c r="I542" i="4" s="1"/>
  <c r="G581" i="4"/>
  <c r="H605" i="4"/>
  <c r="I605" i="4" s="1"/>
  <c r="I649" i="4"/>
  <c r="D774" i="4"/>
  <c r="H774" i="4" s="1"/>
  <c r="I774" i="4" s="1"/>
  <c r="I889" i="4"/>
  <c r="I1031" i="4"/>
  <c r="I1181" i="4"/>
  <c r="I1392" i="4"/>
  <c r="I1416" i="4"/>
  <c r="I1508" i="4"/>
  <c r="G1531" i="4"/>
  <c r="G1537" i="4" s="1"/>
  <c r="D206" i="4"/>
  <c r="D239" i="4"/>
  <c r="H239" i="4" s="1"/>
  <c r="I239" i="4" s="1"/>
  <c r="D274" i="4"/>
  <c r="H274" i="4" s="1"/>
  <c r="I274" i="4" s="1"/>
  <c r="I478" i="4"/>
  <c r="H616" i="4"/>
  <c r="I616" i="4" s="1"/>
  <c r="H645" i="4"/>
  <c r="I645" i="4" s="1"/>
  <c r="H698" i="4"/>
  <c r="I698" i="4" s="1"/>
  <c r="I1010" i="4"/>
  <c r="I1015" i="4"/>
  <c r="I1026" i="4"/>
  <c r="I1048" i="4"/>
  <c r="I1073" i="4"/>
  <c r="I1096" i="4"/>
  <c r="H159" i="4"/>
  <c r="I159" i="4" s="1"/>
  <c r="D543" i="4"/>
  <c r="H543" i="4" s="1"/>
  <c r="I543" i="4" s="1"/>
  <c r="I669" i="4"/>
  <c r="I916" i="4"/>
  <c r="I1338" i="4"/>
  <c r="I1440" i="4"/>
  <c r="I1460" i="4"/>
  <c r="I1120" i="4"/>
  <c r="G232" i="4"/>
  <c r="D360" i="4"/>
  <c r="H360" i="4" s="1"/>
  <c r="I360" i="4" s="1"/>
  <c r="I470" i="4"/>
  <c r="I465" i="4"/>
  <c r="I480" i="4"/>
  <c r="G570" i="4"/>
  <c r="I675" i="4"/>
  <c r="I985" i="4"/>
  <c r="I1011" i="4"/>
  <c r="I1278" i="4"/>
  <c r="I1287" i="4"/>
  <c r="I1321" i="4"/>
  <c r="D194" i="4"/>
  <c r="H194" i="4" s="1"/>
  <c r="I194" i="4" s="1"/>
  <c r="D233" i="4"/>
  <c r="H233" i="4" s="1"/>
  <c r="I233" i="4" s="1"/>
  <c r="G266" i="4"/>
  <c r="G276" i="4"/>
  <c r="D571" i="4"/>
  <c r="I609" i="4"/>
  <c r="D658" i="4"/>
  <c r="G658" i="4" s="1"/>
  <c r="I658" i="4" s="1"/>
  <c r="D778" i="4"/>
  <c r="G811" i="4"/>
  <c r="D886" i="4"/>
  <c r="G886" i="4" s="1"/>
  <c r="I886" i="4" s="1"/>
  <c r="I921" i="4"/>
  <c r="I1001" i="4"/>
  <c r="I1022" i="4"/>
  <c r="I1028" i="4"/>
  <c r="I1225" i="4"/>
  <c r="H82" i="4"/>
  <c r="I82" i="4" s="1"/>
  <c r="D267" i="4"/>
  <c r="H267" i="4" s="1"/>
  <c r="D278" i="4"/>
  <c r="H278" i="4" s="1"/>
  <c r="I278" i="4" s="1"/>
  <c r="I471" i="4"/>
  <c r="I475" i="4"/>
  <c r="H598" i="4"/>
  <c r="I598" i="4" s="1"/>
  <c r="I647" i="4"/>
  <c r="I676" i="4"/>
  <c r="D712" i="4"/>
  <c r="G712" i="4" s="1"/>
  <c r="I712" i="4" s="1"/>
  <c r="H758" i="4"/>
  <c r="I758" i="4" s="1"/>
  <c r="D791" i="4"/>
  <c r="H791" i="4" s="1"/>
  <c r="I791" i="4" s="1"/>
  <c r="I980" i="4"/>
  <c r="I1018" i="4"/>
  <c r="I1034" i="4"/>
  <c r="I1045" i="4"/>
  <c r="I1195" i="4"/>
  <c r="I1246" i="4"/>
  <c r="I1323" i="4"/>
  <c r="I1405" i="4"/>
  <c r="H1717" i="4"/>
  <c r="I1717" i="4" s="1"/>
  <c r="G208" i="4"/>
  <c r="G537" i="4"/>
  <c r="I677" i="4"/>
  <c r="I732" i="4"/>
  <c r="I867" i="4"/>
  <c r="I887" i="4"/>
  <c r="I1281" i="4"/>
  <c r="I1174" i="4"/>
  <c r="H83" i="4"/>
  <c r="I83" i="4" s="1"/>
  <c r="D281" i="4"/>
  <c r="H281" i="4" s="1"/>
  <c r="I281" i="4" s="1"/>
  <c r="I468" i="4"/>
  <c r="I472" i="4"/>
  <c r="I672" i="4"/>
  <c r="D750" i="4"/>
  <c r="H750" i="4" s="1"/>
  <c r="I750" i="4" s="1"/>
  <c r="D792" i="4"/>
  <c r="H792" i="4" s="1"/>
  <c r="I792" i="4" s="1"/>
  <c r="I1002" i="4"/>
  <c r="I1046" i="4"/>
  <c r="I1051" i="4"/>
  <c r="I1079" i="4"/>
  <c r="I1446" i="4"/>
  <c r="I184" i="4"/>
  <c r="H110" i="4"/>
  <c r="D111" i="4"/>
  <c r="H111" i="4" s="1"/>
  <c r="I111" i="4" s="1"/>
  <c r="I192" i="4"/>
  <c r="I229" i="4"/>
  <c r="I228" i="4"/>
  <c r="I303" i="4"/>
  <c r="I74" i="4"/>
  <c r="I305" i="4"/>
  <c r="I304" i="4"/>
  <c r="I88" i="4"/>
  <c r="I90" i="4"/>
  <c r="H150" i="4"/>
  <c r="I186" i="4"/>
  <c r="I207" i="4"/>
  <c r="D277" i="4"/>
  <c r="H277" i="4" s="1"/>
  <c r="D282" i="4"/>
  <c r="H282" i="4" s="1"/>
  <c r="I282" i="4" s="1"/>
  <c r="D366" i="4"/>
  <c r="H366" i="4" s="1"/>
  <c r="I366" i="4" s="1"/>
  <c r="D365" i="4"/>
  <c r="H365" i="4" s="1"/>
  <c r="I365" i="4" s="1"/>
  <c r="D128" i="4"/>
  <c r="G128" i="4" s="1"/>
  <c r="I128" i="4" s="1"/>
  <c r="D237" i="4"/>
  <c r="H237" i="4" s="1"/>
  <c r="D291" i="4"/>
  <c r="H291" i="4" s="1"/>
  <c r="I291" i="4" s="1"/>
  <c r="G364" i="4"/>
  <c r="I364" i="4" s="1"/>
  <c r="I493" i="4"/>
  <c r="I505" i="4"/>
  <c r="I36" i="4"/>
  <c r="G359" i="4"/>
  <c r="I359" i="4" s="1"/>
  <c r="D362" i="4"/>
  <c r="H362" i="4" s="1"/>
  <c r="I362" i="4" s="1"/>
  <c r="D361" i="4"/>
  <c r="H361" i="4" s="1"/>
  <c r="I361" i="4" s="1"/>
  <c r="I850" i="4"/>
  <c r="H169" i="4"/>
  <c r="I169" i="4" s="1"/>
  <c r="I219" i="4"/>
  <c r="I218" i="4"/>
  <c r="D287" i="4"/>
  <c r="H287" i="4" s="1"/>
  <c r="D296" i="4"/>
  <c r="H296" i="4" s="1"/>
  <c r="I296" i="4" s="1"/>
  <c r="I559" i="4"/>
  <c r="I773" i="4"/>
  <c r="I41" i="4"/>
  <c r="D247" i="4"/>
  <c r="H247" i="4" s="1"/>
  <c r="I247" i="4" s="1"/>
  <c r="I418" i="4"/>
  <c r="I532" i="4"/>
  <c r="I528" i="4"/>
  <c r="G98" i="4"/>
  <c r="H124" i="4"/>
  <c r="I124" i="4" s="1"/>
  <c r="H242" i="4"/>
  <c r="D241" i="4"/>
  <c r="G241" i="4" s="1"/>
  <c r="I241" i="4" s="1"/>
  <c r="D273" i="4"/>
  <c r="H273" i="4" s="1"/>
  <c r="I273" i="4" s="1"/>
  <c r="D269" i="4"/>
  <c r="H269" i="4" s="1"/>
  <c r="I269" i="4" s="1"/>
  <c r="D270" i="4"/>
  <c r="H270" i="4" s="1"/>
  <c r="I270" i="4" s="1"/>
  <c r="D279" i="4"/>
  <c r="H279" i="4" s="1"/>
  <c r="I279" i="4" s="1"/>
  <c r="D288" i="4"/>
  <c r="H288" i="4" s="1"/>
  <c r="I288" i="4" s="1"/>
  <c r="G292" i="4"/>
  <c r="I823" i="4"/>
  <c r="H99" i="4"/>
  <c r="G198" i="4"/>
  <c r="D216" i="4"/>
  <c r="H216" i="4" s="1"/>
  <c r="I216" i="4" s="1"/>
  <c r="D248" i="4"/>
  <c r="H248" i="4" s="1"/>
  <c r="I248" i="4" s="1"/>
  <c r="D293" i="4"/>
  <c r="H293" i="4" s="1"/>
  <c r="H572" i="4"/>
  <c r="I873" i="4"/>
  <c r="I874" i="4"/>
  <c r="D217" i="4"/>
  <c r="H217" i="4" s="1"/>
  <c r="I217" i="4" s="1"/>
  <c r="D240" i="4"/>
  <c r="H240" i="4" s="1"/>
  <c r="I240" i="4" s="1"/>
  <c r="D431" i="4"/>
  <c r="H431" i="4" s="1"/>
  <c r="I431" i="4" s="1"/>
  <c r="I856" i="4"/>
  <c r="D50" i="4"/>
  <c r="H50" i="4" s="1"/>
  <c r="I50" i="4" s="1"/>
  <c r="I94" i="4"/>
  <c r="I185" i="4"/>
  <c r="D290" i="4"/>
  <c r="H290" i="4" s="1"/>
  <c r="I290" i="4" s="1"/>
  <c r="D127" i="4"/>
  <c r="H127" i="4" s="1"/>
  <c r="I127" i="4" s="1"/>
  <c r="I549" i="4"/>
  <c r="I836" i="4"/>
  <c r="H168" i="4"/>
  <c r="D200" i="4"/>
  <c r="G200" i="4" s="1"/>
  <c r="D254" i="4"/>
  <c r="G286" i="4"/>
  <c r="I514" i="4"/>
  <c r="H596" i="4"/>
  <c r="I596" i="4" s="1"/>
  <c r="I574" i="4"/>
  <c r="H586" i="4"/>
  <c r="I590" i="4"/>
  <c r="I600" i="4"/>
  <c r="H608" i="4"/>
  <c r="I608" i="4" s="1"/>
  <c r="I620" i="4"/>
  <c r="D625" i="4"/>
  <c r="I651" i="4"/>
  <c r="H660" i="4"/>
  <c r="I660" i="4" s="1"/>
  <c r="I664" i="4"/>
  <c r="H671" i="4"/>
  <c r="I671" i="4" s="1"/>
  <c r="H714" i="4"/>
  <c r="I714" i="4" s="1"/>
  <c r="H735" i="4"/>
  <c r="I735" i="4" s="1"/>
  <c r="D751" i="4"/>
  <c r="H751" i="4" s="1"/>
  <c r="I751" i="4" s="1"/>
  <c r="D782" i="4"/>
  <c r="D779" i="4"/>
  <c r="G776" i="4"/>
  <c r="D781" i="4"/>
  <c r="D777" i="4"/>
  <c r="D810" i="4"/>
  <c r="H810" i="4" s="1"/>
  <c r="I810" i="4" s="1"/>
  <c r="D820" i="4"/>
  <c r="G825" i="4"/>
  <c r="D828" i="4"/>
  <c r="D834" i="4"/>
  <c r="H847" i="4"/>
  <c r="I847" i="4" s="1"/>
  <c r="D857" i="4"/>
  <c r="H857" i="4" s="1"/>
  <c r="I857" i="4" s="1"/>
  <c r="D872" i="4"/>
  <c r="H872" i="4" s="1"/>
  <c r="I1013" i="4"/>
  <c r="I1075" i="4"/>
  <c r="I1118" i="4"/>
  <c r="D613" i="4"/>
  <c r="G613" i="4" s="1"/>
  <c r="I613" i="4" s="1"/>
  <c r="D656" i="4"/>
  <c r="H656" i="4" s="1"/>
  <c r="I656" i="4" s="1"/>
  <c r="D711" i="4"/>
  <c r="H711" i="4" s="1"/>
  <c r="I711" i="4" s="1"/>
  <c r="H697" i="4"/>
  <c r="D696" i="4"/>
  <c r="G696" i="4" s="1"/>
  <c r="I696" i="4" s="1"/>
  <c r="D710" i="4"/>
  <c r="H710" i="4" s="1"/>
  <c r="I710" i="4" s="1"/>
  <c r="D752" i="4"/>
  <c r="H752" i="4" s="1"/>
  <c r="I752" i="4" s="1"/>
  <c r="D830" i="4"/>
  <c r="H830" i="4" s="1"/>
  <c r="I852" i="4"/>
  <c r="G880" i="4"/>
  <c r="I880" i="4" s="1"/>
  <c r="I553" i="4"/>
  <c r="D657" i="4"/>
  <c r="H657" i="4" s="1"/>
  <c r="I657" i="4" s="1"/>
  <c r="D816" i="4"/>
  <c r="D815" i="4"/>
  <c r="D812" i="4"/>
  <c r="I973" i="4"/>
  <c r="I968" i="4"/>
  <c r="I978" i="4"/>
  <c r="I1024" i="4"/>
  <c r="I525" i="4"/>
  <c r="I575" i="4"/>
  <c r="I587" i="4"/>
  <c r="D727" i="4"/>
  <c r="G727" i="4" s="1"/>
  <c r="I727" i="4" s="1"/>
  <c r="H617" i="4"/>
  <c r="I617" i="4" s="1"/>
  <c r="H632" i="4"/>
  <c r="H661" i="4"/>
  <c r="H728" i="4"/>
  <c r="D950" i="4"/>
  <c r="H950" i="4" s="1"/>
  <c r="I950" i="4" s="1"/>
  <c r="I1072" i="4"/>
  <c r="D817" i="4"/>
  <c r="H499" i="4"/>
  <c r="I499" i="4" s="1"/>
  <c r="H576" i="4"/>
  <c r="D585" i="4"/>
  <c r="G585" i="4" s="1"/>
  <c r="I606" i="4"/>
  <c r="H610" i="4"/>
  <c r="I610" i="4" s="1"/>
  <c r="H618" i="4"/>
  <c r="I633" i="4"/>
  <c r="D638" i="4"/>
  <c r="H638" i="4" s="1"/>
  <c r="I638" i="4" s="1"/>
  <c r="I642" i="4"/>
  <c r="I666" i="4"/>
  <c r="I733" i="4"/>
  <c r="D770" i="4"/>
  <c r="H770" i="4" s="1"/>
  <c r="I770" i="4" s="1"/>
  <c r="G768" i="4"/>
  <c r="D795" i="4"/>
  <c r="G793" i="4"/>
  <c r="D824" i="4"/>
  <c r="H824" i="4" s="1"/>
  <c r="I824" i="4" s="1"/>
  <c r="G822" i="4"/>
  <c r="H827" i="4"/>
  <c r="I827" i="4" s="1"/>
  <c r="G849" i="4"/>
  <c r="D851" i="4"/>
  <c r="H851" i="4" s="1"/>
  <c r="I851" i="4" s="1"/>
  <c r="I911" i="4"/>
  <c r="D951" i="4"/>
  <c r="H951" i="4" s="1"/>
  <c r="I951" i="4" s="1"/>
  <c r="I1016" i="4"/>
  <c r="D522" i="4"/>
  <c r="H522" i="4" s="1"/>
  <c r="I522" i="4" s="1"/>
  <c r="D544" i="4"/>
  <c r="H544" i="4" s="1"/>
  <c r="I544" i="4" s="1"/>
  <c r="D540" i="4"/>
  <c r="H540" i="4" s="1"/>
  <c r="I540" i="4" s="1"/>
  <c r="D546" i="4"/>
  <c r="H546" i="4" s="1"/>
  <c r="I546" i="4" s="1"/>
  <c r="D573" i="4"/>
  <c r="I674" i="4"/>
  <c r="I729" i="4"/>
  <c r="G832" i="4"/>
  <c r="D725" i="4"/>
  <c r="H725" i="4" s="1"/>
  <c r="I725" i="4" s="1"/>
  <c r="D748" i="4"/>
  <c r="H748" i="4" s="1"/>
  <c r="I748" i="4" s="1"/>
  <c r="D769" i="4"/>
  <c r="H769" i="4" s="1"/>
  <c r="D794" i="4"/>
  <c r="H577" i="4"/>
  <c r="I577" i="4" s="1"/>
  <c r="H589" i="4"/>
  <c r="I589" i="4" s="1"/>
  <c r="H599" i="4"/>
  <c r="I599" i="4" s="1"/>
  <c r="H607" i="4"/>
  <c r="H619" i="4"/>
  <c r="I619" i="4" s="1"/>
  <c r="H634" i="4"/>
  <c r="I634" i="4" s="1"/>
  <c r="D678" i="4"/>
  <c r="H678" i="4" s="1"/>
  <c r="I678" i="4" s="1"/>
  <c r="H663" i="4"/>
  <c r="H713" i="4"/>
  <c r="H734" i="4"/>
  <c r="D789" i="4"/>
  <c r="H789" i="4" s="1"/>
  <c r="I789" i="4" s="1"/>
  <c r="I833" i="4"/>
  <c r="D842" i="4"/>
  <c r="H842" i="4" s="1"/>
  <c r="I842" i="4" s="1"/>
  <c r="G855" i="4"/>
  <c r="H860" i="4"/>
  <c r="I858" i="4" s="1"/>
  <c r="I883" i="4"/>
  <c r="I888" i="4"/>
  <c r="I962" i="4"/>
  <c r="I961" i="4"/>
  <c r="H582" i="4"/>
  <c r="I624" i="4"/>
  <c r="D726" i="4"/>
  <c r="H726" i="4" s="1"/>
  <c r="I726" i="4" s="1"/>
  <c r="H756" i="4"/>
  <c r="I780" i="4"/>
  <c r="D800" i="4"/>
  <c r="H800" i="4" s="1"/>
  <c r="H814" i="4"/>
  <c r="I814" i="4" s="1"/>
  <c r="G829" i="4"/>
  <c r="G879" i="4"/>
  <c r="I1080" i="4"/>
  <c r="D694" i="4"/>
  <c r="H694" i="4" s="1"/>
  <c r="I694" i="4" s="1"/>
  <c r="D680" i="4"/>
  <c r="G680" i="4" s="1"/>
  <c r="I680" i="4" s="1"/>
  <c r="D861" i="4"/>
  <c r="H863" i="4"/>
  <c r="I863" i="4" s="1"/>
  <c r="I885" i="4"/>
  <c r="I927" i="4"/>
  <c r="I1005" i="4"/>
  <c r="I1119" i="4"/>
  <c r="D808" i="4"/>
  <c r="H808" i="4" s="1"/>
  <c r="I808" i="4" s="1"/>
  <c r="D804" i="4"/>
  <c r="H804" i="4" s="1"/>
  <c r="I804" i="4" s="1"/>
  <c r="D809" i="4"/>
  <c r="H809" i="4" s="1"/>
  <c r="I809" i="4" s="1"/>
  <c r="D803" i="4"/>
  <c r="H803" i="4" s="1"/>
  <c r="G891" i="4"/>
  <c r="I1037" i="4"/>
  <c r="I904" i="4"/>
  <c r="I986" i="4"/>
  <c r="I987" i="4"/>
  <c r="I1014" i="4"/>
  <c r="I1038" i="4"/>
  <c r="I963" i="4"/>
  <c r="I1137" i="4"/>
  <c r="I1041" i="4"/>
  <c r="I1158" i="4"/>
  <c r="I1279" i="4"/>
  <c r="I1295" i="4"/>
  <c r="H1725" i="4"/>
  <c r="H1726" i="4" s="1"/>
  <c r="H1727" i="4" s="1"/>
  <c r="I1235" i="4"/>
  <c r="I1397" i="4"/>
  <c r="I1603" i="4"/>
  <c r="I1683" i="4"/>
  <c r="I1029" i="4"/>
  <c r="I1082" i="4"/>
  <c r="I1099" i="4"/>
  <c r="I1173" i="4"/>
  <c r="I1292" i="4"/>
  <c r="I1452" i="4"/>
  <c r="E1719" i="4"/>
  <c r="G1719" i="4" s="1"/>
  <c r="I1719" i="4" s="1"/>
  <c r="I977" i="4"/>
  <c r="I1021" i="4"/>
  <c r="I1226" i="4"/>
  <c r="I1388" i="4"/>
  <c r="I1409" i="4"/>
  <c r="I1436" i="4"/>
  <c r="I1410" i="4"/>
  <c r="I1428" i="4"/>
  <c r="I1249" i="4"/>
  <c r="I1384" i="4"/>
  <c r="I1389" i="4"/>
  <c r="I1053" i="4"/>
  <c r="I1282" i="4"/>
  <c r="I1406" i="4"/>
  <c r="I1157" i="4"/>
  <c r="H1720" i="4" l="1"/>
  <c r="I1698" i="4"/>
  <c r="I1699" i="4" s="1"/>
  <c r="I1531" i="4"/>
  <c r="I1537" i="4" s="1"/>
  <c r="G1538" i="4"/>
  <c r="H1127" i="4"/>
  <c r="H1128" i="4" s="1"/>
  <c r="G893" i="4"/>
  <c r="G894" i="4" s="1"/>
  <c r="H893" i="4"/>
  <c r="H894" i="4" s="1"/>
  <c r="H763" i="4"/>
  <c r="H764" i="4" s="1"/>
  <c r="I631" i="4"/>
  <c r="G763" i="4"/>
  <c r="G764" i="4" s="1"/>
  <c r="I489" i="4"/>
  <c r="I490" i="4" s="1"/>
  <c r="I460" i="4"/>
  <c r="I461" i="4" s="1"/>
  <c r="H460" i="4"/>
  <c r="H461" i="4" s="1"/>
  <c r="I367" i="4"/>
  <c r="I368" i="4" s="1"/>
  <c r="H367" i="4"/>
  <c r="H368" i="4" s="1"/>
  <c r="G367" i="4"/>
  <c r="G368" i="4" s="1"/>
  <c r="I267" i="4"/>
  <c r="H310" i="4"/>
  <c r="H311" i="4" s="1"/>
  <c r="G310" i="4"/>
  <c r="G311" i="4" s="1"/>
  <c r="G105" i="4"/>
  <c r="G106" i="4" s="1"/>
  <c r="H105" i="4"/>
  <c r="H106" i="4" s="1"/>
  <c r="I835" i="4"/>
  <c r="I17" i="4"/>
  <c r="H23" i="4"/>
  <c r="H197" i="4"/>
  <c r="I196" i="4" s="1"/>
  <c r="I73" i="4"/>
  <c r="I160" i="4"/>
  <c r="I387" i="4"/>
  <c r="I161" i="4"/>
  <c r="I56" i="4"/>
  <c r="H826" i="4"/>
  <c r="I826" i="4" s="1"/>
  <c r="I1234" i="4"/>
  <c r="I1318" i="4" s="1"/>
  <c r="I1319" i="4" s="1"/>
  <c r="I547" i="4"/>
  <c r="H818" i="4"/>
  <c r="I818" i="4" s="1"/>
  <c r="H778" i="4"/>
  <c r="I778" i="4" s="1"/>
  <c r="I198" i="4"/>
  <c r="G210" i="4"/>
  <c r="I210" i="4" s="1"/>
  <c r="I771" i="4"/>
  <c r="I224" i="4"/>
  <c r="I866" i="4"/>
  <c r="I504" i="4"/>
  <c r="I783" i="4"/>
  <c r="I755" i="4"/>
  <c r="I882" i="4"/>
  <c r="I249" i="4"/>
  <c r="I681" i="4"/>
  <c r="I581" i="4"/>
  <c r="I821" i="4"/>
  <c r="I673" i="4"/>
  <c r="I588" i="4"/>
  <c r="I661" i="4"/>
  <c r="I572" i="4"/>
  <c r="I615" i="4"/>
  <c r="D260" i="4"/>
  <c r="H260" i="4" s="1"/>
  <c r="I260" i="4" s="1"/>
  <c r="G255" i="4"/>
  <c r="I255" i="4" s="1"/>
  <c r="I734" i="4"/>
  <c r="I232" i="4"/>
  <c r="I607" i="4"/>
  <c r="I191" i="4"/>
  <c r="I1378" i="4"/>
  <c r="I1419" i="4" s="1"/>
  <c r="I1420" i="4" s="1"/>
  <c r="I513" i="4"/>
  <c r="I715" i="4"/>
  <c r="I208" i="4"/>
  <c r="I663" i="4"/>
  <c r="I618" i="4"/>
  <c r="I662" i="4"/>
  <c r="I759" i="4"/>
  <c r="I849" i="4"/>
  <c r="H571" i="4"/>
  <c r="I570" i="4" s="1"/>
  <c r="I790" i="4"/>
  <c r="H206" i="4"/>
  <c r="I205" i="4" s="1"/>
  <c r="I813" i="4"/>
  <c r="H794" i="4"/>
  <c r="D865" i="4"/>
  <c r="H865" i="4" s="1"/>
  <c r="G861" i="4"/>
  <c r="G876" i="4" s="1"/>
  <c r="G877" i="4" s="1"/>
  <c r="I586" i="4"/>
  <c r="I99" i="4"/>
  <c r="I98" i="4"/>
  <c r="I576" i="4"/>
  <c r="I150" i="4"/>
  <c r="I200" i="4"/>
  <c r="I287" i="4"/>
  <c r="I756" i="4"/>
  <c r="I168" i="4"/>
  <c r="H820" i="4"/>
  <c r="I819" i="4" s="1"/>
  <c r="I1725" i="4"/>
  <c r="I1726" i="4" s="1"/>
  <c r="I1727" i="4" s="1"/>
  <c r="I582" i="4"/>
  <c r="G604" i="4"/>
  <c r="H178" i="4"/>
  <c r="I178" i="4" s="1"/>
  <c r="H177" i="4"/>
  <c r="I177" i="4" s="1"/>
  <c r="I713" i="4"/>
  <c r="H817" i="4"/>
  <c r="I829" i="4"/>
  <c r="I830" i="4"/>
  <c r="H777" i="4"/>
  <c r="H625" i="4"/>
  <c r="G137" i="4"/>
  <c r="G188" i="4" s="1"/>
  <c r="G189" i="4" s="1"/>
  <c r="I860" i="4"/>
  <c r="I749" i="4"/>
  <c r="H254" i="4"/>
  <c r="I253" i="4" s="1"/>
  <c r="G1714" i="4"/>
  <c r="I803" i="4"/>
  <c r="H812" i="4"/>
  <c r="H781" i="4"/>
  <c r="H593" i="4"/>
  <c r="I370" i="4"/>
  <c r="I822" i="4"/>
  <c r="I300" i="4"/>
  <c r="I293" i="4"/>
  <c r="D245" i="4"/>
  <c r="H245" i="4" s="1"/>
  <c r="I245" i="4" s="1"/>
  <c r="D244" i="4"/>
  <c r="H244" i="4" s="1"/>
  <c r="I244" i="4" s="1"/>
  <c r="I277" i="4"/>
  <c r="I110" i="4"/>
  <c r="H816" i="4"/>
  <c r="I871" i="4"/>
  <c r="I872" i="4"/>
  <c r="H779" i="4"/>
  <c r="I537" i="4"/>
  <c r="I134" i="4"/>
  <c r="I242" i="4"/>
  <c r="I659" i="4"/>
  <c r="I957" i="4"/>
  <c r="I1127" i="4" s="1"/>
  <c r="I1128" i="4" s="1"/>
  <c r="I632" i="4"/>
  <c r="I697" i="4"/>
  <c r="H782" i="4"/>
  <c r="I211" i="4"/>
  <c r="I728" i="4"/>
  <c r="I879" i="4"/>
  <c r="H815" i="4"/>
  <c r="D579" i="4"/>
  <c r="D578" i="4"/>
  <c r="G573" i="4"/>
  <c r="D580" i="4"/>
  <c r="I796" i="4"/>
  <c r="I800" i="4"/>
  <c r="H834" i="4"/>
  <c r="I891" i="4"/>
  <c r="I769" i="4"/>
  <c r="H795" i="4"/>
  <c r="H828" i="4"/>
  <c r="I855" i="4"/>
  <c r="I236" i="4"/>
  <c r="I237" i="4"/>
  <c r="I1714" i="4" l="1"/>
  <c r="I1720" i="4" s="1"/>
  <c r="G1720" i="4"/>
  <c r="H1721" i="4"/>
  <c r="I1538" i="4"/>
  <c r="H876" i="4"/>
  <c r="H877" i="4" s="1"/>
  <c r="I893" i="4"/>
  <c r="I894" i="4" s="1"/>
  <c r="I763" i="4"/>
  <c r="I764" i="4" s="1"/>
  <c r="G628" i="4"/>
  <c r="G629" i="4" s="1"/>
  <c r="I389" i="4"/>
  <c r="I390" i="4" s="1"/>
  <c r="H263" i="4"/>
  <c r="H264" i="4" s="1"/>
  <c r="G263" i="4"/>
  <c r="G264" i="4" s="1"/>
  <c r="H188" i="4"/>
  <c r="H189" i="4" s="1"/>
  <c r="I106" i="4"/>
  <c r="I22" i="4"/>
  <c r="I23" i="4" s="1"/>
  <c r="I825" i="4"/>
  <c r="I197" i="4"/>
  <c r="H594" i="4"/>
  <c r="I585" i="4" s="1"/>
  <c r="I292" i="4"/>
  <c r="I777" i="4"/>
  <c r="I828" i="4"/>
  <c r="I795" i="4"/>
  <c r="I286" i="4"/>
  <c r="I254" i="4"/>
  <c r="I816" i="4"/>
  <c r="I206" i="4"/>
  <c r="I794" i="4"/>
  <c r="I779" i="4"/>
  <c r="I781" i="4"/>
  <c r="I571" i="4"/>
  <c r="I815" i="4"/>
  <c r="I782" i="4"/>
  <c r="I811" i="4"/>
  <c r="H580" i="4"/>
  <c r="H603" i="4"/>
  <c r="I276" i="4"/>
  <c r="I793" i="4"/>
  <c r="H622" i="4"/>
  <c r="I492" i="4"/>
  <c r="I266" i="4"/>
  <c r="I786" i="4"/>
  <c r="H579" i="4"/>
  <c r="I625" i="4"/>
  <c r="H612" i="4"/>
  <c r="H578" i="4"/>
  <c r="I832" i="4"/>
  <c r="I776" i="4"/>
  <c r="H611" i="4"/>
  <c r="I768" i="4"/>
  <c r="I865" i="4"/>
  <c r="I861" i="4"/>
  <c r="I593" i="4"/>
  <c r="I817" i="4"/>
  <c r="I812" i="4"/>
  <c r="I820" i="4"/>
  <c r="I108" i="4"/>
  <c r="I802" i="4"/>
  <c r="I834" i="4"/>
  <c r="H602" i="4"/>
  <c r="H621" i="4"/>
  <c r="I137" i="4"/>
  <c r="I876" i="4" l="1"/>
  <c r="I877" i="4" s="1"/>
  <c r="H628" i="4"/>
  <c r="H629" i="4" s="1"/>
  <c r="I263" i="4"/>
  <c r="I264" i="4" s="1"/>
  <c r="I310" i="4"/>
  <c r="I311" i="4" s="1"/>
  <c r="I188" i="4"/>
  <c r="I189" i="4" s="1"/>
  <c r="I594" i="4"/>
  <c r="I595" i="4"/>
  <c r="I621" i="4"/>
  <c r="I602" i="4"/>
  <c r="I578" i="4"/>
  <c r="I604" i="4"/>
  <c r="I579" i="4"/>
  <c r="I611" i="4"/>
  <c r="I612" i="4"/>
  <c r="I603" i="4"/>
  <c r="I622" i="4"/>
  <c r="I580" i="4"/>
  <c r="I573" i="4" l="1"/>
  <c r="I628" i="4" s="1"/>
  <c r="I629" i="4" s="1"/>
  <c r="G1721" i="4" l="1"/>
  <c r="I1721" i="4"/>
</calcChain>
</file>

<file path=xl/sharedStrings.xml><?xml version="1.0" encoding="utf-8"?>
<sst xmlns="http://schemas.openxmlformats.org/spreadsheetml/2006/main" count="5067" uniqueCount="3072">
  <si>
    <t>№ п/п</t>
  </si>
  <si>
    <t>Наименование работ</t>
  </si>
  <si>
    <t>Ед. изм.</t>
  </si>
  <si>
    <t>кол-во</t>
  </si>
  <si>
    <t>итого (руб.)</t>
  </si>
  <si>
    <t>Итого общая</t>
  </si>
  <si>
    <t xml:space="preserve"> Работа</t>
  </si>
  <si>
    <t xml:space="preserve"> Материал</t>
  </si>
  <si>
    <t>Материал</t>
  </si>
  <si>
    <t>м3</t>
  </si>
  <si>
    <t>Разработка котлована 1-й этап</t>
  </si>
  <si>
    <t>Разработка котлована 2-й этап</t>
  </si>
  <si>
    <t>1.2</t>
  </si>
  <si>
    <t>Ручная доработка</t>
  </si>
  <si>
    <t>1.3</t>
  </si>
  <si>
    <t xml:space="preserve">Обратная засыпка </t>
  </si>
  <si>
    <t>1.4</t>
  </si>
  <si>
    <t>Обратная засыпка лифтовых шахт в осях 4-8/Е-Ж, 4-6/К-Л  песком средней крупности без крупных включений, Купл=0,95</t>
  </si>
  <si>
    <t>1.5</t>
  </si>
  <si>
    <t>Обратная засыпка лестницы Лм-1 в осях 1/Р-Н, 12/А-Д  песком средней крупности без крупных включений, Купл=0,96</t>
  </si>
  <si>
    <t>шт</t>
  </si>
  <si>
    <t>2.1</t>
  </si>
  <si>
    <t>Разгрузка Свай</t>
  </si>
  <si>
    <t>2.2</t>
  </si>
  <si>
    <t>Погружение составных ж/б свай 35*35 см, сварной стык</t>
  </si>
  <si>
    <t>м</t>
  </si>
  <si>
    <t>2.3</t>
  </si>
  <si>
    <t>Сваи С200.35-Св.ВП по Серии 1.011.1-10 вып.8 (С80.35-НСв-6, Свая С120.35-ВСв-6)</t>
  </si>
  <si>
    <t>2.4</t>
  </si>
  <si>
    <t>Антикоррозионная обработка стыка свай</t>
  </si>
  <si>
    <t>2.5</t>
  </si>
  <si>
    <t>Срубка оголовков свай</t>
  </si>
  <si>
    <t>3.1</t>
  </si>
  <si>
    <t>Устройство бетонной подготовки</t>
  </si>
  <si>
    <t>3.1.1</t>
  </si>
  <si>
    <t>Бетон В7,5 F7,5 W4 ГОСТ 7473-2010</t>
  </si>
  <si>
    <t>3.2</t>
  </si>
  <si>
    <t xml:space="preserve">Устройство фундаментной плиты </t>
  </si>
  <si>
    <t>3.2.1</t>
  </si>
  <si>
    <t>Бетон В30 F200 W8 ГОСТ 7473-2010</t>
  </si>
  <si>
    <t>3.2.2</t>
  </si>
  <si>
    <t>Арматура Ø25 А500С ГОСТ 34028-2016</t>
  </si>
  <si>
    <t>тн</t>
  </si>
  <si>
    <t>3.2.3</t>
  </si>
  <si>
    <t>Арматура Ø20 А500С ГОСТ 34028-2016</t>
  </si>
  <si>
    <t>3.2.4</t>
  </si>
  <si>
    <t>Арматура Ø16 А500С ГОСТ 34028-2016</t>
  </si>
  <si>
    <t>3.2.5</t>
  </si>
  <si>
    <t>Арматура Ø12 А500С ГОСТ 34028-2016</t>
  </si>
  <si>
    <t>3.2.6</t>
  </si>
  <si>
    <t>Арматура Ø10 А500С ГОСТ 34028-2016</t>
  </si>
  <si>
    <t>3.2.7</t>
  </si>
  <si>
    <t>Арматура Ø8 А500С ГОСТ 34028-2016</t>
  </si>
  <si>
    <t>3.2.8</t>
  </si>
  <si>
    <t>Арматура Ø8 А240С ГОСТ 34028-2016</t>
  </si>
  <si>
    <t>3.2.9</t>
  </si>
  <si>
    <t>Проволока 1,2-О-Ч ГОСТ 3282-74</t>
  </si>
  <si>
    <t>3.2.10</t>
  </si>
  <si>
    <t>Пластиковый фиксатор нижней арматуры</t>
  </si>
  <si>
    <t>3.3</t>
  </si>
  <si>
    <t>Устройство монолитных вертикальных конструкций</t>
  </si>
  <si>
    <t>3.3.1</t>
  </si>
  <si>
    <t>3.3.2</t>
  </si>
  <si>
    <t>Бетон В30 F200 W6 ГОСТ 7473-2010</t>
  </si>
  <si>
    <t>3.3.3</t>
  </si>
  <si>
    <t>Бетон В25 F100 W6 ГОСТ 7473-2010</t>
  </si>
  <si>
    <t>3.3.4</t>
  </si>
  <si>
    <t>3.3.5</t>
  </si>
  <si>
    <t>3.3.6</t>
  </si>
  <si>
    <t>3.3.7</t>
  </si>
  <si>
    <t>Арматура Ø10 А500С ГОСТ 34028-2017</t>
  </si>
  <si>
    <t>3.3.8</t>
  </si>
  <si>
    <t>3.3.9</t>
  </si>
  <si>
    <t>Арматура Ø25 А240 ГОСТ 34028-2016</t>
  </si>
  <si>
    <t>3.3.10</t>
  </si>
  <si>
    <t>Арматура Ø8 А240 ГОСТ 34028-2016</t>
  </si>
  <si>
    <t>3.3.11</t>
  </si>
  <si>
    <t>Сетка 50х50 5Вр1 ГОСТ 23279-85</t>
  </si>
  <si>
    <t>3.3.12</t>
  </si>
  <si>
    <t>3.3.13</t>
  </si>
  <si>
    <t>Лист 6 мм ГОСТ 19903-2015</t>
  </si>
  <si>
    <t>3.3.14</t>
  </si>
  <si>
    <t>Лист 8 мм ГОСТ 19903-2016</t>
  </si>
  <si>
    <t>3.3.15</t>
  </si>
  <si>
    <t>Труба 57х3,0 ГОСТ 10704-91</t>
  </si>
  <si>
    <t>Изготовление каркаса колонн</t>
  </si>
  <si>
    <t>Изготовление сеток колонн</t>
  </si>
  <si>
    <t>3.4</t>
  </si>
  <si>
    <t>Устройство монолитных перекрытий</t>
  </si>
  <si>
    <t>Труба 159х4,0 ГОСТ 10704-91</t>
  </si>
  <si>
    <t>Труба 108х3,5 ГОСТ 10704-91</t>
  </si>
  <si>
    <t>Экструзионный пенополистирол Технониколь XPS CARBON ECO</t>
  </si>
  <si>
    <t>Изготовление каркасов плит перекрытий</t>
  </si>
  <si>
    <t>3.5</t>
  </si>
  <si>
    <t>Устройство монолитных лестниц</t>
  </si>
  <si>
    <t>Клеевой анкер Hilti HIT-MM PLUS</t>
  </si>
  <si>
    <t>мл</t>
  </si>
  <si>
    <t>3.6</t>
  </si>
  <si>
    <t>Устройство входных групп</t>
  </si>
  <si>
    <t>3.6.1</t>
  </si>
  <si>
    <t>БетонВ30 F200 W8</t>
  </si>
  <si>
    <t>3.6.2</t>
  </si>
  <si>
    <t>БетонВ7,5 F50 W4</t>
  </si>
  <si>
    <t>3.6.3</t>
  </si>
  <si>
    <t>Арматура 12 А500С</t>
  </si>
  <si>
    <t>3.6.4</t>
  </si>
  <si>
    <t>Арматура 8 А240</t>
  </si>
  <si>
    <t>3.6.5</t>
  </si>
  <si>
    <t>3.6.6</t>
  </si>
  <si>
    <t xml:space="preserve">Утеплитель - экструдированный пенополистерол </t>
  </si>
  <si>
    <t>3.6.7</t>
  </si>
  <si>
    <t>м2</t>
  </si>
  <si>
    <t>3.7</t>
  </si>
  <si>
    <t>Лестничный марш ИМЛ 30.12.15-4</t>
  </si>
  <si>
    <t>Уголок 50х5 ГОСТ 8509-93</t>
  </si>
  <si>
    <t>Клиновой анкер TECH-Krep WAM 12x100</t>
  </si>
  <si>
    <t>3.8</t>
  </si>
  <si>
    <t>Ограждение лестничных маршей ГОСТ 25772-83</t>
  </si>
  <si>
    <t>3.9</t>
  </si>
  <si>
    <t>Устройство швов бетонирования</t>
  </si>
  <si>
    <t>п.м.</t>
  </si>
  <si>
    <t>3.9.1</t>
  </si>
  <si>
    <t>Гидропрокладка "Пенебар"</t>
  </si>
  <si>
    <t>Скоба крепежная "Пенебар"</t>
  </si>
  <si>
    <t>Состав "Скрепа М500"</t>
  </si>
  <si>
    <t>кг</t>
  </si>
  <si>
    <t>3.10</t>
  </si>
  <si>
    <t>3.10.1</t>
  </si>
  <si>
    <t>Гидроизоляция Технониколь "Техноэласт ЭПП"</t>
  </si>
  <si>
    <t>3.10.2</t>
  </si>
  <si>
    <t>Праймер битумный Технониколь № 01</t>
  </si>
  <si>
    <t>3.10.3</t>
  </si>
  <si>
    <t>Пропан (50л)</t>
  </si>
  <si>
    <t>баллон</t>
  </si>
  <si>
    <t>3.11</t>
  </si>
  <si>
    <t>Утепление стен подвала</t>
  </si>
  <si>
    <t>3.11.1</t>
  </si>
  <si>
    <t>3.11.2</t>
  </si>
  <si>
    <t xml:space="preserve">Клей-пена для пенополистирола Технониколь PROFESSIONAL </t>
  </si>
  <si>
    <t>4.1</t>
  </si>
  <si>
    <t>Кладка наружных стен толщ.250мм</t>
  </si>
  <si>
    <t>Цементно-песчаная стяжка М75</t>
  </si>
  <si>
    <t>4.1.1</t>
  </si>
  <si>
    <t>Блоки из ячеистых бетонов по ГОСТ 31360-2007</t>
  </si>
  <si>
    <t>4.1.2</t>
  </si>
  <si>
    <t>клей для газобетона Seneco GS39, 25кг</t>
  </si>
  <si>
    <t>меш</t>
  </si>
  <si>
    <t>4.1.3</t>
  </si>
  <si>
    <t>Труба Ду 108х3,5 по ГОСТ 10705-91 L=250</t>
  </si>
  <si>
    <t>4.1.4</t>
  </si>
  <si>
    <t>Арматура 8 А500С</t>
  </si>
  <si>
    <t>АСК-10-1000/50 - ГОСТ 31938-2012</t>
  </si>
  <si>
    <t>Закладнаая деталь ГС-1</t>
  </si>
  <si>
    <t>4.1.5</t>
  </si>
  <si>
    <t>Пластина 6х100х200</t>
  </si>
  <si>
    <t>Арматура д.10 А500</t>
  </si>
  <si>
    <t>Анкер WAM 6х95</t>
  </si>
  <si>
    <t xml:space="preserve">Краска Цинол </t>
  </si>
  <si>
    <t>Растворитель Сольвент</t>
  </si>
  <si>
    <t>л</t>
  </si>
  <si>
    <t>4.1.6</t>
  </si>
  <si>
    <t>Уголок 75х5</t>
  </si>
  <si>
    <t>Клин анкер WAM 8х80мм (50 шт)</t>
  </si>
  <si>
    <t>Грунтовка ГФ-021</t>
  </si>
  <si>
    <t>Эмаль ПФ-115</t>
  </si>
  <si>
    <t>4.1.7</t>
  </si>
  <si>
    <t>Вилатерм Ø30</t>
  </si>
  <si>
    <t>Вилатерм Ø50</t>
  </si>
  <si>
    <t>Пена монтажная 890 г</t>
  </si>
  <si>
    <t>4.2</t>
  </si>
  <si>
    <t>4.2.1</t>
  </si>
  <si>
    <t>Кирпич силикатный</t>
  </si>
  <si>
    <t>Раствор</t>
  </si>
  <si>
    <t>Проволока 4 Вр1</t>
  </si>
  <si>
    <t>4.2.2</t>
  </si>
  <si>
    <t>Уголок 50х3</t>
  </si>
  <si>
    <t>Пластина 6х160х70</t>
  </si>
  <si>
    <t>Пластина 6х195х70</t>
  </si>
  <si>
    <t>Пластина 4х290х60</t>
  </si>
  <si>
    <t>Пластина 4х50х130</t>
  </si>
  <si>
    <t>Пластина 4х50х140</t>
  </si>
  <si>
    <t>4.2.3</t>
  </si>
  <si>
    <t>Профиль 40х4</t>
  </si>
  <si>
    <t>Пластина 6х70х70</t>
  </si>
  <si>
    <t>Пластина 4х40х4</t>
  </si>
  <si>
    <t>4.2.4</t>
  </si>
  <si>
    <t>Анкер-шпилька Hilti HST3-R М8х95</t>
  </si>
  <si>
    <t>4.2.5</t>
  </si>
  <si>
    <t>Анкер для газобетона Hilti HPD М10</t>
  </si>
  <si>
    <t>4.3</t>
  </si>
  <si>
    <t>4.3.1</t>
  </si>
  <si>
    <t>Профиль 60х40х4</t>
  </si>
  <si>
    <t>Профиль 30х4</t>
  </si>
  <si>
    <t>Квадрат 15х15</t>
  </si>
  <si>
    <t>Пластина 6х100х120</t>
  </si>
  <si>
    <t>Арматура 10 А500С</t>
  </si>
  <si>
    <t>4.3.2</t>
  </si>
  <si>
    <t xml:space="preserve">Грунт-эмаль "Короед"  7035 светло-серый </t>
  </si>
  <si>
    <t>4.3.4</t>
  </si>
  <si>
    <t>Электроды</t>
  </si>
  <si>
    <t>4.4</t>
  </si>
  <si>
    <t xml:space="preserve">Кладка парапета из силикатного кирпича </t>
  </si>
  <si>
    <t>4.4.1</t>
  </si>
  <si>
    <t>Кирпич СУРПо-М150/F35/2,0 по ГОСТ 379-2015</t>
  </si>
  <si>
    <t>4.4.2</t>
  </si>
  <si>
    <t>Цементно-известковый раствор М100, F50,Пк3 ГОСТ 28013-98</t>
  </si>
  <si>
    <t>4.4.4</t>
  </si>
  <si>
    <t>Сетка 3Вр-1 с ячейками 50х50</t>
  </si>
  <si>
    <t>Сетка 5Вр-1 с ячейками 50х50</t>
  </si>
  <si>
    <t>Эпоксидный клей</t>
  </si>
  <si>
    <t>Арматурный стержень 10 А500С</t>
  </si>
  <si>
    <t>4.5</t>
  </si>
  <si>
    <t>Кладка ветшахт и лифтового помещения на кровле</t>
  </si>
  <si>
    <t>4.5.1</t>
  </si>
  <si>
    <t>4.5.2</t>
  </si>
  <si>
    <t>Кладка из кирпича керамического</t>
  </si>
  <si>
    <t>Кирпич керамический КР-р по 1,4НФ/150/2,0/35 по ГОСТ 530-2012</t>
  </si>
  <si>
    <t>4.5.3</t>
  </si>
  <si>
    <t xml:space="preserve">Опорная подушка ОП-1 </t>
  </si>
  <si>
    <t>цементно-песчаный раствор 10мм</t>
  </si>
  <si>
    <t>Двутавр 30Б2</t>
  </si>
  <si>
    <t>Двутавр 20Б1</t>
  </si>
  <si>
    <t>Швеллер 20П</t>
  </si>
  <si>
    <t>Швеллер 24П</t>
  </si>
  <si>
    <t>Закладная деталь МН103-3 (ЗД-1)</t>
  </si>
  <si>
    <t>Грунтовка ГФ-021 за 2 раза</t>
  </si>
  <si>
    <t>Эмаль ПФ-115 за 2 раза</t>
  </si>
  <si>
    <t>Огнезащитное покрытие FinnProtect-K1</t>
  </si>
  <si>
    <t>Профлист Н75-750-0.9</t>
  </si>
  <si>
    <t>4.6</t>
  </si>
  <si>
    <t>4.6.1</t>
  </si>
  <si>
    <t>4.6.2</t>
  </si>
  <si>
    <t>Арматура 6 А240</t>
  </si>
  <si>
    <t>4.6.3</t>
  </si>
  <si>
    <t>Бетон кл. В15 W4 F100</t>
  </si>
  <si>
    <t>5.1</t>
  </si>
  <si>
    <t>5.1.1</t>
  </si>
  <si>
    <t>Камень бетонный стеновой КПР-ПР-ПС-39-50-F35-1100 по ГОСТ 33126-2014</t>
  </si>
  <si>
    <t>5.1.2</t>
  </si>
  <si>
    <t>Раствор цементно-песчаный м75</t>
  </si>
  <si>
    <t>5.1.3</t>
  </si>
  <si>
    <t>5.1.4</t>
  </si>
  <si>
    <t>Арматура Ф10мм L=300мм</t>
  </si>
  <si>
    <t>5.2</t>
  </si>
  <si>
    <t>5.2.1</t>
  </si>
  <si>
    <t>5.2.2</t>
  </si>
  <si>
    <t>цементно-известняковом кладочном р-ре М75,Пк2 ГОСТ 28013-98*</t>
  </si>
  <si>
    <t>5.2.3</t>
  </si>
  <si>
    <t>Заделка швов внутренней кладки</t>
  </si>
  <si>
    <t>5.3</t>
  </si>
  <si>
    <t>Перегородки из силикатного кирпича в МОП т.120мм</t>
  </si>
  <si>
    <t>5.3.1</t>
  </si>
  <si>
    <t>Кирпич  силикатный СУРПо-М150/F35/2,0 по ГОСТ 379-2015</t>
  </si>
  <si>
    <t>5.3.2</t>
  </si>
  <si>
    <t>5.4</t>
  </si>
  <si>
    <t>5.4.1</t>
  </si>
  <si>
    <t>5.4.2</t>
  </si>
  <si>
    <t>5.5</t>
  </si>
  <si>
    <t>5.5.1</t>
  </si>
  <si>
    <t>Уголок 75х50х5</t>
  </si>
  <si>
    <t>5.5.2</t>
  </si>
  <si>
    <t>5.5.3</t>
  </si>
  <si>
    <t>Полоса 50х5</t>
  </si>
  <si>
    <t>5.5.4</t>
  </si>
  <si>
    <t>5.5.5</t>
  </si>
  <si>
    <t>5.5.6</t>
  </si>
  <si>
    <t>5.6</t>
  </si>
  <si>
    <t>Брус 80х80</t>
  </si>
  <si>
    <t xml:space="preserve">Клин анкер WAM 8х80мм </t>
  </si>
  <si>
    <t>Антисептик  Акватекс (10кг)</t>
  </si>
  <si>
    <t>Растворитель Р646 Бутылка 0,5л (0,37кг)</t>
  </si>
  <si>
    <t>5.7</t>
  </si>
  <si>
    <t>5.7.1</t>
  </si>
  <si>
    <t>Камень бетонный стеновой КПР-ПР-ПС-9-50-F35-1100 по ГОСТ 33126-2014</t>
  </si>
  <si>
    <t>5.7.2</t>
  </si>
  <si>
    <t>5.7.3</t>
  </si>
  <si>
    <t>Композитная арматура Ф10мм L=290мм</t>
  </si>
  <si>
    <t>5.8</t>
  </si>
  <si>
    <t>Устройство внутриквартирных перегородок со 2 по 24 эт</t>
  </si>
  <si>
    <t>5.8.1</t>
  </si>
  <si>
    <t>Камень бетонный стеновой КПР-ПР-ПС-9-50-F35-1100 по ГОСТ 33126-2014 на цементно-песчаном растворе М100, F50, Пк2 ГОСТ 28013-98*</t>
  </si>
  <si>
    <t>5.9</t>
  </si>
  <si>
    <t>5.9.1</t>
  </si>
  <si>
    <t>5.9.2</t>
  </si>
  <si>
    <t>5.9.3</t>
  </si>
  <si>
    <t>5.10</t>
  </si>
  <si>
    <t>Кладка перегородок в МОП из керамзитобетонных блоков т. 90мм (лифтовый холл)</t>
  </si>
  <si>
    <t>5.10.1</t>
  </si>
  <si>
    <t>5.10.2</t>
  </si>
  <si>
    <t>5.10.3</t>
  </si>
  <si>
    <t>5.11</t>
  </si>
  <si>
    <t>Устройство коробов из ГКЛ в тамбуре 1 этажа (обшивка пилонов под трубопровод отопления)</t>
  </si>
  <si>
    <t>5.11.1</t>
  </si>
  <si>
    <t>лист ГКЛ 12,5 мм</t>
  </si>
  <si>
    <t>5.11.2</t>
  </si>
  <si>
    <t>Профиль направляющий ПН 27х28</t>
  </si>
  <si>
    <t>5.11.3</t>
  </si>
  <si>
    <t>Профиль потолочный ПП 60х27</t>
  </si>
  <si>
    <t>5.11.4</t>
  </si>
  <si>
    <t>Шурупы самонарезающие</t>
  </si>
  <si>
    <t>5.12</t>
  </si>
  <si>
    <t>5.12.1</t>
  </si>
  <si>
    <t>Лист 3мм</t>
  </si>
  <si>
    <t>Уголок 63х4</t>
  </si>
  <si>
    <t>Грунтовка ГФ-021 за два раза</t>
  </si>
  <si>
    <t>Эмаль ПФ-115 за два раза</t>
  </si>
  <si>
    <t>5.12.2</t>
  </si>
  <si>
    <t>Кирпич</t>
  </si>
  <si>
    <t>5.13</t>
  </si>
  <si>
    <t>Монтаж мет.ограждения высотой 1,8 м  в подвале</t>
  </si>
  <si>
    <t>м.п.</t>
  </si>
  <si>
    <t>5.13.1</t>
  </si>
  <si>
    <t>Оцинкованное металлическое ограждение (секции)</t>
  </si>
  <si>
    <t>5.13.2</t>
  </si>
  <si>
    <t>Калитки 1,8*1,2</t>
  </si>
  <si>
    <t>бетонные блоки 600х250х50</t>
  </si>
  <si>
    <t>Бетонирование основания под оборудование ВК  в подвале</t>
  </si>
  <si>
    <t>Лист 5мм</t>
  </si>
  <si>
    <t>Лист ПВ 508х650х650</t>
  </si>
  <si>
    <t>Арматура 12 А240</t>
  </si>
  <si>
    <t>5.14</t>
  </si>
  <si>
    <t>Лабораторные испытания ограждения незадымляемых балконов ОГ-1; пожарных лестниц на кровле Пл1, Пл2;  ограждений парапета.</t>
  </si>
  <si>
    <t>6.1</t>
  </si>
  <si>
    <t>Устройство мокрого фасада с утеплением 150 мм</t>
  </si>
  <si>
    <t>6.1.1</t>
  </si>
  <si>
    <t>Грунтовка основания стен Ceresit CT17</t>
  </si>
  <si>
    <t>10 л</t>
  </si>
  <si>
    <t>6.1.2</t>
  </si>
  <si>
    <t>Теплоизоляция IZOVER Фасад т.150мм</t>
  </si>
  <si>
    <t>куб.м.</t>
  </si>
  <si>
    <t>6.1.3</t>
  </si>
  <si>
    <r>
      <rPr>
        <sz val="12"/>
        <rFont val="Times New Roman"/>
        <family val="1"/>
        <charset val="204"/>
      </rPr>
      <t>фасадный дюбель</t>
    </r>
    <r>
      <rPr>
        <sz val="11"/>
        <rFont val="Times New Roman"/>
        <family val="1"/>
        <charset val="204"/>
      </rPr>
      <t xml:space="preserve"> "BAU-FIX" TDL МТ-260</t>
    </r>
  </si>
  <si>
    <t>шт.</t>
  </si>
  <si>
    <t>6.1.4</t>
  </si>
  <si>
    <t>Сетка фасадная Алабуга GW 545-4x4-165-100-050</t>
  </si>
  <si>
    <t>50 кв.м.</t>
  </si>
  <si>
    <t>6.1.5</t>
  </si>
  <si>
    <t>Клей для минераловатных плит Ceresit СТ 180 MW Strong Fix</t>
  </si>
  <si>
    <t>25 кг</t>
  </si>
  <si>
    <t>6.1.6</t>
  </si>
  <si>
    <t>Штукатурно-клеевая смесь для минераловатных плит Сeresit СТ 190 MW Flex</t>
  </si>
  <si>
    <t>6.1.7</t>
  </si>
  <si>
    <t>Грунтовка под декоративные штукатурки Ceresit CT16</t>
  </si>
  <si>
    <t>6.1.8</t>
  </si>
  <si>
    <t>Минеральная декоративная штукатурка «камешковая» 2,5 мм «под окраску» Ceresit CT137</t>
  </si>
  <si>
    <t>6.1.9</t>
  </si>
  <si>
    <t>Профиль угловой ПВХ с сеткой 100х150</t>
  </si>
  <si>
    <t>2,5 м</t>
  </si>
  <si>
    <t>6.2</t>
  </si>
  <si>
    <t>Устройство мокрого фасада с утеплением 100 мм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</si>
  <si>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</si>
  <si>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</si>
  <si>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</si>
  <si>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</si>
  <si>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</si>
  <si>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</si>
  <si>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</si>
  <si>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</si>
  <si>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</si>
  <si>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6.3</t>
  </si>
  <si>
    <t>Устройство мокрого фасада без утепления (балконы)</t>
  </si>
  <si>
    <t>6.3.1</t>
  </si>
  <si>
    <t>Грунтовка основания стен Ceresit CT16</t>
  </si>
  <si>
    <t>6.3.2</t>
  </si>
  <si>
    <t>6.3.3</t>
  </si>
  <si>
    <t>6.3.4</t>
  </si>
  <si>
    <t>Грунтовка под декоративную штукатурку Ceresit CT16</t>
  </si>
  <si>
    <t>6.3.5</t>
  </si>
  <si>
    <t>6.4</t>
  </si>
  <si>
    <t>Устройство мокрого фасада без утепления (откосы)</t>
  </si>
  <si>
    <t>6.4.1</t>
  </si>
  <si>
    <t>6.4.2</t>
  </si>
  <si>
    <t>6.4.3</t>
  </si>
  <si>
    <t>6.4.4</t>
  </si>
  <si>
    <t>6.4.5</t>
  </si>
  <si>
    <t>6.4.6</t>
  </si>
  <si>
    <t>Профиль-капельник</t>
  </si>
  <si>
    <t>6.4.7</t>
  </si>
  <si>
    <t>Примыкание</t>
  </si>
  <si>
    <t>6.5</t>
  </si>
  <si>
    <t>Окраска фасада</t>
  </si>
  <si>
    <t>кв.м.</t>
  </si>
  <si>
    <t>6.5.1</t>
  </si>
  <si>
    <t>Краска CT54  RAL 7035 светло-серый</t>
  </si>
  <si>
    <t>6.5.3</t>
  </si>
  <si>
    <t>Краска CT54  RAL9003 белый</t>
  </si>
  <si>
    <t>6.5.5</t>
  </si>
  <si>
    <t>Краска CT54   RAL8003 коричневый</t>
  </si>
  <si>
    <t>6.6</t>
  </si>
  <si>
    <t>6.6.1</t>
  </si>
  <si>
    <t>Пластина 8х160х160</t>
  </si>
  <si>
    <t>6.6.2</t>
  </si>
  <si>
    <t>Пластина 8х160х280</t>
  </si>
  <si>
    <t>6.6.3</t>
  </si>
  <si>
    <t>Пластина 5х75х130</t>
  </si>
  <si>
    <t>6.6.4</t>
  </si>
  <si>
    <t>Hilti HSТ3 М10х110 50/30</t>
  </si>
  <si>
    <t>Устройство фасада НВФ</t>
  </si>
  <si>
    <t>7.1</t>
  </si>
  <si>
    <t>7.2.1</t>
  </si>
  <si>
    <t>АКП дерево 1.22*2.05</t>
  </si>
  <si>
    <t>7.2.2</t>
  </si>
  <si>
    <t>АКП коричневые 1.22*2.05</t>
  </si>
  <si>
    <t>Оцинковка коричневые 1.25*2.05</t>
  </si>
  <si>
    <t>АКП бежевый 1.22*2.05</t>
  </si>
  <si>
    <t>Оцинковка бежевый 1.25*2.05</t>
  </si>
  <si>
    <t>АКП дерево 1.22*1.4</t>
  </si>
  <si>
    <t>АКП белый 1.22*1.4</t>
  </si>
  <si>
    <t>АКП бежевый 1.22*1,4</t>
  </si>
  <si>
    <t>Оцинковка бежевый 1.25*1,4</t>
  </si>
  <si>
    <t>АКП коричневый 1.22*1.4</t>
  </si>
  <si>
    <t>Оцинковка коричневый 1.25*2.7</t>
  </si>
  <si>
    <t>АКП дерево 1.22*1.55 (балкон)</t>
  </si>
  <si>
    <t>АКП белый 1.22*1.55 (балкон)</t>
  </si>
  <si>
    <t>АКП дерево 1.22*1.8 примыкание</t>
  </si>
  <si>
    <t>АКП дерево 1.22*1.6 примыкание</t>
  </si>
  <si>
    <t>Оцинковка откосы окна 1.22*2,1</t>
  </si>
  <si>
    <t>Оцинковка П/П короб</t>
  </si>
  <si>
    <t>КН 205</t>
  </si>
  <si>
    <t>ПКН 205</t>
  </si>
  <si>
    <t>КО 205</t>
  </si>
  <si>
    <t>ПКО 205</t>
  </si>
  <si>
    <t>Дюбель Экспандед</t>
  </si>
  <si>
    <t>Уголок анкерный</t>
  </si>
  <si>
    <t>Шуруп по бетону</t>
  </si>
  <si>
    <t>Профиль прищепка</t>
  </si>
  <si>
    <t>Стойка КП45532</t>
  </si>
  <si>
    <t>Салазка</t>
  </si>
  <si>
    <t>Икля</t>
  </si>
  <si>
    <t>Заклепка нерж</t>
  </si>
  <si>
    <t>Дренаж</t>
  </si>
  <si>
    <t>Утеплитель BASWOOL Вент Фасад 80</t>
  </si>
  <si>
    <t>Утеплитель BASWOOL Вент Фасад 90</t>
  </si>
  <si>
    <t>Пленка диффузионная Tyvek FireCurb Housewrap</t>
  </si>
  <si>
    <t>Дюбель для теплоизоляции BAU-FIX TDMT 10x140</t>
  </si>
  <si>
    <t>Дюбель для теплоизоляции BAU-FIX TDMT 10x160</t>
  </si>
  <si>
    <t>Дюбель для теплоизоляции BAU-FIX TDMT 10x220</t>
  </si>
  <si>
    <t>Монтаж корзины кондиционера К-1 (вентилируемый фасад).</t>
  </si>
  <si>
    <t>7.1.1</t>
  </si>
  <si>
    <t>Болт М10-6gx40.58.016</t>
  </si>
  <si>
    <t>7.2</t>
  </si>
  <si>
    <t>7.3</t>
  </si>
  <si>
    <t>7.3.1</t>
  </si>
  <si>
    <t>7.3.2</t>
  </si>
  <si>
    <t>Пластина 8х160х430</t>
  </si>
  <si>
    <t>7.3.3</t>
  </si>
  <si>
    <t>7.4</t>
  </si>
  <si>
    <t xml:space="preserve">Облицовка цоколя керамогранитом </t>
  </si>
  <si>
    <t>7.4.1</t>
  </si>
  <si>
    <t>Керамогранитная плитка Уральский гранит UF 003MP 600х600х10</t>
  </si>
  <si>
    <t>Утеплитель BASWOOL Вент Фасад 100мм</t>
  </si>
  <si>
    <t>Крепеж и ветрозащитная пленка</t>
  </si>
  <si>
    <t>Комплектующие подсистемы вентфасада цоколя (кронштейны, направляющие, крепеж и т.п.)</t>
  </si>
  <si>
    <t>Облицовка керамогранитом приямков и входов в подвал</t>
  </si>
  <si>
    <t>7.5.1</t>
  </si>
  <si>
    <t>7.5.2</t>
  </si>
  <si>
    <t>Плиточный клей</t>
  </si>
  <si>
    <t>8.1</t>
  </si>
  <si>
    <t xml:space="preserve">Устройство сплошного "теплого" витража стеклопакет толщиной 32мм , с учетом откосов
 </t>
  </si>
  <si>
    <t>8.1.1</t>
  </si>
  <si>
    <t>Алюминий</t>
  </si>
  <si>
    <t>комп.</t>
  </si>
  <si>
    <t>8.1.2</t>
  </si>
  <si>
    <t>Анкера</t>
  </si>
  <si>
    <t>8.1.3</t>
  </si>
  <si>
    <t>СПД 32мм Сильвер 70</t>
  </si>
  <si>
    <t>8.1.4</t>
  </si>
  <si>
    <t>Стемалит 6мм RAL7035</t>
  </si>
  <si>
    <t>8.1.5</t>
  </si>
  <si>
    <t>Композит Дерево</t>
  </si>
  <si>
    <t>8.1.6</t>
  </si>
  <si>
    <t>8.1.7</t>
  </si>
  <si>
    <t>Саморезы</t>
  </si>
  <si>
    <t>8.1.8</t>
  </si>
  <si>
    <t>СМЛ 12мм</t>
  </si>
  <si>
    <t>8.1.9</t>
  </si>
  <si>
    <t>Утеплитель Басвул ВентФасад 80</t>
  </si>
  <si>
    <t>8.1.10</t>
  </si>
  <si>
    <t>Оцинковка 0.55</t>
  </si>
  <si>
    <t>8.1.11</t>
  </si>
  <si>
    <t>ГКЛО</t>
  </si>
  <si>
    <t>8.1.12</t>
  </si>
  <si>
    <t>ГКЛВ</t>
  </si>
  <si>
    <t>8.1.13</t>
  </si>
  <si>
    <t>8.1.14</t>
  </si>
  <si>
    <t xml:space="preserve">Герлен </t>
  </si>
  <si>
    <t>8.1.15</t>
  </si>
  <si>
    <t>Пена</t>
  </si>
  <si>
    <t>8.1.16</t>
  </si>
  <si>
    <t>8.2</t>
  </si>
  <si>
    <t>9.1</t>
  </si>
  <si>
    <t xml:space="preserve">Установка ПВХ окон </t>
  </si>
  <si>
    <t>9.1.1</t>
  </si>
  <si>
    <t>ОП В2 1440-900 (4М1-16-И4)- 138 шт</t>
  </si>
  <si>
    <t>9.1.2</t>
  </si>
  <si>
    <t>ОП В2 1440-1300 (4М1-16-И4) - 69 шт</t>
  </si>
  <si>
    <t>9.1.3</t>
  </si>
  <si>
    <t>ОП В2 1690-1250 (4М1-8-4М1-8-К4) -161 шт</t>
  </si>
  <si>
    <t>9.1.4</t>
  </si>
  <si>
    <t>ОП В2 1690-1450 (4М1-8-4М1-8-К4) - 207 шт</t>
  </si>
  <si>
    <t>9.1.5</t>
  </si>
  <si>
    <t>ОП В2 1480-900 (4М1-16-И4) - 1 шт</t>
  </si>
  <si>
    <t>9.1.6</t>
  </si>
  <si>
    <t>ОП В2 1730-1450 (4М1-8-4М1-8-К4) - 10 шт</t>
  </si>
  <si>
    <t>9.1.7</t>
  </si>
  <si>
    <t>ОП В2 1730-1250 (4М1-8-4М1-8-К4) - 7 шт</t>
  </si>
  <si>
    <t>9.1.8</t>
  </si>
  <si>
    <t>ОП В2 1870-1150 (4М1-16-И4) - 1 шт</t>
  </si>
  <si>
    <t>9.1.9</t>
  </si>
  <si>
    <t>9.1.10</t>
  </si>
  <si>
    <t>ОП В2 750-750 (4М1-16-И4) с противовандальной пленкой - 8 шт</t>
  </si>
  <si>
    <t>Рама</t>
  </si>
  <si>
    <t>Створка</t>
  </si>
  <si>
    <t>Импост</t>
  </si>
  <si>
    <t>Донник</t>
  </si>
  <si>
    <t xml:space="preserve">Подкладки </t>
  </si>
  <si>
    <t>Штапик 7</t>
  </si>
  <si>
    <t>Армир рама</t>
  </si>
  <si>
    <t>Армир створка</t>
  </si>
  <si>
    <t>Армир импост</t>
  </si>
  <si>
    <t>Соединитель импоста</t>
  </si>
  <si>
    <t>уплотнитель рамы</t>
  </si>
  <si>
    <t>упротнитель притвора</t>
  </si>
  <si>
    <t>метизы</t>
  </si>
  <si>
    <t>ручки</t>
  </si>
  <si>
    <t>СПД 32мм</t>
  </si>
  <si>
    <t>саморезы 3,6*70</t>
  </si>
  <si>
    <t>фурнитура</t>
  </si>
  <si>
    <t>9.2</t>
  </si>
  <si>
    <t xml:space="preserve">Устройство ПВХ балконных дверей </t>
  </si>
  <si>
    <t>9.2.1</t>
  </si>
  <si>
    <t>БП В2 2420х750 (4М1-16-И4) П - 115 шт</t>
  </si>
  <si>
    <t>9.2.2</t>
  </si>
  <si>
    <t>БП В2 2420х750 (4М1-16-И4) Л - 92 шт</t>
  </si>
  <si>
    <t>9.2.3</t>
  </si>
  <si>
    <t>БП В2 2440х750 (4М1-16-И4) П - 1шт</t>
  </si>
  <si>
    <t>Штапик 15</t>
  </si>
  <si>
    <t>СПО 24мм</t>
  </si>
  <si>
    <t>соединитель 3мм</t>
  </si>
  <si>
    <t>9.4</t>
  </si>
  <si>
    <t>9.4.1</t>
  </si>
  <si>
    <t>ВБ-1 (3,14х1,51) - 1шт</t>
  </si>
  <si>
    <t>9.4.2</t>
  </si>
  <si>
    <t>ВБ-2 (0,92х1,51) - 2 шт</t>
  </si>
  <si>
    <t>9.4.3</t>
  </si>
  <si>
    <t>ВБ-3 (3,14х1,47) - 69 шт</t>
  </si>
  <si>
    <t>9.4.4</t>
  </si>
  <si>
    <t>ВБ-4 (1,12х1,47) - 161 шт</t>
  </si>
  <si>
    <t>9.4.5</t>
  </si>
  <si>
    <t>ВБ-5 (5,96х1,47) - 23 шт</t>
  </si>
  <si>
    <t>9.4.6</t>
  </si>
  <si>
    <t>ВБ-6 (6,14х1,47) - 23 шт</t>
  </si>
  <si>
    <t>9.4.7</t>
  </si>
  <si>
    <t>ВБ-7 (5,525х1,47) - 23 шт</t>
  </si>
  <si>
    <t>9.4.8</t>
  </si>
  <si>
    <t>ВБ-8 (1,07х1,47) - 23шт</t>
  </si>
  <si>
    <t>9.4.9</t>
  </si>
  <si>
    <t>ВБ-9 (0,92х1,47) - 23 шт</t>
  </si>
  <si>
    <t>9.5</t>
  </si>
  <si>
    <t>9.5.1</t>
  </si>
  <si>
    <t>Tech-Krep RD 10/60</t>
  </si>
  <si>
    <t>9.5.2</t>
  </si>
  <si>
    <t>Tech-KREP FRS-S 7.5/52</t>
  </si>
  <si>
    <t>9.5.3</t>
  </si>
  <si>
    <t>Tech-KREP FRS-S 7.5/72</t>
  </si>
  <si>
    <t>9.5.4</t>
  </si>
  <si>
    <t>саморезы кровельные с буром 4.8х28 мм;</t>
  </si>
  <si>
    <t>9.5.5</t>
  </si>
  <si>
    <t>Дюбель-гвоздь 6х40;</t>
  </si>
  <si>
    <t>9.5.6</t>
  </si>
  <si>
    <t>Анкерная пластина KBE 190мм (толщина 1,2 мм)</t>
  </si>
  <si>
    <t>9.5.7</t>
  </si>
  <si>
    <t>Fisher SXR 10x260 FUS</t>
  </si>
  <si>
    <t>9.5.8</t>
  </si>
  <si>
    <t xml:space="preserve">СТИЗ А </t>
  </si>
  <si>
    <t>9.5.9</t>
  </si>
  <si>
    <t xml:space="preserve">СТИЗ В </t>
  </si>
  <si>
    <t>9.5.10</t>
  </si>
  <si>
    <t>Пена монтажная ТехноНиколь 650 prof</t>
  </si>
  <si>
    <t>балон</t>
  </si>
  <si>
    <t>9.6</t>
  </si>
  <si>
    <t>Установка отливов</t>
  </si>
  <si>
    <t>9.6.1</t>
  </si>
  <si>
    <t>Лист оцинк. Белый 0,7мм</t>
  </si>
  <si>
    <t>9.6.2</t>
  </si>
  <si>
    <t>Лента ПСУЛ 15x6/30 мм х 6 м</t>
  </si>
  <si>
    <t>9.6.3</t>
  </si>
  <si>
    <t>Фасадный герметик</t>
  </si>
  <si>
    <t>9.6.4</t>
  </si>
  <si>
    <t>9.7</t>
  </si>
  <si>
    <t>Устройство порогов балконных</t>
  </si>
  <si>
    <t>9.7.1</t>
  </si>
  <si>
    <t>Уголок 50х4</t>
  </si>
  <si>
    <t>9.7.2</t>
  </si>
  <si>
    <t>Арматура 12 А500</t>
  </si>
  <si>
    <t>9.7.3</t>
  </si>
  <si>
    <t>Цементно-стружечная плита 10мм</t>
  </si>
  <si>
    <t>9.7.4</t>
  </si>
  <si>
    <t>Экструдированный пенополистерол</t>
  </si>
  <si>
    <t>9.7.5</t>
  </si>
  <si>
    <t>Клей пена Технониколь</t>
  </si>
  <si>
    <t>10.1</t>
  </si>
  <si>
    <t>компл</t>
  </si>
  <si>
    <t>10.2</t>
  </si>
  <si>
    <t>10.3</t>
  </si>
  <si>
    <t>10.4</t>
  </si>
  <si>
    <t>10.5</t>
  </si>
  <si>
    <t>ДСН Оп Прг Пр Н Псп 2100х1240 + доводчик</t>
  </si>
  <si>
    <t>10.6</t>
  </si>
  <si>
    <t>ДПН Км Бпр Ф Дп Пр Р 2790*1350 + доводчик</t>
  </si>
  <si>
    <t xml:space="preserve">ДПН Г П Оп Л Р 1790х1040 + доводчик </t>
  </si>
  <si>
    <t xml:space="preserve">ДПН Г П Оп Пр Р 1850х1040 (остекленная) + доводчик </t>
  </si>
  <si>
    <t>ДСН Оп Прг Пр Н Псн 2000х1000 + доводчик</t>
  </si>
  <si>
    <t>ДПС 01 2100х1000 Л ЕIS60 + доводчик</t>
  </si>
  <si>
    <t>ДПС 01 1790х1000 EI60 + доводчик</t>
  </si>
  <si>
    <t>ДПС 02 2100х1400 EI60 + доводчик</t>
  </si>
  <si>
    <t>ДПВ Км Бпр Дп Л Р 2100х1350 + доводчик</t>
  </si>
  <si>
    <t>ДПС 01 2050х900 Пр ЕI30 + доводчик</t>
  </si>
  <si>
    <t xml:space="preserve">ДВ 1 Рп 21-10 Г Пр Мд1 </t>
  </si>
  <si>
    <t>ДВ 1 Рл 21-10 Г Пр Мд1</t>
  </si>
  <si>
    <t xml:space="preserve">ДПС 01 2050х1000 Пр EI30 + доводчик </t>
  </si>
  <si>
    <t>ЛМП- Пульс -60 1350*1000 ЕIS60</t>
  </si>
  <si>
    <t xml:space="preserve">ДАН О Бпр Дв Пр Р Ф 2740х1350 + доводчик </t>
  </si>
  <si>
    <t xml:space="preserve">ДАН О Бпр Дв Пр Р Ф 2440х1350 + доводчик </t>
  </si>
  <si>
    <t>ДПС 02 2100х1350 EI30 + доводчик</t>
  </si>
  <si>
    <t>ДПС 01 2100х900 EI30 + доводчик</t>
  </si>
  <si>
    <t>11.1</t>
  </si>
  <si>
    <t>11.1.1</t>
  </si>
  <si>
    <t>Стеклоизол ХПП</t>
  </si>
  <si>
    <t>11.1.2</t>
  </si>
  <si>
    <t>ИЗОЛЕКО 110 по ТУ5762-002-84277528-2008 0,040Вт/(м*К) 90кг/м3 толщ 100мм (или аналог)</t>
  </si>
  <si>
    <t>11.1.3</t>
  </si>
  <si>
    <t xml:space="preserve"> ИЗОЛЕКО 160 ТУ5762-002-84277528-2008 плотн. 140 кг/м3 толщ 50мм (или аналог)</t>
  </si>
  <si>
    <t>11.1.4</t>
  </si>
  <si>
    <t>Уклонообразующие плиты ИЗОЛ КЗ (элемент А)</t>
  </si>
  <si>
    <t>11.1.5</t>
  </si>
  <si>
    <t>11.1.6</t>
  </si>
  <si>
    <t>11.1.7</t>
  </si>
  <si>
    <t>Цементно-стружечные плиты 12мм 2 слоя</t>
  </si>
  <si>
    <t>11.1.8</t>
  </si>
  <si>
    <t>Праймер битумный Технониколь №01 (покраска цсп с 2х сторон)</t>
  </si>
  <si>
    <t>11.1.9</t>
  </si>
  <si>
    <t>Гидроизоляция Унифлекс ЭПП (Г4) СТО 72746455-3.1.11-2015</t>
  </si>
  <si>
    <t>11.1.10</t>
  </si>
  <si>
    <t>Гидроизоляция Техноэласт ЭКП (Г4) СТО 72746455-3.1.11-2015</t>
  </si>
  <si>
    <t>11.1.11</t>
  </si>
  <si>
    <t>11.2</t>
  </si>
  <si>
    <t>Устройство примыканий (парапет)</t>
  </si>
  <si>
    <t>11.2.1</t>
  </si>
  <si>
    <t>Минераловатная плита теплопроводностью 0,043, плотностью 126-154, толщ 50+50мм внахлест</t>
  </si>
  <si>
    <t>11.2.2</t>
  </si>
  <si>
    <t>Лист ЦСП</t>
  </si>
  <si>
    <t>11.2.3</t>
  </si>
  <si>
    <t xml:space="preserve">Праймер битумный Технониколь №01 </t>
  </si>
  <si>
    <t>11.2.4</t>
  </si>
  <si>
    <t>Фасонный элемент парапета шир. Развертки 1150мм оцинк лист</t>
  </si>
  <si>
    <t>11.2.5</t>
  </si>
  <si>
    <t>Металлический профиль для крепления фасонного элемента</t>
  </si>
  <si>
    <t>11.2.6</t>
  </si>
  <si>
    <t>11.2.7</t>
  </si>
  <si>
    <t>11.2.8</t>
  </si>
  <si>
    <t>11.3</t>
  </si>
  <si>
    <t>Покрытие над теплыми балконами</t>
  </si>
  <si>
    <t>11.3.1</t>
  </si>
  <si>
    <t>11.3.2</t>
  </si>
  <si>
    <t>Ц/п стяжка М100 10-20мм</t>
  </si>
  <si>
    <t>11.3.3</t>
  </si>
  <si>
    <t>Экструзионный пенополистирол Технониколь Carbon prof 300rf xps СТО 72746455-3.3.1-2012 плотн = 28-35 кг/м3 200мм</t>
  </si>
  <si>
    <t>11.3.4</t>
  </si>
  <si>
    <t>11.3.5</t>
  </si>
  <si>
    <t>11.3.6</t>
  </si>
  <si>
    <t>Гидроизоляция Унифлекс ЭПП (Г4) СТО 72746455-3.1.11-2015 в 2 слоя</t>
  </si>
  <si>
    <t>11.3.7</t>
  </si>
  <si>
    <t>Гидроизоляция Техноэласт ЭПП (Г4) СТО 72746455-3.1.11-2015</t>
  </si>
  <si>
    <t>11.3.8</t>
  </si>
  <si>
    <t>11.3.9</t>
  </si>
  <si>
    <t>Т-образный крепежный элемент (костыль)</t>
  </si>
  <si>
    <t>11.3.10</t>
  </si>
  <si>
    <t>Телескопический крепежный элемент Технониоль 200мм</t>
  </si>
  <si>
    <t>11.3.11</t>
  </si>
  <si>
    <t>Отлив из оцинкованной стали шир. 200мм</t>
  </si>
  <si>
    <t>мп</t>
  </si>
  <si>
    <t>11.3.12</t>
  </si>
  <si>
    <t>Профиль из оцинкованной стали 100мм</t>
  </si>
  <si>
    <t>11.3.13</t>
  </si>
  <si>
    <t>Герметик для кровельных работ</t>
  </si>
  <si>
    <t>11.3.14</t>
  </si>
  <si>
    <t>11.4</t>
  </si>
  <si>
    <t>Покрытие над холодными балконами</t>
  </si>
  <si>
    <t>11.4.1</t>
  </si>
  <si>
    <t>11.4.2</t>
  </si>
  <si>
    <t>Ц/п стяжка М150</t>
  </si>
  <si>
    <t>11.4.3</t>
  </si>
  <si>
    <t>Гидроизоляция Техноэласт ФИКС (Г4) СТО 72746455-3.1.11-2015 в 2 слоя</t>
  </si>
  <si>
    <t>11.4.4</t>
  </si>
  <si>
    <t>11.4.5</t>
  </si>
  <si>
    <t>11.4.6</t>
  </si>
  <si>
    <t>Герметик для кровелтных работ</t>
  </si>
  <si>
    <t>11.4.7</t>
  </si>
  <si>
    <t>Экструзионный пенополистирол Технониколь Carbon prof 300rf xps СТО 72746455-3.3.1-2012 плотн = 28-35 кг/м3</t>
  </si>
  <si>
    <t>11.4.8</t>
  </si>
  <si>
    <t>11.5</t>
  </si>
  <si>
    <t xml:space="preserve"> Кровля над техническим помещения профлист</t>
  </si>
  <si>
    <t>11.5.1</t>
  </si>
  <si>
    <t xml:space="preserve">Профлист </t>
  </si>
  <si>
    <t>11.5.2</t>
  </si>
  <si>
    <t>11.5.3</t>
  </si>
  <si>
    <t>11.5.4</t>
  </si>
  <si>
    <t>11.5.5</t>
  </si>
  <si>
    <t>Уклонообразующие плиты ИЗОЛ КЗ 110 ТУ5762-002-84277528-2008 плотн. 130-150 кг/м3 толщ 50мм (или аналог)</t>
  </si>
  <si>
    <t>11.5.6</t>
  </si>
  <si>
    <t>11.5.7</t>
  </si>
  <si>
    <t>11.5.8</t>
  </si>
  <si>
    <t>11.5.9</t>
  </si>
  <si>
    <t>11.6</t>
  </si>
  <si>
    <t>Примыкания над техническим помещениями</t>
  </si>
  <si>
    <t>11.6.1</t>
  </si>
  <si>
    <t>11.6.2</t>
  </si>
  <si>
    <t>11.6.3</t>
  </si>
  <si>
    <t>Фасонный элемент парапета шир. Развертки 1150мм</t>
  </si>
  <si>
    <t>11.6.4</t>
  </si>
  <si>
    <t>11.6.5</t>
  </si>
  <si>
    <t>11.7</t>
  </si>
  <si>
    <t>Примыкания к техническому помещению</t>
  </si>
  <si>
    <t>11.7.1</t>
  </si>
  <si>
    <t>11.7.2</t>
  </si>
  <si>
    <t>11.7.3</t>
  </si>
  <si>
    <t>11.7.4</t>
  </si>
  <si>
    <t>11.7.5</t>
  </si>
  <si>
    <t>Экструзионный пенополистирол Технониколь Carbon prof 300rf xps СТО 72746455-3.3.1-2012 плотн = 28-35 кг/м3 150мм</t>
  </si>
  <si>
    <t>11.8</t>
  </si>
  <si>
    <t>Примыкания  к оборудованию ОВ</t>
  </si>
  <si>
    <t>11.8.1</t>
  </si>
  <si>
    <t>11.8.2</t>
  </si>
  <si>
    <t>11.8.3</t>
  </si>
  <si>
    <t>11.8.4</t>
  </si>
  <si>
    <t>11.8.5</t>
  </si>
  <si>
    <t>11.8.6</t>
  </si>
  <si>
    <t>Обжимной хомут из оцинкованной стали 0,7мм (прижимная планка) ГОСТ 14918-80</t>
  </si>
  <si>
    <t>11.8.7</t>
  </si>
  <si>
    <t>Кирпичная кладка под оборудование ОВ на кровле</t>
  </si>
  <si>
    <t>11.8.8</t>
  </si>
  <si>
    <t>11.8.9</t>
  </si>
  <si>
    <t>11.10</t>
  </si>
  <si>
    <t>Расходники (дюбеля, саморезы, электроды и т.д)</t>
  </si>
  <si>
    <t>11.11</t>
  </si>
  <si>
    <t>Пешеходная дорожка тротуарная плитка на ц/п растворе</t>
  </si>
  <si>
    <t>11.11.1</t>
  </si>
  <si>
    <t>11.11.2</t>
  </si>
  <si>
    <t>Плитка тротуарная 300х300х30</t>
  </si>
  <si>
    <t>11.12</t>
  </si>
  <si>
    <t>Металлическое ограждение кровли</t>
  </si>
  <si>
    <t>11.12.1</t>
  </si>
  <si>
    <t>11.12.2</t>
  </si>
  <si>
    <t>Профиль 50х50х3</t>
  </si>
  <si>
    <t>11.12.3</t>
  </si>
  <si>
    <t>Уголок 40х40х4</t>
  </si>
  <si>
    <t>11.12.4</t>
  </si>
  <si>
    <t>Арматура 16 А240</t>
  </si>
  <si>
    <t>11.12.5</t>
  </si>
  <si>
    <t>Грунтовка ГФ-021 за один раз</t>
  </si>
  <si>
    <t>11.12.6</t>
  </si>
  <si>
    <t>11.12.7</t>
  </si>
  <si>
    <t>11.13</t>
  </si>
  <si>
    <t>Секционное металличtское ограждение на кровле h=1,8м</t>
  </si>
  <si>
    <t>11.13.1</t>
  </si>
  <si>
    <t>11.13.2</t>
  </si>
  <si>
    <t>11.13.3</t>
  </si>
  <si>
    <t>11.14</t>
  </si>
  <si>
    <t>Лестница выхода на кровлю</t>
  </si>
  <si>
    <t>11.14.1</t>
  </si>
  <si>
    <t>Швеллер 16П</t>
  </si>
  <si>
    <t>Уголок 50х5</t>
  </si>
  <si>
    <t>Уголок 25х3</t>
  </si>
  <si>
    <t>Лист 4мм</t>
  </si>
  <si>
    <t>Лист 6мм</t>
  </si>
  <si>
    <t>Анкер-шпилька HST3 М12х145</t>
  </si>
  <si>
    <t>11.14.2</t>
  </si>
  <si>
    <t>11.14.3</t>
  </si>
  <si>
    <t>11.14.4</t>
  </si>
  <si>
    <t>11.15</t>
  </si>
  <si>
    <t>Пожарные лестницы ПЛ1, ПЛ2</t>
  </si>
  <si>
    <t>11.15.1</t>
  </si>
  <si>
    <t>Уголок 63х5</t>
  </si>
  <si>
    <t>Арматура 20 А240</t>
  </si>
  <si>
    <t>Пластина 6х150х150</t>
  </si>
  <si>
    <t>Профиль 80х4</t>
  </si>
  <si>
    <t>11.15.2</t>
  </si>
  <si>
    <t>Анкер-шпилька HST3 М12х130</t>
  </si>
  <si>
    <t>11.15.3</t>
  </si>
  <si>
    <t>Анкер для газобетона Hilti HPD M10</t>
  </si>
  <si>
    <t>11.15.4</t>
  </si>
  <si>
    <t>11.15.5</t>
  </si>
  <si>
    <t>11.16</t>
  </si>
  <si>
    <t xml:space="preserve">Рама под оборудование </t>
  </si>
  <si>
    <t>11.16.1</t>
  </si>
  <si>
    <t>Пластина 10х220х220</t>
  </si>
  <si>
    <t>Пластина 10х120х120</t>
  </si>
  <si>
    <t>Труба проф. 100х4</t>
  </si>
  <si>
    <t>11.16.2</t>
  </si>
  <si>
    <t>11.16.3</t>
  </si>
  <si>
    <t>11.16.4</t>
  </si>
  <si>
    <t>11.17</t>
  </si>
  <si>
    <t>Покрытие вентшахт ВШ1, ВШ2, ВШ3</t>
  </si>
  <si>
    <t>11.17.1</t>
  </si>
  <si>
    <t>Профиль 60х4</t>
  </si>
  <si>
    <t>Профиль 50х25х3</t>
  </si>
  <si>
    <t>Профиль 40х3</t>
  </si>
  <si>
    <t>Пластина 8х120х585</t>
  </si>
  <si>
    <t>11.17.2</t>
  </si>
  <si>
    <t>Анкер-шпилька Hilti HIT-V-R М12х220</t>
  </si>
  <si>
    <t>11.17.3</t>
  </si>
  <si>
    <t>Анкер-шпилька Hilti HIT-V-R М12х280</t>
  </si>
  <si>
    <t>11.17.4</t>
  </si>
  <si>
    <t>Профнастил С21-1000-0,7</t>
  </si>
  <si>
    <t>11.17.5</t>
  </si>
  <si>
    <t>11.17.6</t>
  </si>
  <si>
    <t>11.18</t>
  </si>
  <si>
    <t>Водосточные воронки</t>
  </si>
  <si>
    <t>11.18.1</t>
  </si>
  <si>
    <t>Цементно-песчаная стяжка, армированная сеткой из проволоки ВР-1 100х100х4 - 50-80 мм</t>
  </si>
  <si>
    <t>11.18.2</t>
  </si>
  <si>
    <t>11.18.3</t>
  </si>
  <si>
    <t>Пена монтажная</t>
  </si>
  <si>
    <t>11.18.4</t>
  </si>
  <si>
    <t>12.1</t>
  </si>
  <si>
    <t>Навес над приямком в осях 1/А-Б - 1шт, 12/П-Р - 1шт</t>
  </si>
  <si>
    <t>12.1.1</t>
  </si>
  <si>
    <t>Профиль 30х2,5</t>
  </si>
  <si>
    <t>12.1.2</t>
  </si>
  <si>
    <t>12.1.3</t>
  </si>
  <si>
    <t>12.1.4</t>
  </si>
  <si>
    <t>Моноллитный поликартонат 5 мм Бронза С502УФ</t>
  </si>
  <si>
    <t>12.1.5</t>
  </si>
  <si>
    <t>Анкер-шпилька Hilti HSА М10х133</t>
  </si>
  <si>
    <t>12.1.6</t>
  </si>
  <si>
    <t>Петля Ø10</t>
  </si>
  <si>
    <t>12.1.7</t>
  </si>
  <si>
    <t>12.1.8</t>
  </si>
  <si>
    <t>12.2</t>
  </si>
  <si>
    <t>Навес над входом в подвал в осях 1/Р-Н - 1шт, 12/А-Д - 1шт</t>
  </si>
  <si>
    <t>12.2.1</t>
  </si>
  <si>
    <t>12.2.2</t>
  </si>
  <si>
    <t>Профиль 80х60х3</t>
  </si>
  <si>
    <t>Профиль 60х3</t>
  </si>
  <si>
    <t>Профиль 40х5</t>
  </si>
  <si>
    <t>Пластина 8х180х160</t>
  </si>
  <si>
    <t>Пластина 8х110х160</t>
  </si>
  <si>
    <t>Пластина 4х100х80</t>
  </si>
  <si>
    <t>12.2.3</t>
  </si>
  <si>
    <t>12.2.4</t>
  </si>
  <si>
    <t>12.2.5</t>
  </si>
  <si>
    <t>12.2.6</t>
  </si>
  <si>
    <t>12.2.7</t>
  </si>
  <si>
    <t>12.2.8</t>
  </si>
  <si>
    <t>12.2.9</t>
  </si>
  <si>
    <t>12.3</t>
  </si>
  <si>
    <t>Устройство входных групп в осях 1/Ж-Л</t>
  </si>
  <si>
    <t>12.3.1</t>
  </si>
  <si>
    <t>Двутавр 14Б1</t>
  </si>
  <si>
    <t>12.3.2</t>
  </si>
  <si>
    <t>12.3.3</t>
  </si>
  <si>
    <t>Профиль 120х5</t>
  </si>
  <si>
    <t>12.3.4</t>
  </si>
  <si>
    <t>Профиль 40х20х2,5</t>
  </si>
  <si>
    <t>12.3.5</t>
  </si>
  <si>
    <t>12.3.6</t>
  </si>
  <si>
    <t>Листовая сталь 10мм</t>
  </si>
  <si>
    <t>12.3.7</t>
  </si>
  <si>
    <t>Анкер-шпилька HST3 M12х145</t>
  </si>
  <si>
    <t>12.3.8</t>
  </si>
  <si>
    <t>Анкер-шпилька Hilti HIT-V-R M12х220</t>
  </si>
  <si>
    <t>12.3.9</t>
  </si>
  <si>
    <t>Профнастил Н75-750-0,7</t>
  </si>
  <si>
    <t>12.3.10</t>
  </si>
  <si>
    <t>12.3.11</t>
  </si>
  <si>
    <t>Водосточный желоб d100 - 3м</t>
  </si>
  <si>
    <t>12.3.12</t>
  </si>
  <si>
    <t>Водосточная труба d90 - 3м</t>
  </si>
  <si>
    <t>12.3.13</t>
  </si>
  <si>
    <t>Держатель желоба</t>
  </si>
  <si>
    <t>12.3.14</t>
  </si>
  <si>
    <t>Соединительный элемент желоба</t>
  </si>
  <si>
    <t>12.3.15</t>
  </si>
  <si>
    <t>Держатель трубы</t>
  </si>
  <si>
    <t>12.3.16</t>
  </si>
  <si>
    <t>Заглушка желоба</t>
  </si>
  <si>
    <t>12.3.17</t>
  </si>
  <si>
    <t>Патрубок (Водосточная воронка)</t>
  </si>
  <si>
    <t>12.3.18</t>
  </si>
  <si>
    <t>Угловое колено</t>
  </si>
  <si>
    <t>12.3.19</t>
  </si>
  <si>
    <t>Сливное колено</t>
  </si>
  <si>
    <t>12.3.20</t>
  </si>
  <si>
    <t>12.3.21</t>
  </si>
  <si>
    <t>12.4</t>
  </si>
  <si>
    <t>Устройство входных групп в осях 1/М-Н</t>
  </si>
  <si>
    <t>12.4.1</t>
  </si>
  <si>
    <t>12.4.2</t>
  </si>
  <si>
    <t>12.4.3</t>
  </si>
  <si>
    <t>12.4.4</t>
  </si>
  <si>
    <t>12.4.5</t>
  </si>
  <si>
    <t>12.4.6</t>
  </si>
  <si>
    <t>12.4.7</t>
  </si>
  <si>
    <t>12.4.8</t>
  </si>
  <si>
    <t>12.4.9</t>
  </si>
  <si>
    <t>12.4.10</t>
  </si>
  <si>
    <t>12.4.11</t>
  </si>
  <si>
    <t>12.4.12</t>
  </si>
  <si>
    <t>12.4.13</t>
  </si>
  <si>
    <t>12.4.14</t>
  </si>
  <si>
    <t>12.4.15</t>
  </si>
  <si>
    <t>12.5</t>
  </si>
  <si>
    <t>Устройство входных групп в осях А/2-11</t>
  </si>
  <si>
    <t>12.5.1</t>
  </si>
  <si>
    <t>12.5.2</t>
  </si>
  <si>
    <t>12.5.3</t>
  </si>
  <si>
    <t>Листовая сталь 5мм</t>
  </si>
  <si>
    <t>12.5.4</t>
  </si>
  <si>
    <t>12.5.5</t>
  </si>
  <si>
    <t>12.5.6</t>
  </si>
  <si>
    <t>12.5.7</t>
  </si>
  <si>
    <t>12.5.8</t>
  </si>
  <si>
    <t>12.5.9</t>
  </si>
  <si>
    <t>12.5.10</t>
  </si>
  <si>
    <t>12.5.11</t>
  </si>
  <si>
    <t>12.5.12</t>
  </si>
  <si>
    <t>12.5.13</t>
  </si>
  <si>
    <t>12.5.14</t>
  </si>
  <si>
    <t>12.5.15</t>
  </si>
  <si>
    <t>12.6</t>
  </si>
  <si>
    <t>Устройство входных групп в осях 1/В-Д</t>
  </si>
  <si>
    <t>12.6.1</t>
  </si>
  <si>
    <t>12.6.2</t>
  </si>
  <si>
    <t>12.6.3</t>
  </si>
  <si>
    <t>12.6.4</t>
  </si>
  <si>
    <t>12.6.5</t>
  </si>
  <si>
    <t>Водосточный желоб d100 - 4м</t>
  </si>
  <si>
    <t>12.6.6</t>
  </si>
  <si>
    <t>12.6.7</t>
  </si>
  <si>
    <t>12.6.8</t>
  </si>
  <si>
    <t>12.6.9</t>
  </si>
  <si>
    <t>12.6.10</t>
  </si>
  <si>
    <t>12.6.11</t>
  </si>
  <si>
    <t>12.6.12</t>
  </si>
  <si>
    <t>12.6.13</t>
  </si>
  <si>
    <t>12.6.14</t>
  </si>
  <si>
    <t>12.7</t>
  </si>
  <si>
    <t>Устройство входных групп в осях 12/Д-Н</t>
  </si>
  <si>
    <t>12.7.1</t>
  </si>
  <si>
    <t>12.7.2</t>
  </si>
  <si>
    <t>12.7.3</t>
  </si>
  <si>
    <t>Швеллер 10П</t>
  </si>
  <si>
    <t>12.7.4</t>
  </si>
  <si>
    <t>12.7.5</t>
  </si>
  <si>
    <t>12.7.6</t>
  </si>
  <si>
    <t>12.7.7</t>
  </si>
  <si>
    <t>12.7.8</t>
  </si>
  <si>
    <t>12.7.9</t>
  </si>
  <si>
    <t>12.7.10</t>
  </si>
  <si>
    <t>12.7.11</t>
  </si>
  <si>
    <t>12.7.12</t>
  </si>
  <si>
    <t>12.7.13</t>
  </si>
  <si>
    <t>12.7.14</t>
  </si>
  <si>
    <t>12.7.15</t>
  </si>
  <si>
    <t>12.7.16</t>
  </si>
  <si>
    <t>12.7.17</t>
  </si>
  <si>
    <t>12.7.18</t>
  </si>
  <si>
    <t>12.7.19</t>
  </si>
  <si>
    <t>12.7.20</t>
  </si>
  <si>
    <t>12.7.21</t>
  </si>
  <si>
    <t>12.8</t>
  </si>
  <si>
    <t>12.8.1</t>
  </si>
  <si>
    <t>12.8.2</t>
  </si>
  <si>
    <t>12.9</t>
  </si>
  <si>
    <t>Устройство напольного покрытия из керамогранита противоскользящего в осях Ж-Л/1, Ж-Л/12</t>
  </si>
  <si>
    <t>12.9.1</t>
  </si>
  <si>
    <t>Керамогранит 60х60 UF003MR</t>
  </si>
  <si>
    <t xml:space="preserve">Клей плиточный  "ЕК 3000" </t>
  </si>
  <si>
    <t>Затирка для плитки</t>
  </si>
  <si>
    <t>Устройство цементно-песчаной стяжки М200, армированная сеткой из проволоки ВР-1 100х100х4 - 60-86мм</t>
  </si>
  <si>
    <t>12.10</t>
  </si>
  <si>
    <t>Устройство напольного покрытия из керамогранита противоскользящего 4-6/Р</t>
  </si>
  <si>
    <t>12.10.1</t>
  </si>
  <si>
    <t>12.10.2</t>
  </si>
  <si>
    <t>12.10.3</t>
  </si>
  <si>
    <t>12.11</t>
  </si>
  <si>
    <t>Облицовка пандуса хоз.помещения в осях Р/5-8</t>
  </si>
  <si>
    <t>12.11.1</t>
  </si>
  <si>
    <t>12.11.2</t>
  </si>
  <si>
    <t>12.11.3</t>
  </si>
  <si>
    <t>13.1</t>
  </si>
  <si>
    <t>13.3</t>
  </si>
  <si>
    <t>13.7</t>
  </si>
  <si>
    <t>Облицовка керамической плиткой стен</t>
  </si>
  <si>
    <t>13.7.1</t>
  </si>
  <si>
    <t>Клей плиточный "ЕК 3000"</t>
  </si>
  <si>
    <t>13.7.2</t>
  </si>
  <si>
    <t xml:space="preserve"> Керамогранит 30х30 LF 00</t>
  </si>
  <si>
    <t>13.8</t>
  </si>
  <si>
    <t>Утепление стен хоз.помещения, тамбуров на 1 этаже</t>
  </si>
  <si>
    <t>13.8.1</t>
  </si>
  <si>
    <t>Теплоизоляция  IZOVER Фасад 50</t>
  </si>
  <si>
    <t>13.8.2</t>
  </si>
  <si>
    <t>Теплоизоляция  IZOVER Фасад 90</t>
  </si>
  <si>
    <t>Bagirus DT 10x260</t>
  </si>
  <si>
    <t>13.13</t>
  </si>
  <si>
    <t>Устройство ГВЛ по металлическому каркасу (стен)</t>
  </si>
  <si>
    <t>13.13.1</t>
  </si>
  <si>
    <t>лист ГВЛ 12,5мм</t>
  </si>
  <si>
    <t>13.13.2</t>
  </si>
  <si>
    <t>профиль ПП 60×27</t>
  </si>
  <si>
    <t>профиль ПН 28×27</t>
  </si>
  <si>
    <t>Подвес прямой 60×27</t>
  </si>
  <si>
    <t>Дюбель-гвоздь 6×60</t>
  </si>
  <si>
    <t>Шуруп</t>
  </si>
  <si>
    <t>13.9</t>
  </si>
  <si>
    <t>13.9.1</t>
  </si>
  <si>
    <t>гипсовая штукатурная смесь  Волма Гипс Актив (на толщ 1,5 см)</t>
  </si>
  <si>
    <t>13.9.2</t>
  </si>
  <si>
    <t>Грутовка глубокого проникновения  Церезит СТ 16</t>
  </si>
  <si>
    <t>13.10</t>
  </si>
  <si>
    <t>13.10.1</t>
  </si>
  <si>
    <t>гипсовая штукатурная смесь Волма Гипс Актив (на толщ 2 см)</t>
  </si>
  <si>
    <t>13.10.2</t>
  </si>
  <si>
    <t>Штукатурная сетка Алабуга</t>
  </si>
  <si>
    <t>13.10.3</t>
  </si>
  <si>
    <t>13.11</t>
  </si>
  <si>
    <t>13.11.1</t>
  </si>
  <si>
    <t xml:space="preserve">Шпатлевка гипсовая Bergauf </t>
  </si>
  <si>
    <t>13.11.2</t>
  </si>
  <si>
    <t>Грутовка глубокого проникновения Церезит  СТ 16</t>
  </si>
  <si>
    <t>13.12</t>
  </si>
  <si>
    <t>Окраска за 2 раза</t>
  </si>
  <si>
    <t>13.12.1</t>
  </si>
  <si>
    <t xml:space="preserve">Краска в/д интерьерная класс универсал. Цвет определяется заказчиком перед покраской. </t>
  </si>
  <si>
    <t>13.12.2</t>
  </si>
  <si>
    <t>13.14</t>
  </si>
  <si>
    <t>13.14.1</t>
  </si>
  <si>
    <t>13.14.2</t>
  </si>
  <si>
    <t>Теплоизоляция  IZOVER Фасад 120</t>
  </si>
  <si>
    <t>13.2</t>
  </si>
  <si>
    <t>13.17</t>
  </si>
  <si>
    <t>Подвесной потолок (МОП)</t>
  </si>
  <si>
    <t>13.17.1</t>
  </si>
  <si>
    <t>Плита AMF 600х600</t>
  </si>
  <si>
    <t>13.17.2</t>
  </si>
  <si>
    <t>Профиль для подвесного потолка 0,6м</t>
  </si>
  <si>
    <t>Профиль для подвесного потолка 1,2м</t>
  </si>
  <si>
    <t>Профиль для подвесного потолка 3,6м</t>
  </si>
  <si>
    <t>Уголок периметральный 24х19мм (3м)</t>
  </si>
  <si>
    <t>Подвес к подвесному потолку Альфа 0,55м</t>
  </si>
  <si>
    <t>СВФС анкер-клин 6х40 (100 шт)</t>
  </si>
  <si>
    <t>Тех креп дюбель гвоздь 6х40мм (2000 шт)</t>
  </si>
  <si>
    <t>13.18</t>
  </si>
  <si>
    <t>13.18.1</t>
  </si>
  <si>
    <t>13.18.2</t>
  </si>
  <si>
    <t>Соединитель одноуровневый</t>
  </si>
  <si>
    <t>13.19</t>
  </si>
  <si>
    <t>Шпатлевка гипсовая Bergauf (18кг)</t>
  </si>
  <si>
    <t>13.20</t>
  </si>
  <si>
    <t>13.20.1</t>
  </si>
  <si>
    <t xml:space="preserve">Краска в/д интерьерная Лакра. Цвет определяется заказчиком перед покраской. </t>
  </si>
  <si>
    <t>13.21</t>
  </si>
  <si>
    <t>Устройство подшивки под перекрытием из звукоизоляционных плит в помещении подвала</t>
  </si>
  <si>
    <t>13.21.1</t>
  </si>
  <si>
    <t>Звукоизоляционные плиты ТЕХНОФЛОР СТАНДАРТ 1200х600х40мм</t>
  </si>
  <si>
    <t>Дюбель изоляционный с гвоздем 10х110мм полипропилен</t>
  </si>
  <si>
    <t>Стеклоткань</t>
  </si>
  <si>
    <t>13.22</t>
  </si>
  <si>
    <t>Утепление перекрытия за подвесным потолком на отм. +2.740</t>
  </si>
  <si>
    <t>13.22.1</t>
  </si>
  <si>
    <t>Утеплитель Изовер 150 мм</t>
  </si>
  <si>
    <t>13.23</t>
  </si>
  <si>
    <t>13.23.1</t>
  </si>
  <si>
    <t>13.24</t>
  </si>
  <si>
    <t>13.3.1</t>
  </si>
  <si>
    <t>Устройство самовыравнивающейся стяжки 10мм</t>
  </si>
  <si>
    <t>13.3.2</t>
  </si>
  <si>
    <t>Устройство цементно-песчаной стяжки М200, армированная сеткой из проволоки ВР-1 100х100х4 - 50мм</t>
  </si>
  <si>
    <t>13.26.1</t>
  </si>
  <si>
    <t>13.26.2</t>
  </si>
  <si>
    <t>Сетка из проволоки ВР-1 100*100*4</t>
  </si>
  <si>
    <t>Устройство цементно-песчаной стяжки М200, армированная сеткой из проволоки ВР-1 100х100х4 - 40мм</t>
  </si>
  <si>
    <t>13.27.1</t>
  </si>
  <si>
    <t>13.27.2</t>
  </si>
  <si>
    <t>Устройство цементно-песчаной стяжки М200, армированная сеткой из проволоки ВР-1 100х100х4 - 60-86мм по уклону</t>
  </si>
  <si>
    <t>13.28.1</t>
  </si>
  <si>
    <t>13.28.2</t>
  </si>
  <si>
    <t>Устройство цементно-песчаной стяжки М200, армированная сеткой из проволоки ВР-1 100х100х4 - 70мм</t>
  </si>
  <si>
    <t>13.29.1</t>
  </si>
  <si>
    <t>13.29.2</t>
  </si>
  <si>
    <t>Устройство цементно-песчаной стяжки М200 -  40мм</t>
  </si>
  <si>
    <t>13.30.1</t>
  </si>
  <si>
    <t>Устройство цементно-песчаной стяжки М200 -  30-20мм по уклону</t>
  </si>
  <si>
    <t>13.31.1</t>
  </si>
  <si>
    <t>13.32.1</t>
  </si>
  <si>
    <t>Устройство обмазочной гидроизоляции в 2 слоя по битумному праймеру – 3мм</t>
  </si>
  <si>
    <t>13.33.1</t>
  </si>
  <si>
    <t>Праймер битумный(1л=0,8 кг)</t>
  </si>
  <si>
    <t>13.33.2</t>
  </si>
  <si>
    <t>битумная мастика технониколь</t>
  </si>
  <si>
    <t>Устройство пароизоляции полов</t>
  </si>
  <si>
    <t>Устройсво оклеечной гидроизоляции в 2 слоя</t>
  </si>
  <si>
    <t>Биполь ЭПП</t>
  </si>
  <si>
    <t>Утепление полов (по полу первого этажа и чердаку )</t>
  </si>
  <si>
    <t>утеплитель ЭППС 28-35кг/м3 -0,032Вт (м*К)-50мм</t>
  </si>
  <si>
    <t>утеплитель ПСБ-С-35 толщ 20мм</t>
  </si>
  <si>
    <t xml:space="preserve">Устройство напольного покрытия из керамогранита противоскользящего </t>
  </si>
  <si>
    <t>Керамогранит 30х30 ST01</t>
  </si>
  <si>
    <t>Керамогранит 30х30 СT301R</t>
  </si>
  <si>
    <t>Клей плиточный  "ЕК 3000" для 30х30</t>
  </si>
  <si>
    <t>Затирка для плитки Ceresit CE33</t>
  </si>
  <si>
    <t>Устройство сапожка из керамогранита h=100мм</t>
  </si>
  <si>
    <t xml:space="preserve">Устройство подсыпки из керамзитового гравия фр.10-20 - 300мм </t>
  </si>
  <si>
    <t>Керамзитовый графий фр. 10-20мм</t>
  </si>
  <si>
    <t>Установка почтовых ящиков</t>
  </si>
  <si>
    <t>Ящик почтовый 9-секционный серия Базис Плюс</t>
  </si>
  <si>
    <t>Нумерация</t>
  </si>
  <si>
    <t>14.1</t>
  </si>
  <si>
    <t>Обеспылевание лифтовой шахты</t>
  </si>
  <si>
    <t>14.1.1</t>
  </si>
  <si>
    <t xml:space="preserve">грунтовка глубокого проникновения </t>
  </si>
  <si>
    <t>14.2</t>
  </si>
  <si>
    <t>Окраска лифтовых приямков</t>
  </si>
  <si>
    <t>14.2.1</t>
  </si>
  <si>
    <t xml:space="preserve">Эмаль для бетонных полов </t>
  </si>
  <si>
    <t>14.3</t>
  </si>
  <si>
    <t>Лифт №1 пассажирский OTIS 2000R 1000 кг, 1,6 м/с, 24 ост, 69,58 метра Шахта 2680х1730, Нв.э.=4780, приямок=1600 Кабина 2100х1100х2200 двери – 1200х2000 ЕI-60 Режим ППП</t>
  </si>
  <si>
    <t>14.4</t>
  </si>
  <si>
    <t xml:space="preserve">Лифт №2 и №3 
пассажирский OTIS 2000R
1000 кг, 1,6 м/с, 24 ост, 69,58 метра
Шахта 2280х2180, Нв.э.=4780, приямок=1700
Кабина 1600х1400х2200
двери – 900х2000 ЕI-60 </t>
  </si>
  <si>
    <t>14.5</t>
  </si>
  <si>
    <t>Устройство временных настилов</t>
  </si>
  <si>
    <t>14.5.1</t>
  </si>
  <si>
    <t>Брус 150х50 L=3720</t>
  </si>
  <si>
    <t>Доска 50х100 L=2480</t>
  </si>
  <si>
    <t>Брус 150х50 L=5820</t>
  </si>
  <si>
    <t>Доска 50х100 L=2080</t>
  </si>
  <si>
    <t>15.1</t>
  </si>
  <si>
    <t>15.1.1</t>
  </si>
  <si>
    <t>Труба стальная электросварная Ø108х4,0</t>
  </si>
  <si>
    <t>15.1.2</t>
  </si>
  <si>
    <t>Труба стальная электросварная Ø89х4,0</t>
  </si>
  <si>
    <t>15.1.3</t>
  </si>
  <si>
    <t>Труба стальная электросварная Ø76х3,5</t>
  </si>
  <si>
    <t>15.1.4</t>
  </si>
  <si>
    <t>Труба стальная электросварная Ø57х3,5</t>
  </si>
  <si>
    <t>15.1.5</t>
  </si>
  <si>
    <t>Труба стальная водогазопроводная Ø40х3,5</t>
  </si>
  <si>
    <t>15.1.6</t>
  </si>
  <si>
    <t>Труба стальная водогазопроводная Ø32х3,2</t>
  </si>
  <si>
    <t>Труба стальная водогазопроводная Ø25х3,2</t>
  </si>
  <si>
    <t>Труба стальная водогазопроводная Ø20х2,8</t>
  </si>
  <si>
    <t>Труба стальная водогазопроводная Ø15х2,8</t>
  </si>
  <si>
    <t>Отвод 90 град 108</t>
  </si>
  <si>
    <t>Отвод 45 град 108</t>
  </si>
  <si>
    <t>Отвод 90 град 89</t>
  </si>
  <si>
    <t>Отвод 45 град 89</t>
  </si>
  <si>
    <t>Отвод 90 град 76</t>
  </si>
  <si>
    <t>Отвод 90 град 57</t>
  </si>
  <si>
    <t>Отвод 90 град 40</t>
  </si>
  <si>
    <t>Отвод 90 град 32</t>
  </si>
  <si>
    <t>Отвод 90 град 25</t>
  </si>
  <si>
    <t>Переход 108х89</t>
  </si>
  <si>
    <t>Переход 89х76</t>
  </si>
  <si>
    <t>Переход 76х57</t>
  </si>
  <si>
    <t>Переход 57х40</t>
  </si>
  <si>
    <t>Переход 40х32</t>
  </si>
  <si>
    <t>Переход 32х25</t>
  </si>
  <si>
    <t>Переход 25х20</t>
  </si>
  <si>
    <t>Тройник 133/89/133</t>
  </si>
  <si>
    <t>Тройник 65/89/65</t>
  </si>
  <si>
    <t>Заглушка 40</t>
  </si>
  <si>
    <t>Заглушка 32</t>
  </si>
  <si>
    <t>Резьба стальная черная ду 25</t>
  </si>
  <si>
    <t>Резьба стальная черная ду 20</t>
  </si>
  <si>
    <t>Резьба стальная черная ду 15</t>
  </si>
  <si>
    <t>Соединитель с накидной гайкой Valtec VTr.613.N.0504 Ду 20 ВР х15НР</t>
  </si>
  <si>
    <t>Соединитель с накидной гайкой Valtec VTr.613.N.0605 Ду 25 ВР х20НР</t>
  </si>
  <si>
    <t>Хомут стальной для монтажа трубопроводов ф 108</t>
  </si>
  <si>
    <t>Хомут стальной для монтажа трубопроводов ф 89</t>
  </si>
  <si>
    <t>Хомут стальной для монтажа трубопроводов ф 76</t>
  </si>
  <si>
    <t>Хомут стальной для монтажа трубопроводов ф 57</t>
  </si>
  <si>
    <t>Хомут стальной для монтажа трубопроводов ф 40</t>
  </si>
  <si>
    <t>Хомут стальной для монтажа трубопроводов ф 20</t>
  </si>
  <si>
    <t>Шпилька ф10 мм L = 1000 мм</t>
  </si>
  <si>
    <t>Шпилька ф8 мм L = 1000 мм</t>
  </si>
  <si>
    <t>Анкер забивной под М10</t>
  </si>
  <si>
    <t>Анкер забивной под М8</t>
  </si>
  <si>
    <t>Ацетилен технический</t>
  </si>
  <si>
    <t>т</t>
  </si>
  <si>
    <t>Кислород технический</t>
  </si>
  <si>
    <t>Проволока сварочная</t>
  </si>
  <si>
    <t>Электроды МР-3</t>
  </si>
  <si>
    <t>Лен сантехнический</t>
  </si>
  <si>
    <t>15.2</t>
  </si>
  <si>
    <t>Крепление трубопроводов</t>
  </si>
  <si>
    <t>15.2.1</t>
  </si>
  <si>
    <t>Изготовление и монтаж опоры неподвижной (главный стояк)</t>
  </si>
  <si>
    <t>Прокат толстолистовой из углеродистой стали 10 мм ГОСТ 14637-90</t>
  </si>
  <si>
    <t>Анкер Tech-Krep М10х90</t>
  </si>
  <si>
    <t>15.2.2</t>
  </si>
  <si>
    <t>Изготовление и монтаж опоры неподвижной стояки (Ø15…25)</t>
  </si>
  <si>
    <t>Прокат толстолистовой из углеродистой стали 6 мм ГОСТ 19903-2015</t>
  </si>
  <si>
    <t>15.2.3</t>
  </si>
  <si>
    <t>Изготовление,установка опорных стояк под магистраль подвал</t>
  </si>
  <si>
    <t>Шпилька 10 мм 1000 мм</t>
  </si>
  <si>
    <t>Шайба усиленная М10</t>
  </si>
  <si>
    <t>Гайка М10</t>
  </si>
  <si>
    <t>15.2.4</t>
  </si>
  <si>
    <t>Изготовление, установка опорных стояк под магистраль тех. этаж</t>
  </si>
  <si>
    <t>Труба стальная электросварная 57x3,5 ГОСТ 10704-91</t>
  </si>
  <si>
    <t>Труба стальная электросварная 76x3,5 ГОСТ 10704-91</t>
  </si>
  <si>
    <t>Пластина 8х250х250</t>
  </si>
  <si>
    <t>Косынка 8х60х120</t>
  </si>
  <si>
    <t xml:space="preserve">Анкер шпилька 10х80 </t>
  </si>
  <si>
    <t>15.3</t>
  </si>
  <si>
    <t>Установка сильфонных компенсаторов</t>
  </si>
  <si>
    <t>15.3.1</t>
  </si>
  <si>
    <t>АрмФлекс Компенсатор Ду 20 под приварку, осевой ход (-45/+5) мм</t>
  </si>
  <si>
    <t>15.3.2</t>
  </si>
  <si>
    <t>Хомут стальной 3/4"</t>
  </si>
  <si>
    <t>15.3.3</t>
  </si>
  <si>
    <t>АрмФлекс Компенсатор Ду 25 под приварку, осевой ход (-45/+5) мм</t>
  </si>
  <si>
    <t>15.3.4</t>
  </si>
  <si>
    <t>Хомут стальной 1"</t>
  </si>
  <si>
    <t>АрмФлекс Компенсатор Ду 100 под приварку, осевой ход (-35/+15) мм</t>
  </si>
  <si>
    <t>Хомут стальной 4"</t>
  </si>
  <si>
    <t>15.4</t>
  </si>
  <si>
    <t>Окраска трубопровода за 2 раза</t>
  </si>
  <si>
    <t>15.4.1</t>
  </si>
  <si>
    <t>Эмаль Эталон ПФ-115 светло-серая 20 кг (цена за 1кг)</t>
  </si>
  <si>
    <t>15.5</t>
  </si>
  <si>
    <t>Грунтовка трубопровода</t>
  </si>
  <si>
    <t>15.5.1</t>
  </si>
  <si>
    <t>ГРУНТОВКА ГФ-021 красно-коричневая</t>
  </si>
  <si>
    <t>15.6</t>
  </si>
  <si>
    <t>Теплоизоляция трубопровода цилиндрами</t>
  </si>
  <si>
    <t>15.6.1</t>
  </si>
  <si>
    <t>Pipewool 133/50 мм</t>
  </si>
  <si>
    <t>15.6.2</t>
  </si>
  <si>
    <t>Pipewool 89/40мм</t>
  </si>
  <si>
    <t>15.6.3</t>
  </si>
  <si>
    <t>Pipewool 76/40 мм</t>
  </si>
  <si>
    <t>15.6.4</t>
  </si>
  <si>
    <t>Pipewool 57/40 мм</t>
  </si>
  <si>
    <t>Pipewool 48/30 мм</t>
  </si>
  <si>
    <t>Pipewool 38/30мм</t>
  </si>
  <si>
    <t>Pipewool 32/30мм</t>
  </si>
  <si>
    <t>Pipewool 25/30 мм</t>
  </si>
  <si>
    <t>Pipewool 21/30 мм</t>
  </si>
  <si>
    <t>15.7</t>
  </si>
  <si>
    <t>Оборачивание изолированных трубопроводов стеклотканью</t>
  </si>
  <si>
    <t>15.7.1</t>
  </si>
  <si>
    <t>Cтеклоткань ЭЗ-200</t>
  </si>
  <si>
    <t>15.8</t>
  </si>
  <si>
    <t>Монтаж радиаторов</t>
  </si>
  <si>
    <t>15.8.1</t>
  </si>
  <si>
    <t>Радиатор панельный Royal Thermo COMPACT C11-300-2400 RAL9016</t>
  </si>
  <si>
    <t>15.8.2</t>
  </si>
  <si>
    <t>Радиатор панельный Royal Thermo COMPACT C11-450-400 RAL9016</t>
  </si>
  <si>
    <t>15.8.3</t>
  </si>
  <si>
    <t>Радиатор панельный Royal Thermo COMPACT C11-450-500 RAL9016</t>
  </si>
  <si>
    <t>15.8.4</t>
  </si>
  <si>
    <t>Радиатор панельный Royal Thermo COMPACT C11-450-600 RAL9016</t>
  </si>
  <si>
    <t>Радиатор панельный Royal Thermo COMPACT C11-450-700 RAL9016</t>
  </si>
  <si>
    <t>Радиатор панельный Royal Thermo COMPACT C11-450-800 RAL9016</t>
  </si>
  <si>
    <t>Радиатор панельный Royal Thermo COMPACT C11-450-900 RAL9016</t>
  </si>
  <si>
    <t>Радиатор панельный Royal Thermo COMPACT C11-450-1000 RAL9016</t>
  </si>
  <si>
    <t>Радиатор панельный Royal Thermo COMPACT C11-450-1100 RAL9016</t>
  </si>
  <si>
    <t>Радиатор панельный Royal Thermo COMPACT C11-450-1200 RAL9016</t>
  </si>
  <si>
    <t>Радиатор панельный Royal Thermo COMPACT C11-600-500 RAL9016</t>
  </si>
  <si>
    <t>Радиатор панельный Royal Thermo COMPACT C11-600-600 RAL9016</t>
  </si>
  <si>
    <t>Радиатор панельный Royal Thermo COMPACT C11-600-700 RAL9016</t>
  </si>
  <si>
    <t>Радиатор панельный Royal Thermo COMPACT C11-600-800 RAL9016</t>
  </si>
  <si>
    <t>Радиатор панельный Royal Thermo COMPACT C11-600-900 RAL9016</t>
  </si>
  <si>
    <t>Радиатор панельный Royal Thermo COMPACT C11-600-1000 RAL9016</t>
  </si>
  <si>
    <t>Радиатор панельный Royal Thermo COMPACT C11-600-1100 RAL9016</t>
  </si>
  <si>
    <t>Радиатор панельный Royal Thermo COMPACT C11-600-1200 RAL9016</t>
  </si>
  <si>
    <t>Радиатор панельный Royal Thermo COMPACT C21-300-1800 RAL9016</t>
  </si>
  <si>
    <t>Радиатор панельный Royal Thermo COMPACT C21-300-2000 RAL9016</t>
  </si>
  <si>
    <t>Радиатор панельный Royal Thermo COMPACT C21-300-2300 RAL9016</t>
  </si>
  <si>
    <t>Радиатор панельный Royal Thermo COMPACT C21-300-2600 RAL9016</t>
  </si>
  <si>
    <t>Радиатор панельный Royal Thermo COMPACT C21-450-800 RAL9016</t>
  </si>
  <si>
    <t>Радиатор панельный Royal Thermo COMPACT C21-450-900 RAL9016</t>
  </si>
  <si>
    <t>Радиатор панельный Royal Thermo COMPACT C21-450-1000 RAL9016</t>
  </si>
  <si>
    <t>Радиатор панельный Royal Thermo COMPACT C21-450-1100 RAL9016</t>
  </si>
  <si>
    <t>Радиатор панельный Royal Thermo COMPACT C21-600-500 RAL9016</t>
  </si>
  <si>
    <t>Радиатор панельный Royal Thermo COMPACT C21-600-600 RAL9016</t>
  </si>
  <si>
    <t>Радиатор панельный Royal Thermo COMPACT C21-600-700 RAL9016</t>
  </si>
  <si>
    <t>Радиатор панельный Royal Thermo COMPACT C21-600-800 RAL9016</t>
  </si>
  <si>
    <t>Радиатор панельный Royal Thermo COMPACT C21-600-900 RAL9016</t>
  </si>
  <si>
    <t>Радиатор панельный Royal Thermo COMPACT C21-600-1000 RAL9016</t>
  </si>
  <si>
    <t>Радиатор панельный Royal Thermo COMPACT C21-600-1100 RAL9016</t>
  </si>
  <si>
    <t>Радиатор панельный Royal Thermo COMPACT C21-600-2300 RAL9016</t>
  </si>
  <si>
    <t>Радиатор панельный Royal Thermo COMPACT C22-300-2100 RAL9016</t>
  </si>
  <si>
    <t>Радиатор панельный Royal Thermo COMPACT C22-300-2400 RAL9016</t>
  </si>
  <si>
    <t>Радиатор панельный Royal Thermo COMPACT C22-300-2600 RAL9016</t>
  </si>
  <si>
    <t>Радиатор панельный Royal Thermo COMPACT C22-450-900 RAL9016</t>
  </si>
  <si>
    <t>Радиатор панельный Royal Thermo COMPACT С22-450-900 RAL9016</t>
  </si>
  <si>
    <t>Радиатор панельный Royal Thermo COMPACT С22-450-1000 RAL9016</t>
  </si>
  <si>
    <t>Радиатор панельный Royal Thermo COMPACT С22-600-500 RAL9016</t>
  </si>
  <si>
    <t>Радиатор панельный Royal Thermo COMPACT С22-600-600 RAL9016</t>
  </si>
  <si>
    <t>Радиатор панельный Royal Thermo COMPACT С22-600-700 RAL9016</t>
  </si>
  <si>
    <t>Радиатор панельный Royal Thermo COMPACT С22-600-800 RAL9016</t>
  </si>
  <si>
    <t>Радиатор панельный Royal Thermo COMPACT С22-600-900 RAL9016</t>
  </si>
  <si>
    <t>Радиатор панельный Royal Thermo COMPACT С22-600-1000 RAL9016</t>
  </si>
  <si>
    <t>Радиатор панельный Royal Thermo COMPACT С22-600-1100 RAL9016</t>
  </si>
  <si>
    <t>Радиатор панельный Royal Thermo COMPACT C33-300-1900 RAL9016</t>
  </si>
  <si>
    <t>Радиатор панельный Royal Thermo COMPACT C33-300-2100 RAL9016</t>
  </si>
  <si>
    <t>Радиатор панельный Royal Thermo COMPACT C33-300-2400 RAL9016</t>
  </si>
  <si>
    <t>Радиатор панельный Royal Thermo COMPACT C33-300-2600 RAL9016</t>
  </si>
  <si>
    <t>Радиатор панельный Royal Thermo COMPACT C33-450-700 RAL9016</t>
  </si>
  <si>
    <t>Радиатор панельный Royal Thermo COMPACT C33-450-800 RAL9016</t>
  </si>
  <si>
    <t>Радиатор панельный Royal Thermo COMPACT C33-450-900 RAL9016</t>
  </si>
  <si>
    <t>Радиатор панельный Royal Thermo COMPACT С33-450-900 RAL9016</t>
  </si>
  <si>
    <t>Радиатор панельный Royal Thermo COMPACT С33-450-1100 RAL9016</t>
  </si>
  <si>
    <t>Радиатор панельный Royal Thermo COMPACT С33-450-1300 RAL9016</t>
  </si>
  <si>
    <t>Радиатор панельный Royal Thermo COMPACT С33-450-1700 RAL9016</t>
  </si>
  <si>
    <t>Радиатор панельный Royal Thermo COMPACTС33-600-500 RAL9016</t>
  </si>
  <si>
    <t>Радиатор панельный Royal Thermo COMPACT С33-600-600 RAL9016</t>
  </si>
  <si>
    <t>Радиатор панельный Royal Thermo COMPACT С33-600-700 RAL9016</t>
  </si>
  <si>
    <t>Кронштейн напольный RT К11.31 для радиаторов H300-900 с декоративной накладкой</t>
  </si>
  <si>
    <t>Анкер Tech-Krep WAM 8x95</t>
  </si>
  <si>
    <t>Дюбель Tech-KREP RD 10/60</t>
  </si>
  <si>
    <t>Valtec Переходник VTr.592.N.0504 3/4" х 1/2"</t>
  </si>
  <si>
    <t>Valtec Полусгон с накидной гайкой VTr.613.N.0504 3/4" x 1/2"</t>
  </si>
  <si>
    <t>Valtec Угольник ВР-НР VTr.092.N.0005 3/4"</t>
  </si>
  <si>
    <t>Муфта стальная 20мм</t>
  </si>
  <si>
    <t>Фитинг резьбовой - муфта соединительная VTr.270.N.0005 3/4"</t>
  </si>
  <si>
    <t>Отвод ст. 90 град Ø20мм</t>
  </si>
  <si>
    <t>Переход ст. 25х20мм</t>
  </si>
  <si>
    <t>15.9</t>
  </si>
  <si>
    <t>Изготовление и монтаж регистра 4х1500мм ф 108</t>
  </si>
  <si>
    <t>15.9.1</t>
  </si>
  <si>
    <t>15.9.2</t>
  </si>
  <si>
    <t>Заглушка  Ø108</t>
  </si>
  <si>
    <t>Заглушка  Ø57</t>
  </si>
  <si>
    <t>15.10</t>
  </si>
  <si>
    <t>Установка конвектора электрического</t>
  </si>
  <si>
    <t>15.10.1</t>
  </si>
  <si>
    <t>Установка конвектора электрического NOBO Nordic 4W05</t>
  </si>
  <si>
    <t>15.10.2</t>
  </si>
  <si>
    <t>Установка конвектора электрического NOBO Nordic 4W15</t>
  </si>
  <si>
    <t>15.11</t>
  </si>
  <si>
    <t>Монтаж запорной и регулирующей арматуры</t>
  </si>
  <si>
    <t>15.11.1</t>
  </si>
  <si>
    <t>Кран шаровой сталь фланцевый LD КШ.Ц.Ф. ду 65</t>
  </si>
  <si>
    <t>Прокладка паронитовая 65</t>
  </si>
  <si>
    <t>Фланцы стальные 65х16</t>
  </si>
  <si>
    <t>Кран шаровой с воздухоотводчиком и дренажем Valtec VT.245.N.06 25мм</t>
  </si>
  <si>
    <t>Американка ду 25</t>
  </si>
  <si>
    <t>Кран шаровой с воздухоотводчиком и дренажем Valtec VT.245.N.05 20мм</t>
  </si>
  <si>
    <t xml:space="preserve">Американка ду 20 </t>
  </si>
  <si>
    <t>Кран шаровый Valtec VT.245.N.04 1/2"</t>
  </si>
  <si>
    <t>Американка ду 15</t>
  </si>
  <si>
    <t>Кран шаровой Valtec VT.214.N.06 1"</t>
  </si>
  <si>
    <t>Кран шаровой Valtec VT.214.N.05 3/4"</t>
  </si>
  <si>
    <t>Американка ду 20</t>
  </si>
  <si>
    <t>Кран шаровой Valtec VT.214.N.04 1/2"</t>
  </si>
  <si>
    <t>Кран шаровой Valtec VT.051.N.04 1/2"</t>
  </si>
  <si>
    <t>Кран шаровой Valtec VT.227.N.05 3/4"</t>
  </si>
  <si>
    <t>Кран шаровой Valtec VT.227.N.04 1/2"</t>
  </si>
  <si>
    <t>Кран шаровый BVR-C ду 25</t>
  </si>
  <si>
    <t>Автоматический регулятор расхода DS ДУ20 SANEXT</t>
  </si>
  <si>
    <t>Фиттинг приварной  20 (код 003Z0227)</t>
  </si>
  <si>
    <t>Автоматический регулятор расхода DS ДУ15 SANEXT</t>
  </si>
  <si>
    <t>Фиттинг приварной  15 (код 003Z0226)</t>
  </si>
  <si>
    <t xml:space="preserve">Автоматический воздухоотводчик  Valtec VT.502.NH.04 1/2" </t>
  </si>
  <si>
    <t>Балансировочный клапан (партнёр APT) ASV-BD Ø15 мм Danfoss 1</t>
  </si>
  <si>
    <t>Клапан автоматический балансировочный (5-20 кПа) APT Ø15 мм Danfoss 1</t>
  </si>
  <si>
    <t xml:space="preserve">Радиаторный клапан для однотрубной системы с термостатическим элементом прямой д.у.20 SANEXT RV1 </t>
  </si>
  <si>
    <t>Термостатическая головка SANEXT TH, 6-28°С, резьба М30х1,5</t>
  </si>
  <si>
    <t>15.12</t>
  </si>
  <si>
    <t>Установка распеределителей тепла</t>
  </si>
  <si>
    <t>Радиаторный распределитель Danfoss INDIV-X-10R</t>
  </si>
  <si>
    <t xml:space="preserve">Danfoss INDIV X Тепловой адаптер, стандартный art.187F0008 </t>
  </si>
  <si>
    <t>Фиксирующая гайка М3 Danfoss art. 088H2226</t>
  </si>
  <si>
    <t>Приварная шпилька М3 х 12 мм Danfoss art. 088H2222</t>
  </si>
  <si>
    <t>15.13</t>
  </si>
  <si>
    <t>Герметизация узлов прохода через перекрытие</t>
  </si>
  <si>
    <t>15.13.1</t>
  </si>
  <si>
    <t>Изготовление гильз Ø20 мм</t>
  </si>
  <si>
    <t>Изготовление гильз Ø32 мм</t>
  </si>
  <si>
    <t>Изготовление гильз Ø40 мм</t>
  </si>
  <si>
    <t>Изготовление гильз Ø133 мм</t>
  </si>
  <si>
    <t>Огнезащитная мастика "ОГНЕЗА-ВГ" 3 кг.</t>
  </si>
  <si>
    <t>15.14</t>
  </si>
  <si>
    <t>Алмазное сверление отверстий</t>
  </si>
  <si>
    <t>15.14.1</t>
  </si>
  <si>
    <t>15.14.2</t>
  </si>
  <si>
    <t>Алмазная коронка LASER ВК2 (1 1\4' UNC) 62*450 мм D.Bor</t>
  </si>
  <si>
    <t>15.15</t>
  </si>
  <si>
    <t>Индивидуальный тепловой пункт</t>
  </si>
  <si>
    <t>15.16</t>
  </si>
  <si>
    <t>16.1</t>
  </si>
  <si>
    <t>Установка кранов пожарных</t>
  </si>
  <si>
    <t>16.1.1</t>
  </si>
  <si>
    <t>Клапан запорный пожарный проходной с муфтовым и цапковым присоединительными концами, латунный  50мм 1Б1р</t>
  </si>
  <si>
    <t>16.1.2</t>
  </si>
  <si>
    <t>Резьба стальная оцинк.50мм</t>
  </si>
  <si>
    <t>16.1.3</t>
  </si>
  <si>
    <t>тройник стальной оц. Ду 50/50/50</t>
  </si>
  <si>
    <t>16.1.4</t>
  </si>
  <si>
    <t>Ствол ручной пожарный РС-50 алюм.</t>
  </si>
  <si>
    <t>16.1.5</t>
  </si>
  <si>
    <t>Головка соединительная напорная муфтовая ГМ-50</t>
  </si>
  <si>
    <t>16.1.6</t>
  </si>
  <si>
    <t>Рукав пожарный напорный льняной Д=51мм длиной 20м</t>
  </si>
  <si>
    <t>16.1.7</t>
  </si>
  <si>
    <t>Шкаф пожарный ШПК-320-21 ВЗБ</t>
  </si>
  <si>
    <t>16.1.8</t>
  </si>
  <si>
    <t>Дюбель-гвоздь потайной 8x120 мм</t>
  </si>
  <si>
    <t>16.1.9</t>
  </si>
  <si>
    <t>Стальная диафрагма толщиной 3мм Дн=56, Двн=13,6 мм</t>
  </si>
  <si>
    <t>16.1.10</t>
  </si>
  <si>
    <t>Стальная диафрагма толщиной 3мм Дн=56, Двн=14,5 мм</t>
  </si>
  <si>
    <t>16.1.11</t>
  </si>
  <si>
    <t>Стальная диафрагма толщиной 3мм Дн=56, Двн=15,5 мм</t>
  </si>
  <si>
    <t>16.1.12</t>
  </si>
  <si>
    <t>Стальная диафрагма толщиной 3мм Дн=56, Двн=16,8 мм</t>
  </si>
  <si>
    <t>16.1.13</t>
  </si>
  <si>
    <t>Стальная диафрагма толщиной 3мм Дн=56, Двн=19,4мм</t>
  </si>
  <si>
    <t>16.1.14</t>
  </si>
  <si>
    <t>Резьба стальная оцинкованная 89 мм</t>
  </si>
  <si>
    <t>16.1.15</t>
  </si>
  <si>
    <t>Головка соединительная напорная муфтовая ГМ-80, Ру=1,6МПа</t>
  </si>
  <si>
    <t>16.1.16</t>
  </si>
  <si>
    <t>Головка заглушка ГЗ-80</t>
  </si>
  <si>
    <t>Водяной спринклерный ороситель для установки розеткой вниз, со стеклянной  капсулой, с выходным отверстием Д-8мм и температурой разрушения теплового замка 180С обыкн. исполн.СВН(О)-8-(180) ГОСТ Р51043-97</t>
  </si>
  <si>
    <t>Муфта стальная оцинкованная 15 мм</t>
  </si>
  <si>
    <t>Cигнализатор потока жидкости Ø25 универсальный СПЖ-У-1</t>
  </si>
  <si>
    <t>Шкаф для рукава 19 мм в металлический белый/красный</t>
  </si>
  <si>
    <t>Рукав УВП 19 мм в сборе в сумке (ПВХ)</t>
  </si>
  <si>
    <t>16.2</t>
  </si>
  <si>
    <t>Монтаж насосных установок</t>
  </si>
  <si>
    <t>16.2.1</t>
  </si>
  <si>
    <t>Насосная установка НУ-В-3-MATRIX-I10-3T-ЧC-7 Brant</t>
  </si>
  <si>
    <t>компл.</t>
  </si>
  <si>
    <t>16.2.2</t>
  </si>
  <si>
    <t>Насосная установка НУ-В-3-EVMSG 5-12-ЧC-7 Brant</t>
  </si>
  <si>
    <t>Насосная установка НУ-ВПВ-2-EVMSG 32-5-0-Р-11 Brant</t>
  </si>
  <si>
    <t>Компенсатор фланцевый резиновый KMS DN80</t>
  </si>
  <si>
    <t>16.3</t>
  </si>
  <si>
    <t>16.3.1</t>
  </si>
  <si>
    <t>Счетчик СВК 15-3 Ø15</t>
  </si>
  <si>
    <t>16.3.2</t>
  </si>
  <si>
    <t>Фильтр магнитный фланцевый ФМФ-65 Ру16</t>
  </si>
  <si>
    <t>Фильтр магнитный фланцевый ФМФ-100 Ру16</t>
  </si>
  <si>
    <t>Манометр для измерения давления некристаллизующихся жидкостей до 10кг/см2 МП4-У</t>
  </si>
  <si>
    <t xml:space="preserve">Кран трехходовой натяжной конусный с фланцем для контрольного манометра ф15мм 11Б38БК </t>
  </si>
  <si>
    <t>Резьба оцинкованная 15 мм</t>
  </si>
  <si>
    <t>Резьба оцинкованная 25 мм</t>
  </si>
  <si>
    <t>Затвор обратный Ду 100 межфланцевый</t>
  </si>
  <si>
    <t>Затвор обратный Ду 80 межфланцевый</t>
  </si>
  <si>
    <t>Резьба оцинкованная 40 мм</t>
  </si>
  <si>
    <t>16.4</t>
  </si>
  <si>
    <t>16.4.1</t>
  </si>
  <si>
    <t>16.4.2</t>
  </si>
  <si>
    <t>Гильзы - Трубы стальные 159х4,0 мм по ГОСТ 10704-91</t>
  </si>
  <si>
    <t>Гильзы - Трубы стальные 57х3,5 мм по ГОСТ 10704-91</t>
  </si>
  <si>
    <t>отвод стальной оц. 90гр ду 32</t>
  </si>
  <si>
    <t>отвод стальной оц. 90гр ду 40</t>
  </si>
  <si>
    <t>отвод стальной оц. 90гр ду 50</t>
  </si>
  <si>
    <t>отвод стальной оц. 45гр ду 50</t>
  </si>
  <si>
    <t>отвод стальной оц. 90гр ду 65</t>
  </si>
  <si>
    <t>отвод стальной оц. 45гр ду 65</t>
  </si>
  <si>
    <t>отвод стальной оц. 90гр ду 80</t>
  </si>
  <si>
    <t>отвод стальной оц. 90гр ду 100</t>
  </si>
  <si>
    <t>переход стальной оц. Ду 25/15</t>
  </si>
  <si>
    <t>переход стальной оц. Ду 40/25</t>
  </si>
  <si>
    <t>переход стальной оц. Ду 40/32</t>
  </si>
  <si>
    <t>переход стальной оц. Ду 50/40</t>
  </si>
  <si>
    <t>переход стальной оц. Ду 65/50</t>
  </si>
  <si>
    <t>переход стальной оц. Ду 100/80</t>
  </si>
  <si>
    <t>переход стальной оц. Ду 80/65</t>
  </si>
  <si>
    <t>тройник стальной оц. Ду 32/32/32</t>
  </si>
  <si>
    <t>тройник стальной оц. Ду 40/40/40</t>
  </si>
  <si>
    <t>тройник стальной оц. Ду 65/65/65</t>
  </si>
  <si>
    <t>тройник стальной оц. Ду 80/80/80</t>
  </si>
  <si>
    <t>тройник стальной оц. Ду 100/100/100</t>
  </si>
  <si>
    <t>Резьба стальная оцинк.15мм</t>
  </si>
  <si>
    <t>Резьба стальная оцинк.20мм</t>
  </si>
  <si>
    <t>Резьба стальная оцинк.25мм</t>
  </si>
  <si>
    <t>Резьба стальная оцинк.40мм</t>
  </si>
  <si>
    <t>Воздухосборник горизонтального А1И 020.000-03, Pу=1,2Мпа, Dn=325мм ду 50 мм, в комплекте с воздухоотводчиком</t>
  </si>
  <si>
    <t>Муфта резьбовая оцинкованная 1/2"</t>
  </si>
  <si>
    <t>М16х120 болт с шестигранной головкой ГОСТ 7798-70</t>
  </si>
  <si>
    <t>Шайба усиленная М16</t>
  </si>
  <si>
    <t>Гайка оцинкованная М16</t>
  </si>
  <si>
    <t>Цинол 7 кг</t>
  </si>
  <si>
    <t>16.5</t>
  </si>
  <si>
    <t>Монтаж трубопроводов из ПЭ труб</t>
  </si>
  <si>
    <t>16.5.1</t>
  </si>
  <si>
    <t>Труба ПНД ПЭ 40 мм</t>
  </si>
  <si>
    <t>16.5.2</t>
  </si>
  <si>
    <t>Труба ПНД ПЭ 25 мм</t>
  </si>
  <si>
    <t>16.6</t>
  </si>
  <si>
    <t>16.6.1</t>
  </si>
  <si>
    <t>Изготовление,установка опорных стоек под магистраль подвал</t>
  </si>
  <si>
    <t>Изготовление, установка опорных стоек под магистраль тех. этаж</t>
  </si>
  <si>
    <t>Изготовление, установка неподвижных опор на стояки</t>
  </si>
  <si>
    <t>16.7</t>
  </si>
  <si>
    <t>Теплоизоляция трубопроводов</t>
  </si>
  <si>
    <t>16.7.1</t>
  </si>
  <si>
    <t>Базальтовый теплоизоляционный шнур (Мусорокамера)</t>
  </si>
  <si>
    <t>16.7.2</t>
  </si>
  <si>
    <t>Цилиндры навивные Pipewool 30*21</t>
  </si>
  <si>
    <t>16.7.3</t>
  </si>
  <si>
    <t>Цилиндры навивные Pipewool 30*28</t>
  </si>
  <si>
    <t>16.7.4</t>
  </si>
  <si>
    <t>Цилиндры навивные Pipewool 30*35</t>
  </si>
  <si>
    <t>16.7.5</t>
  </si>
  <si>
    <t>Цилиндры навивные Pipewool 30*42</t>
  </si>
  <si>
    <t>16.7.6</t>
  </si>
  <si>
    <t>Цилиндры навивные Pipewool 30*48</t>
  </si>
  <si>
    <t>Цилиндры навивные Pipewool 30*60</t>
  </si>
  <si>
    <t>Цилиндры навивные Pipewool 30*76</t>
  </si>
  <si>
    <t>Цилиндры навивные Pipewool 30*89</t>
  </si>
  <si>
    <t>Цилиндры навивные Pipewool 30*114</t>
  </si>
  <si>
    <t>Трубка K-FLEX PE 13х20-2</t>
  </si>
  <si>
    <t>Трубка K-FLEX PE 13х35-2</t>
  </si>
  <si>
    <t>Трубка K-FLEX PE 13х28-2</t>
  </si>
  <si>
    <t>Трубка K-FLEX PE 13х60-2</t>
  </si>
  <si>
    <t>Трубка K-FLEX PE 9х20-2</t>
  </si>
  <si>
    <t>Трубка K-FLEX PE 9х35-2</t>
  </si>
  <si>
    <t>Трубка K-FLEX PE 9х76-2</t>
  </si>
  <si>
    <t>Клей K-FLEX 2,6л. К-414</t>
  </si>
  <si>
    <t>Скотч армированный K-Flex 003*050 - 25</t>
  </si>
  <si>
    <t>16.8</t>
  </si>
  <si>
    <t>Покрытие теплоизоляции</t>
  </si>
  <si>
    <t>16.8.1</t>
  </si>
  <si>
    <t>16.8.2</t>
  </si>
  <si>
    <t>Проволока вязальная</t>
  </si>
  <si>
    <t>16.9</t>
  </si>
  <si>
    <t>16.9.1</t>
  </si>
  <si>
    <t>16.10</t>
  </si>
  <si>
    <t>16.10.1</t>
  </si>
  <si>
    <t>16.10.2</t>
  </si>
  <si>
    <t>D.BOR 62 мм</t>
  </si>
  <si>
    <t>16.11</t>
  </si>
  <si>
    <t>16.11.1</t>
  </si>
  <si>
    <t>Сильфонный осевой компенсатор марки КСО-Д DN20, PN16.</t>
  </si>
  <si>
    <t>16.11.2</t>
  </si>
  <si>
    <t>Сильфонный осевой компенсатор марки КСО-Д DN25, PN16.</t>
  </si>
  <si>
    <t>16.11.3</t>
  </si>
  <si>
    <t>Сильфонный осевой компенсатор марки КСО-Д DN50, PN16.</t>
  </si>
  <si>
    <t>16.12</t>
  </si>
  <si>
    <t>16.12.1</t>
  </si>
  <si>
    <t>Кран шар лат Pride нк Ду15 Ру40 м/м полн рыч LD 47.15.В-В.Р .</t>
  </si>
  <si>
    <t>16.12.2</t>
  </si>
  <si>
    <t>Американка 15 НР-ВР</t>
  </si>
  <si>
    <t>16.12.3</t>
  </si>
  <si>
    <t>Кран шаровой латунный LD Pride Ду 20 Ру 40  ВР /НР артикул 47.20 В-Н.Р</t>
  </si>
  <si>
    <t>Американка 20 НР-ВР</t>
  </si>
  <si>
    <t>Кран шар лат Pride нк Ду25 Ру40 м/м полн рыч LD 47.25.В-В.Р .</t>
  </si>
  <si>
    <t>Американка 25 НР-ВР</t>
  </si>
  <si>
    <t>Кран шаровой LD Ду50 Ру40 фланцевый полнопроходный</t>
  </si>
  <si>
    <t>Фланец плоский 1-50-16 ст.20</t>
  </si>
  <si>
    <t>Прокладки паронитовые Ду 50 мм</t>
  </si>
  <si>
    <t>Кран шаровой VALTEC COMBI со встроенным фильтром VT.292.N.04 1/2"</t>
  </si>
  <si>
    <t>КРАН ШАРОВОЙ СО ВСТРОЕННЫМ ФИЛЬТРОМ И РЕДУКТОРОМ ДАВЛЕНИЯ (КФРД) УНИВЕРСАЛЬНЫЙ VT.300.N.04 1/2"</t>
  </si>
  <si>
    <t>Клапан автоматический балансировочный Sanext DPV-30 Ду=20</t>
  </si>
  <si>
    <t>ФММ-20</t>
  </si>
  <si>
    <t>Автоматический воздухоотводчик VALTEC VT.502.NV.04 1/2"</t>
  </si>
  <si>
    <t>Клапан отсекающий VALTEC VT.539.N.04 1/2"</t>
  </si>
  <si>
    <t>Муфта 15</t>
  </si>
  <si>
    <t>Затвор поворот диск межфланцевый ПА332.100.16-01 Ду100 Ру16 (корпус чугGGG40,диск чугGGG40) с рукоят</t>
  </si>
  <si>
    <t>Затвор поворот диск межфланцевый ПА332.80.16-01 Ду80 Ру16 (корпус чугGGG40,диск чугGGG40) с рукоят</t>
  </si>
  <si>
    <t>Затвор поворот диск межфланцевый ПА332.65.16-01 Ду65 Ру16 (корпус чугGGG40,диск чугGGG40) с рукоят</t>
  </si>
  <si>
    <t>Фланец плоский 1-65-16 ст.20</t>
  </si>
  <si>
    <t>Фланец плоский 1-80-16 ст.20</t>
  </si>
  <si>
    <t>Фланец плоский 1-100-16 ст.20</t>
  </si>
  <si>
    <t>Прокладки паронитовые Ду 100 мм</t>
  </si>
  <si>
    <t>Прокладки паронитовые Ду 80 мм</t>
  </si>
  <si>
    <t>Прокладки паронитовые Ду 65 мм</t>
  </si>
  <si>
    <t>Клапан обратный муфтовый латунный DN25 PN 1.6 Мпа 16Б1бк</t>
  </si>
  <si>
    <t>Американка 25 НР-НР</t>
  </si>
  <si>
    <t>16.13</t>
  </si>
  <si>
    <t>Установка кранов поливочных</t>
  </si>
  <si>
    <t>16.13.1</t>
  </si>
  <si>
    <t>Ковер Polimerkvarce 39.25.23</t>
  </si>
  <si>
    <t>16.13.2</t>
  </si>
  <si>
    <t>Муфта компрессионная 25х3/4"</t>
  </si>
  <si>
    <t>16.13.3</t>
  </si>
  <si>
    <t>16.13.4</t>
  </si>
  <si>
    <t>Кран шаровой латунный LD Pride Ду 25 Ру 40  ВР /НР артикул 47.20 В-Н.Р</t>
  </si>
  <si>
    <t>16.13.5</t>
  </si>
  <si>
    <t>Шланг поливочный 3/4" 50м</t>
  </si>
  <si>
    <t>16.13.6</t>
  </si>
  <si>
    <t>Набор Gardena</t>
  </si>
  <si>
    <t>17.1</t>
  </si>
  <si>
    <t>17.1.1</t>
  </si>
  <si>
    <t>Насос дренажный Дренажник 110/8 220Вт 5100 Джилекс</t>
  </si>
  <si>
    <t>17.1.2</t>
  </si>
  <si>
    <t>VALTEC Труба полипропиленовая PPR PN 20 VTp.700.0020.32</t>
  </si>
  <si>
    <t>пог.м.</t>
  </si>
  <si>
    <t>17.1.3</t>
  </si>
  <si>
    <t>VALTEC Муфта комбинированная разъемная с В.Р. 32-1"1/2</t>
  </si>
  <si>
    <t>17.1.4</t>
  </si>
  <si>
    <t>VALTEC Угольник 32</t>
  </si>
  <si>
    <t>17.1.5</t>
  </si>
  <si>
    <t>VALTEC Кран шаровый 32</t>
  </si>
  <si>
    <t>17.1.6</t>
  </si>
  <si>
    <t>Клапан обратный полипропиленовый VTp.716.0.032</t>
  </si>
  <si>
    <t>17.1.7</t>
  </si>
  <si>
    <t>Хомут трубный 32</t>
  </si>
  <si>
    <t>17.1.8</t>
  </si>
  <si>
    <t>Манжета переходная 50х32 мм</t>
  </si>
  <si>
    <t>17.1.9</t>
  </si>
  <si>
    <t>Труба ППР Valfex Ду40</t>
  </si>
  <si>
    <t>17.1.10</t>
  </si>
  <si>
    <t>Колено ППР Ду40 90</t>
  </si>
  <si>
    <t>17.1.11</t>
  </si>
  <si>
    <t>МКР Ду40х1 1/4" НР</t>
  </si>
  <si>
    <t>17.1.12</t>
  </si>
  <si>
    <t>МК Ду40х1 1/4"</t>
  </si>
  <si>
    <t>17.1.13</t>
  </si>
  <si>
    <t>Крепление труб (хомуты) 1 1/4"</t>
  </si>
  <si>
    <t>17.1.14</t>
  </si>
  <si>
    <t>Кран ППР Ду40</t>
  </si>
  <si>
    <t>17.2</t>
  </si>
  <si>
    <t>Прокладка трубопроводов ПЭ</t>
  </si>
  <si>
    <t>17.2.1</t>
  </si>
  <si>
    <t>Труба ПВХ 160 с раструбом коричневая SN4</t>
  </si>
  <si>
    <t>17.2.2</t>
  </si>
  <si>
    <t xml:space="preserve">Труба ПЭ 100 160 </t>
  </si>
  <si>
    <t>17.2.3</t>
  </si>
  <si>
    <t>Зонт вентиляционный 160</t>
  </si>
  <si>
    <t>17.2.4</t>
  </si>
  <si>
    <t>Отвод ПВХ 160х87</t>
  </si>
  <si>
    <t>17.2.5</t>
  </si>
  <si>
    <t>Отвод ПЭ100 SDR 11 Dn160</t>
  </si>
  <si>
    <t>17.2.6</t>
  </si>
  <si>
    <t>Тройник ПЭ100 SDR 11 Dn160</t>
  </si>
  <si>
    <t>17.2.7</t>
  </si>
  <si>
    <t>Втулка под фланец ПЭ100 SDR 11 Dn160</t>
  </si>
  <si>
    <t>17.2.8</t>
  </si>
  <si>
    <t>Неразъемное соединение ПЭ/сталь 110х108</t>
  </si>
  <si>
    <t>17.2.9</t>
  </si>
  <si>
    <t>Фланец стальной Ду 150 расточной под втулку ПЭ 160</t>
  </si>
  <si>
    <t>17.2.10</t>
  </si>
  <si>
    <t>Фланец стальной глухой Dn160х16</t>
  </si>
  <si>
    <t>17.2.11</t>
  </si>
  <si>
    <t>Прокладка паронитовая 160</t>
  </si>
  <si>
    <t>17.2.12</t>
  </si>
  <si>
    <t>Шпилька резьбовая оцинкованная М16х2000</t>
  </si>
  <si>
    <t>17.2.13</t>
  </si>
  <si>
    <t>17.3</t>
  </si>
  <si>
    <t>Монтаж трубопроводов канализации</t>
  </si>
  <si>
    <t>17.3.1</t>
  </si>
  <si>
    <t>Трубы ПП 50</t>
  </si>
  <si>
    <t>17.3.2</t>
  </si>
  <si>
    <t>Трубы ПП 110</t>
  </si>
  <si>
    <t>17.3.3</t>
  </si>
  <si>
    <t>Хомут трубный ф110мм</t>
  </si>
  <si>
    <t>17.3.4</t>
  </si>
  <si>
    <t>Шуруп-шпилька STS 10X140</t>
  </si>
  <si>
    <t>17.3.5</t>
  </si>
  <si>
    <t>17.3.6</t>
  </si>
  <si>
    <t>Шпилька М10*2000</t>
  </si>
  <si>
    <t>17.3.7</t>
  </si>
  <si>
    <t>Цанга латунная М10</t>
  </si>
  <si>
    <t>17.3.8</t>
  </si>
  <si>
    <t>Отвод ПП 110х87</t>
  </si>
  <si>
    <t>17.3.9</t>
  </si>
  <si>
    <t>Отвод ПП 110х45</t>
  </si>
  <si>
    <t>17.3.10</t>
  </si>
  <si>
    <t>Отвод ПП 50х87</t>
  </si>
  <si>
    <t>17.3.11</t>
  </si>
  <si>
    <t>Тройник ПП 110х110х87</t>
  </si>
  <si>
    <t>17.3.12</t>
  </si>
  <si>
    <t>Тройник ПП 110х50х110х87</t>
  </si>
  <si>
    <t>17.3.13</t>
  </si>
  <si>
    <t>Тройник ПП 110х110х45</t>
  </si>
  <si>
    <t>17.3.14</t>
  </si>
  <si>
    <t>Заглушка ПП 110</t>
  </si>
  <si>
    <t>17.3.15</t>
  </si>
  <si>
    <t>Ревизия ПП 110</t>
  </si>
  <si>
    <t>17.3.16</t>
  </si>
  <si>
    <t>Тройник 110х110х87</t>
  </si>
  <si>
    <t>17.3.17</t>
  </si>
  <si>
    <t>17.3.18</t>
  </si>
  <si>
    <t>17.3.19</t>
  </si>
  <si>
    <t>Заглушка ПП 50</t>
  </si>
  <si>
    <t>17.3.20</t>
  </si>
  <si>
    <t>17.3.21</t>
  </si>
  <si>
    <t>Крестовина ПП 110х110х50х110</t>
  </si>
  <si>
    <t>17.3.22</t>
  </si>
  <si>
    <t>Герметик силиконовый 300 мл</t>
  </si>
  <si>
    <t>17.4</t>
  </si>
  <si>
    <t>Изготовление,установка подвесов под магистраль подвал</t>
  </si>
  <si>
    <t>17.4.1</t>
  </si>
  <si>
    <t>17.4.2</t>
  </si>
  <si>
    <t>17.4.3</t>
  </si>
  <si>
    <t>17.4.4</t>
  </si>
  <si>
    <t>17.5</t>
  </si>
  <si>
    <t>Изготовление, установка опорных стоек под магистраль чердак</t>
  </si>
  <si>
    <t>17.5.1</t>
  </si>
  <si>
    <t>Труба стальная электросварная 133x4,0 ГОСТ 10704-91</t>
  </si>
  <si>
    <t>17.5.2</t>
  </si>
  <si>
    <t>Труба стальная электросварная 219х4,0 ГОСТ 10704-91</t>
  </si>
  <si>
    <t>17.5.3</t>
  </si>
  <si>
    <t>17.5.4</t>
  </si>
  <si>
    <t>17.5.5</t>
  </si>
  <si>
    <t>17.6</t>
  </si>
  <si>
    <t>Изготовление, установка креплений на узел водостока</t>
  </si>
  <si>
    <t>17.6.1</t>
  </si>
  <si>
    <t>17.6.2</t>
  </si>
  <si>
    <t>Прокат толстолистовой из углеродистой стали 12 мм ГОСТ 14637-90</t>
  </si>
  <si>
    <t>17.7</t>
  </si>
  <si>
    <t>Установка трапа Ду100</t>
  </si>
  <si>
    <t>17.7.1</t>
  </si>
  <si>
    <t>Трап чугун вертикальный Ду 100</t>
  </si>
  <si>
    <t>17.8</t>
  </si>
  <si>
    <t>Устройство муфты противопожарной  ф 110мм</t>
  </si>
  <si>
    <t>17.8.1</t>
  </si>
  <si>
    <t>Муфта противопожарная ОГНЕЗА ПМ-110</t>
  </si>
  <si>
    <t>17.8.2</t>
  </si>
  <si>
    <t>Муфта противопожарная ОГНЕЗА ПМ-50</t>
  </si>
  <si>
    <t>17.9</t>
  </si>
  <si>
    <t>Установка воронки водосточной стальной 100 мм</t>
  </si>
  <si>
    <t>17.9.1</t>
  </si>
  <si>
    <t>Переход стальной 125х100</t>
  </si>
  <si>
    <t>17.9.2</t>
  </si>
  <si>
    <t>Воронка чугунная водосточная Ду100 модель ВУ100 в сборе Аквапромлит</t>
  </si>
  <si>
    <t>17.10</t>
  </si>
  <si>
    <t>Монтаж трубы стальной прямошовной 108</t>
  </si>
  <si>
    <t>17.10.1</t>
  </si>
  <si>
    <t>Труба сталь электросварная прямошовная 108</t>
  </si>
  <si>
    <t>17.10.2</t>
  </si>
  <si>
    <t>Тройник стальной Ду 100 мм</t>
  </si>
  <si>
    <t>17.10.3</t>
  </si>
  <si>
    <t>Фланец ду 100 мм</t>
  </si>
  <si>
    <t>17.10.4</t>
  </si>
  <si>
    <t>Фланец глухой 100 мм</t>
  </si>
  <si>
    <t>17.10.5</t>
  </si>
  <si>
    <t>Прокладка паронитовая 100</t>
  </si>
  <si>
    <t>17.10.6</t>
  </si>
  <si>
    <t>Болты</t>
  </si>
  <si>
    <t>17.10.7</t>
  </si>
  <si>
    <t>17.10.8</t>
  </si>
  <si>
    <t>17.11</t>
  </si>
  <si>
    <t>Огрунтовка трубопроводов</t>
  </si>
  <si>
    <t>17.11.1</t>
  </si>
  <si>
    <t>Грунт ГФ 021 2,5кг</t>
  </si>
  <si>
    <t>17.12</t>
  </si>
  <si>
    <t>Окраска трубопроводов за 2 раза</t>
  </si>
  <si>
    <t>17.12.1</t>
  </si>
  <si>
    <t>17.13</t>
  </si>
  <si>
    <t>Установка сантехнического оборудования</t>
  </si>
  <si>
    <t>17.13.1</t>
  </si>
  <si>
    <t>Поддон душевой 700х700 в комплекте с сифоном</t>
  </si>
  <si>
    <t>17.13.2</t>
  </si>
  <si>
    <t xml:space="preserve">Смесителя для душа </t>
  </si>
  <si>
    <t>17.13.3</t>
  </si>
  <si>
    <t>Унитаз тарельчатого УнТЦ</t>
  </si>
  <si>
    <t>17.13.4</t>
  </si>
  <si>
    <t>Гофротруба ф 100мм</t>
  </si>
  <si>
    <t>17.13.5</t>
  </si>
  <si>
    <t>Умывальник керамический с пьедисталом</t>
  </si>
  <si>
    <t>17.13.6</t>
  </si>
  <si>
    <t>Сифон для умывальника ф 50мм</t>
  </si>
  <si>
    <t>17.13.7</t>
  </si>
  <si>
    <t>Смеситель для умывальника</t>
  </si>
  <si>
    <t>17.14</t>
  </si>
  <si>
    <t>17.14.1</t>
  </si>
  <si>
    <t>Огнезащитная мастика "ОГНЕЗА-ВЛ" 3 кг.</t>
  </si>
  <si>
    <t>17.15</t>
  </si>
  <si>
    <t>18.1</t>
  </si>
  <si>
    <t>18.1.1</t>
  </si>
  <si>
    <t>п/м</t>
  </si>
  <si>
    <t>Фасонные изделия</t>
  </si>
  <si>
    <t>Огнезащита EI-30 изовент</t>
  </si>
  <si>
    <t>м 2</t>
  </si>
  <si>
    <t>Огнезащита EI-150 изовент</t>
  </si>
  <si>
    <t>Вент решетка Z/H 100*150</t>
  </si>
  <si>
    <t>Вент решетка Z/H 150*150</t>
  </si>
  <si>
    <t>Вент решетка Z/H 200*100</t>
  </si>
  <si>
    <t>Вент решетка Z/H 150*200 с КРВ</t>
  </si>
  <si>
    <t>Вент решетка Z/H 150*150 с КРВ</t>
  </si>
  <si>
    <t>Решетка КДМ 400*700</t>
  </si>
  <si>
    <t>Решетка КДМ 500*400</t>
  </si>
  <si>
    <t>Решетка КДМ 600*600</t>
  </si>
  <si>
    <t xml:space="preserve">Компенсатор теплового линейного расширения </t>
  </si>
  <si>
    <t>Узел прохода УП 1 Ф 200</t>
  </si>
  <si>
    <t>Клапан 400*310 ручной</t>
  </si>
  <si>
    <t>Вентилятор осевой с обратным клапаном (бытовой)</t>
  </si>
  <si>
    <t>Вентилятор крышный ДУ 400 КРОВ</t>
  </si>
  <si>
    <t>Стакан монтажный стам 400-51-Н</t>
  </si>
  <si>
    <t>Вентилятор Крышный подпор ВКОП0-080-Н-01100/2</t>
  </si>
  <si>
    <t>Вентилятор Крышный подпор ВКОП0-080-Н-00550/4</t>
  </si>
  <si>
    <t>Вентилятор Крашный подпор ВКОП0-071Н-00550/2</t>
  </si>
  <si>
    <t>Приточная установка КЦКП-3,15 Н-У1</t>
  </si>
  <si>
    <t>Стакан монтажный стам 200-071-Н</t>
  </si>
  <si>
    <t>Стакан монтажный стам 200-112-Н</t>
  </si>
  <si>
    <t>Клапан обратный 600*600</t>
  </si>
  <si>
    <t>Клапан обратный 250*250</t>
  </si>
  <si>
    <t>Клапан противопожарный НЗ EI-90 900*800</t>
  </si>
  <si>
    <t>Клапан противопожарный НЗ EI-120 900*900</t>
  </si>
  <si>
    <t>Клапан противопожарный НЗ EI-90 600*600</t>
  </si>
  <si>
    <t>Клапан противопожарный НЗ EI-90 500*400</t>
  </si>
  <si>
    <t>Клапан противопожарный НЗ EI-90 400*700</t>
  </si>
  <si>
    <t>Клапан противопожарный НО EI-60 150*150</t>
  </si>
  <si>
    <t>Клапан противопожарный НО EI-60 250*250</t>
  </si>
  <si>
    <t>Клапан противопожарный дымовой EI-90 600*600</t>
  </si>
  <si>
    <t>Переходник ПЕК-ОСА-080-С</t>
  </si>
  <si>
    <t>Переходник ПЕК-ОСА-071-С</t>
  </si>
  <si>
    <t>Переходник ПЕК-ОСА-063-С</t>
  </si>
  <si>
    <t>Болт М-8</t>
  </si>
  <si>
    <t>Гайка М-8</t>
  </si>
  <si>
    <t>Прессшайба4/2-16 с пером</t>
  </si>
  <si>
    <t>Уплотнотельная лента</t>
  </si>
  <si>
    <t>Шнур айзбестовый Ф-5</t>
  </si>
  <si>
    <t>Траверса 30*20</t>
  </si>
  <si>
    <t>Траверса 38/40</t>
  </si>
  <si>
    <t xml:space="preserve">Скотч аллюминевый </t>
  </si>
  <si>
    <t>рул</t>
  </si>
  <si>
    <t>Скоба зажимная</t>
  </si>
  <si>
    <t>Пена противопожарная</t>
  </si>
  <si>
    <t>шинка 20</t>
  </si>
  <si>
    <t>уголок 20</t>
  </si>
  <si>
    <t>круг отрезной Ф 125</t>
  </si>
  <si>
    <t>Вентиляционная решётка Z/H 150x100</t>
  </si>
  <si>
    <t>Вентиляционная решётка Z/H 200x150</t>
  </si>
  <si>
    <t>Вентиляционная решётка Z/H 200x200</t>
  </si>
  <si>
    <t>Вентиляционная решётка Z/H 300x150</t>
  </si>
  <si>
    <t>19.1</t>
  </si>
  <si>
    <t>19.1.1</t>
  </si>
  <si>
    <t>Прокладка кабелей</t>
  </si>
  <si>
    <t>Светильник ДПО-1801</t>
  </si>
  <si>
    <t>19.1.2</t>
  </si>
  <si>
    <t>Светильник ДПО-1801Д</t>
  </si>
  <si>
    <t>19.1.3</t>
  </si>
  <si>
    <t>Светильник Энтрада ПИР с встр акб</t>
  </si>
  <si>
    <t>19.1.4</t>
  </si>
  <si>
    <t>Универсальный светодиодный встраиваемый светильник, мощностью 36Вт, IP40</t>
  </si>
  <si>
    <t>19.1.5</t>
  </si>
  <si>
    <t>Светильник "Выход"</t>
  </si>
  <si>
    <t>19.1.6</t>
  </si>
  <si>
    <t>Светильник указатель "ПК"</t>
  </si>
  <si>
    <t>19.1.7</t>
  </si>
  <si>
    <t>Указатель номера улицы и дома</t>
  </si>
  <si>
    <t>19.1.8</t>
  </si>
  <si>
    <t>Автономный световой указатель</t>
  </si>
  <si>
    <t>19.1.9</t>
  </si>
  <si>
    <t>Заградительный огонь мощностью 6 Вт</t>
  </si>
  <si>
    <t>19.1.10</t>
  </si>
  <si>
    <t>Патрон настенный Е27</t>
  </si>
  <si>
    <t>19.1.11</t>
  </si>
  <si>
    <t>Светодиодная лампа 15 Вт</t>
  </si>
  <si>
    <t>19.1.12</t>
  </si>
  <si>
    <t>Датчик движения ДД-МВ301</t>
  </si>
  <si>
    <t>19.1.13</t>
  </si>
  <si>
    <t>ЯТП220-24-0,25</t>
  </si>
  <si>
    <t>19.1.14</t>
  </si>
  <si>
    <t>Светильник переносной 24 В</t>
  </si>
  <si>
    <t>19.1.15</t>
  </si>
  <si>
    <t>Лампа 24В</t>
  </si>
  <si>
    <t>19.1.16</t>
  </si>
  <si>
    <t>Комлект греющих кабелей</t>
  </si>
  <si>
    <t>19.1.17</t>
  </si>
  <si>
    <t>Выключатель 1кл ГЕРМЕС ИЕК</t>
  </si>
  <si>
    <t>19.1.18</t>
  </si>
  <si>
    <t>Коробка распаячная 105х105х50</t>
  </si>
  <si>
    <t>19.1.19</t>
  </si>
  <si>
    <t>Розетка 1местн КВАРТА</t>
  </si>
  <si>
    <t>19.1.20</t>
  </si>
  <si>
    <t>Розетка 1м на дин рейку</t>
  </si>
  <si>
    <t>19.1.21</t>
  </si>
  <si>
    <t>Кабель ВВГнг ЛС 3х1,5</t>
  </si>
  <si>
    <t>19.1.22</t>
  </si>
  <si>
    <t>Кабель ВВГнг ЛС 3х2,5</t>
  </si>
  <si>
    <t>19.1.23</t>
  </si>
  <si>
    <t>Кабель ВВГнг ЛС 3х6</t>
  </si>
  <si>
    <t>19.1.24</t>
  </si>
  <si>
    <t>Кабель ВВГнг ЛС 3х10</t>
  </si>
  <si>
    <t>19.1.25</t>
  </si>
  <si>
    <t>Кабель ВВГнг ЛС 3х16</t>
  </si>
  <si>
    <t>19.1.26</t>
  </si>
  <si>
    <t>Кабель ВВГнг ЛС 5х4</t>
  </si>
  <si>
    <t>19.1.27</t>
  </si>
  <si>
    <t>Кабель ВВГнг ЛС 5х6</t>
  </si>
  <si>
    <t>19.1.28</t>
  </si>
  <si>
    <t>Кабель ВВГнг ЛС 5х70</t>
  </si>
  <si>
    <t>19.1.29</t>
  </si>
  <si>
    <t>Кабель ВВГнг ФРЛС 3х1,5</t>
  </si>
  <si>
    <t>19.1.30</t>
  </si>
  <si>
    <t>Кабель ВВГнг ФРЛС 3х2,5</t>
  </si>
  <si>
    <t>19.1.31</t>
  </si>
  <si>
    <t>Кабель ВВГнг ФРЛС 3х4</t>
  </si>
  <si>
    <t>19.1.32</t>
  </si>
  <si>
    <t>Кабель ВВГнг ФРЛС 5х2,5</t>
  </si>
  <si>
    <t>19.1.33</t>
  </si>
  <si>
    <t>Кабель ВВГнг ФРЛС 5х6</t>
  </si>
  <si>
    <t>19.1.34</t>
  </si>
  <si>
    <t>Кабель ВВГнг ФРЛС 5х16</t>
  </si>
  <si>
    <t>19.1.35</t>
  </si>
  <si>
    <t>Кабель ВВгнг ФРЛС 5х25</t>
  </si>
  <si>
    <t>19.1.36</t>
  </si>
  <si>
    <t>Кабель ВВгнг ФРЛС 5х35</t>
  </si>
  <si>
    <t>19.1.37</t>
  </si>
  <si>
    <t>Кабель ВВгнг ФРЛС 5х70</t>
  </si>
  <si>
    <t>19.1.38</t>
  </si>
  <si>
    <t>Кабель ВВГнг ФРЛС 1х120</t>
  </si>
  <si>
    <t>19.1.39</t>
  </si>
  <si>
    <t>Кабель ВВгнг ФРЛС 4х2,5</t>
  </si>
  <si>
    <t>19.1.40</t>
  </si>
  <si>
    <t>Кабель ВВгнг ФРЛС 4х4</t>
  </si>
  <si>
    <t>19.1.41</t>
  </si>
  <si>
    <t>Кабель ВВгнг ФРЛС 4х6</t>
  </si>
  <si>
    <t>19.1.42</t>
  </si>
  <si>
    <t>Кабель ВВгнг ФРЛС 4х25</t>
  </si>
  <si>
    <t>19.1.43</t>
  </si>
  <si>
    <t>Кабель ВВгнг ФРЛС 4х35</t>
  </si>
  <si>
    <t>19.1.44</t>
  </si>
  <si>
    <t>Кабель ВВгнг ФРЛС 4х70</t>
  </si>
  <si>
    <t>19.1.45</t>
  </si>
  <si>
    <t>ПВ3 1х25 желто-зеленый</t>
  </si>
  <si>
    <t>19.1.46</t>
  </si>
  <si>
    <t>Труба стальная 70мм</t>
  </si>
  <si>
    <t>19.1.47</t>
  </si>
  <si>
    <t>Труба гофрированная ПВХ диаметром 20 мм</t>
  </si>
  <si>
    <t>19.1.48</t>
  </si>
  <si>
    <t>Труба гофрированная ПВХ диаметром 25 мм</t>
  </si>
  <si>
    <t>19.1.49</t>
  </si>
  <si>
    <t>Труба гофрированная ПВХ диаметром 32 мм</t>
  </si>
  <si>
    <t>19.1.50</t>
  </si>
  <si>
    <t>Держатель с защелкой 20 мм</t>
  </si>
  <si>
    <t>19.1.51</t>
  </si>
  <si>
    <t>Держатель с защелкой 25 мм</t>
  </si>
  <si>
    <t>19.1.52</t>
  </si>
  <si>
    <t>Держатель с защелкой 32 мм</t>
  </si>
  <si>
    <t>19.1.53</t>
  </si>
  <si>
    <t>Лоток в сборе 150х50</t>
  </si>
  <si>
    <t>19.1.54</t>
  </si>
  <si>
    <t>Сталь круглая оцинкованная 8мм</t>
  </si>
  <si>
    <t>19.1.55</t>
  </si>
  <si>
    <t>Сталь круглая оцинкованная 18мм</t>
  </si>
  <si>
    <t>19.1.56</t>
  </si>
  <si>
    <t>Сталь полосовая 5х40</t>
  </si>
  <si>
    <t>19.1.57</t>
  </si>
  <si>
    <t>Сталь полосовая 4х25 оцинк</t>
  </si>
  <si>
    <t>19.1.58</t>
  </si>
  <si>
    <t>ГЗШ 5х50 медная</t>
  </si>
  <si>
    <t>19.1.59</t>
  </si>
  <si>
    <t>Держатель проводника кровельный</t>
  </si>
  <si>
    <t>19.1.60</t>
  </si>
  <si>
    <t>Комплект защитного инструмента в Эл. Щитовую</t>
  </si>
  <si>
    <t>19.1.61</t>
  </si>
  <si>
    <t>Метизы (дюбель-гвозди, дюбель-хомуты и т.д.)</t>
  </si>
  <si>
    <t>19.2</t>
  </si>
  <si>
    <t>Щитовое оборудование:</t>
  </si>
  <si>
    <t>ВРУ ВП2, ВП1</t>
  </si>
  <si>
    <t>АВР 250А</t>
  </si>
  <si>
    <r>
      <rPr>
        <sz val="11"/>
        <rFont val="Times New Roman"/>
        <family val="1"/>
        <charset val="204"/>
      </rPr>
      <t xml:space="preserve">РП-1, </t>
    </r>
    <r>
      <rPr>
        <sz val="11"/>
        <color rgb="FFFF0000"/>
        <rFont val="Times New Roman"/>
        <family val="1"/>
        <charset val="204"/>
      </rPr>
      <t>РП-2</t>
    </r>
  </si>
  <si>
    <t>БАУО</t>
  </si>
  <si>
    <t>ППУ</t>
  </si>
  <si>
    <t>ЩК</t>
  </si>
  <si>
    <t>ЩО</t>
  </si>
  <si>
    <t>ЩЭ 4 квартиры</t>
  </si>
  <si>
    <t>ЩЭ 5 квартир</t>
  </si>
  <si>
    <t>ЩЭ 6 квартир</t>
  </si>
  <si>
    <t>СС</t>
  </si>
  <si>
    <t>Лоток в сборе100х100</t>
  </si>
  <si>
    <t>Антенна</t>
  </si>
  <si>
    <t>Устилитель TERRA HA126</t>
  </si>
  <si>
    <t>Мачта антенная</t>
  </si>
  <si>
    <t>Абонентский разветвитель ТВ сигналов ОАТ-108</t>
  </si>
  <si>
    <t>Щит ЩМП- 80.60.25 (ЩРНМ-4) IP31 PROxima в сборе</t>
  </si>
  <si>
    <t>Универсальная програмируемая станция</t>
  </si>
  <si>
    <t>Прогрматор UCF 300</t>
  </si>
  <si>
    <t>Грозозащита RTM TS-2006</t>
  </si>
  <si>
    <t>F-коннектор на кабель SAT</t>
  </si>
  <si>
    <t>Коробка КС-4</t>
  </si>
  <si>
    <t xml:space="preserve">Металлоконструкции </t>
  </si>
  <si>
    <t>Кабель SAT-703В</t>
  </si>
  <si>
    <t>Труба гофрированная ПНД 16 мм</t>
  </si>
  <si>
    <t>19.3</t>
  </si>
  <si>
    <t>АПС</t>
  </si>
  <si>
    <t>19.3.1</t>
  </si>
  <si>
    <t>Аккумулятор герметичный 7 Ач Delta DTM 1207</t>
  </si>
  <si>
    <t>19.3.2</t>
  </si>
  <si>
    <t>Коробка коммутационная КС-2</t>
  </si>
  <si>
    <t>19.3.3</t>
  </si>
  <si>
    <t>Адресный релейный модуль РМ-4К</t>
  </si>
  <si>
    <t>19.3.4</t>
  </si>
  <si>
    <t>Блок индикации и управления Рубеж-БИУ</t>
  </si>
  <si>
    <t>19.3.5</t>
  </si>
  <si>
    <t>Извещатель ИО 10220-2 прот.R3</t>
  </si>
  <si>
    <t>19.3.6</t>
  </si>
  <si>
    <t>Извещатель ИП 212-50М2</t>
  </si>
  <si>
    <t>19.3.7</t>
  </si>
  <si>
    <t>Извещатель ИП 212-64</t>
  </si>
  <si>
    <t>19.3.8</t>
  </si>
  <si>
    <t>Извещатель ручной ИПР 513-11 прот.R3</t>
  </si>
  <si>
    <t>19.3.9</t>
  </si>
  <si>
    <t>Извещатель ИП 101-29-PR</t>
  </si>
  <si>
    <t>19.3.10</t>
  </si>
  <si>
    <t>Изолятор шлейфа ИЗ-1 прот.R3</t>
  </si>
  <si>
    <t>19.3.11</t>
  </si>
  <si>
    <t>Источник вторичного питания ИВЭПР 12/3,5 RSR Р БР</t>
  </si>
  <si>
    <t>19.3.12</t>
  </si>
  <si>
    <t>Оповещатель ОПОП 124-7</t>
  </si>
  <si>
    <t>19.3.13</t>
  </si>
  <si>
    <t>Прибор приемно-контрольный Рубеж-2ОП прот.R3</t>
  </si>
  <si>
    <t>19.3.14</t>
  </si>
  <si>
    <t>Кабель КПСнг(А)-FRLS 1х2х0,35</t>
  </si>
  <si>
    <t>Кабель КПСнг(А)-FRLS 1х2х0,50</t>
  </si>
  <si>
    <t>Кабель КПСнг(А)-FRLS 1х2х0,75</t>
  </si>
  <si>
    <t>Кабель КПСнг(А)-FRLS 1х2х1,0</t>
  </si>
  <si>
    <t>Гофрированная труба ПНД 20 мм</t>
  </si>
  <si>
    <t>Программатор ПКУ-1–R3</t>
  </si>
  <si>
    <t>Кабель-канал ПВХ 25х16 ИЭК</t>
  </si>
  <si>
    <t>Металлоконструкции (дюбель-гвозди, скобы и т.д.)</t>
  </si>
  <si>
    <t>Релейный модуль РМ-4</t>
  </si>
  <si>
    <t>19.4</t>
  </si>
  <si>
    <t>19.4.1</t>
  </si>
  <si>
    <t>Пожарная автоматика</t>
  </si>
  <si>
    <t>Извещатель ИПР-Кск (ИОПР 513/101-1)</t>
  </si>
  <si>
    <t>Извещатель ИО 102-20 Б2П (2)</t>
  </si>
  <si>
    <t>Метка адресная АМ-4 прот.R3</t>
  </si>
  <si>
    <t>Модуль МДУ-1 прот.R3</t>
  </si>
  <si>
    <t>Релейный модуль РМ-1 прот.R3</t>
  </si>
  <si>
    <t>Релейный модуль РМ-4 прот.R3</t>
  </si>
  <si>
    <t>ШУН/В-0,37-00-УК30-R3</t>
  </si>
  <si>
    <t>Шкаф ШУН/В-Т-3-R3</t>
  </si>
  <si>
    <t>Шкаф ШУН/В-Т-5,5-R3</t>
  </si>
  <si>
    <t>ШУН/В-Т-11-R3</t>
  </si>
  <si>
    <t>Преобразовать напряжения ПН-12/24-1,0</t>
  </si>
  <si>
    <t>ОС Windows 7</t>
  </si>
  <si>
    <t>Доводчик для двери FE-B5W</t>
  </si>
  <si>
    <t>Коробка монтажная УК-2П</t>
  </si>
  <si>
    <t>Кабель-канал ПВХ 20х10</t>
  </si>
  <si>
    <t>Металлконскрукции</t>
  </si>
  <si>
    <t>Кабель КПСнг(А)-FRLS 4х2х0,75</t>
  </si>
  <si>
    <t>Кабель КПСнг(А)-FRLS 1х2х0,5</t>
  </si>
  <si>
    <t>Витая пара FTP 4x2x0.5</t>
  </si>
  <si>
    <t>Витая пара FTP 2x2x0.5</t>
  </si>
  <si>
    <t>Кабель связи КПСВВнг(А)-LS 1х2х0,5</t>
  </si>
  <si>
    <t>Гофрированная труба ПНД 16 мм</t>
  </si>
  <si>
    <t>Труба жесткая ПВХ 20 мм</t>
  </si>
  <si>
    <t>Трубка стальная 25 мм</t>
  </si>
  <si>
    <t>19.4.2</t>
  </si>
  <si>
    <t>Диспетчеризация лифтов</t>
  </si>
  <si>
    <t>5-портовый 10/100 Мбит/с коммутатор TL-SF1005D</t>
  </si>
  <si>
    <t>Извещатель охранный магнитоуправляемый адресный ИО 102-20 А2П</t>
  </si>
  <si>
    <t>Лифтовой блок версии 7.2 - Р</t>
  </si>
  <si>
    <t>Кабель ВВГнг(А)-LS 3х2,5</t>
  </si>
  <si>
    <t>Розетка 2-х местная наружной установки</t>
  </si>
  <si>
    <t>Труба гофрированная ПНД 20 мм</t>
  </si>
  <si>
    <t>Кабель FTP</t>
  </si>
  <si>
    <t>Кабель UTP 4 пары кат. 5е</t>
  </si>
  <si>
    <t>Провод ШВВП 2х0,5</t>
  </si>
  <si>
    <t>Хомут нейлоновый 3,6х250</t>
  </si>
  <si>
    <t>уп</t>
  </si>
  <si>
    <t>Точка доступа UBIQUITI LOCOM2</t>
  </si>
  <si>
    <t>Беспроводной роутер Keenetic Omni</t>
  </si>
  <si>
    <t>Модуль переговорной связи</t>
  </si>
  <si>
    <t>Устройство переговорное</t>
  </si>
  <si>
    <t>20.1</t>
  </si>
  <si>
    <t>Разработка проекта башенного крана с экспертизой проекта</t>
  </si>
  <si>
    <t>Щебень 5х20</t>
  </si>
  <si>
    <t>Щебень 20х40</t>
  </si>
  <si>
    <t>мес.</t>
  </si>
  <si>
    <t>Материалы для обслуживания крана - 42%</t>
  </si>
  <si>
    <t>20.2</t>
  </si>
  <si>
    <t xml:space="preserve">Подъемник мачтовый </t>
  </si>
  <si>
    <t>Покупка мачтового подъемника ПМГ-1-2000</t>
  </si>
  <si>
    <t>Кран КСП-500</t>
  </si>
  <si>
    <t>20.3</t>
  </si>
  <si>
    <t xml:space="preserve">Подъемник фасадный </t>
  </si>
  <si>
    <t>Покупка фасадного подъемника ZLP-630</t>
  </si>
  <si>
    <t>ООО "ТИТАН ГРУПП"</t>
  </si>
  <si>
    <t>АО ПСВ</t>
  </si>
  <si>
    <t>Крепеж (DX патрон + гвоздь по бетону Х-С 47 PS)</t>
  </si>
  <si>
    <t>Устройство насыпи под забивку свай</t>
  </si>
  <si>
    <t>1.6</t>
  </si>
  <si>
    <t>2.6</t>
  </si>
  <si>
    <t xml:space="preserve">Лидерное бурение </t>
  </si>
  <si>
    <t>Штукатурка внутренних стен  + Шагрень (грунт АКСУ в один слой, шпатлевка масляно-клеевая до 2 мм, покраска интерьерной краской) (работа+материал)</t>
  </si>
  <si>
    <t>Штукатурка ж/б пилонов + Шагрень (грунт АКСУ в один слой, шпатлевка масляно-клеевая до 2 мм, покраска интерьерной краской) (работа+материал)</t>
  </si>
  <si>
    <t>Обрамление лифтовых порталов 1,2мм</t>
  </si>
  <si>
    <t>Раздел 1. Земляные работы</t>
  </si>
  <si>
    <t>1.1</t>
  </si>
  <si>
    <t>ИТОГО по разделу:</t>
  </si>
  <si>
    <t>Стоимость единицы, руб.</t>
  </si>
  <si>
    <t>1.7</t>
  </si>
  <si>
    <t>в том числе НДС 20%</t>
  </si>
  <si>
    <t>1. Земляные работы</t>
  </si>
  <si>
    <t>2. Свайное поле</t>
  </si>
  <si>
    <t>Испытание сваи С80.35-НСв-6</t>
  </si>
  <si>
    <t>Раздел 2. Свайное поле</t>
  </si>
  <si>
    <t>2.2.1</t>
  </si>
  <si>
    <t>Раздел 3. Монолитный железобетонный каркас</t>
  </si>
  <si>
    <t>3.6.8</t>
  </si>
  <si>
    <t>3.6.9</t>
  </si>
  <si>
    <t>3.6.10</t>
  </si>
  <si>
    <t>3.6.11</t>
  </si>
  <si>
    <t>3.6.12</t>
  </si>
  <si>
    <t>3.6.13</t>
  </si>
  <si>
    <t>3.6.14</t>
  </si>
  <si>
    <t>3.6.15</t>
  </si>
  <si>
    <t>3.8.1</t>
  </si>
  <si>
    <t>3.8.2</t>
  </si>
  <si>
    <t>3.8.3</t>
  </si>
  <si>
    <t>3.8.4</t>
  </si>
  <si>
    <t>3.8.5</t>
  </si>
  <si>
    <t>Устройство подбетонки входных групп</t>
  </si>
  <si>
    <t>3.10.4</t>
  </si>
  <si>
    <t>3.10.5</t>
  </si>
  <si>
    <t>3.10.6</t>
  </si>
  <si>
    <t>Устройство лестничных маршей</t>
  </si>
  <si>
    <t>3.11.3</t>
  </si>
  <si>
    <t>3.12</t>
  </si>
  <si>
    <t>3.12.1</t>
  </si>
  <si>
    <t>Монтаж ограждения лестничных маршей</t>
  </si>
  <si>
    <t>3.13</t>
  </si>
  <si>
    <t>3.13.1</t>
  </si>
  <si>
    <t>3.13.2</t>
  </si>
  <si>
    <t>3.13.3</t>
  </si>
  <si>
    <t>Устройство оклеечной гидроизоляции в 2 слоя</t>
  </si>
  <si>
    <t>3.14</t>
  </si>
  <si>
    <t>3.14.1</t>
  </si>
  <si>
    <t>3.14.2</t>
  </si>
  <si>
    <t>3.14.3</t>
  </si>
  <si>
    <t>3.15</t>
  </si>
  <si>
    <t>3.16</t>
  </si>
  <si>
    <t>3.17</t>
  </si>
  <si>
    <t>3. Монолитный железобетонный каркас</t>
  </si>
  <si>
    <t>Раздел 4. Наружные стены</t>
  </si>
  <si>
    <t>4.1.8</t>
  </si>
  <si>
    <t>Изготовление закладных деталей ЗД</t>
  </si>
  <si>
    <t>4.3.3</t>
  </si>
  <si>
    <t>Устройство швов наружной кладки</t>
  </si>
  <si>
    <t>4.4.3</t>
  </si>
  <si>
    <t>Ursa р=30 кг/м3 (250 мм)</t>
  </si>
  <si>
    <t>4.8</t>
  </si>
  <si>
    <t>4.7</t>
  </si>
  <si>
    <t>Кладка ограждений холодных балконов из силикатного кирпича</t>
  </si>
  <si>
    <t>4.8.4</t>
  </si>
  <si>
    <t>Металлическое усиление ограждений холодных балконов</t>
  </si>
  <si>
    <t>4.6.9</t>
  </si>
  <si>
    <t>4.6.4</t>
  </si>
  <si>
    <t>4.6.5</t>
  </si>
  <si>
    <t>4.6.6</t>
  </si>
  <si>
    <t>4.6.7</t>
  </si>
  <si>
    <t>4.6.8</t>
  </si>
  <si>
    <t>4.6.10</t>
  </si>
  <si>
    <t>4.6.11</t>
  </si>
  <si>
    <t>Металлическое ограждение незадымляемых балконов</t>
  </si>
  <si>
    <t>4.7.1</t>
  </si>
  <si>
    <t>4.7.2</t>
  </si>
  <si>
    <t>4.7.3</t>
  </si>
  <si>
    <t>4.7.4</t>
  </si>
  <si>
    <t>4.7.5</t>
  </si>
  <si>
    <t>4.7.6</t>
  </si>
  <si>
    <t>4.7.7</t>
  </si>
  <si>
    <t>4.7.8</t>
  </si>
  <si>
    <t>4.7.9</t>
  </si>
  <si>
    <t>4.7.10</t>
  </si>
  <si>
    <t>4.8.1</t>
  </si>
  <si>
    <t>4.8.2</t>
  </si>
  <si>
    <t>4.8.3</t>
  </si>
  <si>
    <t>4.8.5</t>
  </si>
  <si>
    <t>4.8.6</t>
  </si>
  <si>
    <t>4.9</t>
  </si>
  <si>
    <t>4.9.6</t>
  </si>
  <si>
    <t>4.9.1</t>
  </si>
  <si>
    <t>4.9.2</t>
  </si>
  <si>
    <t>4.10</t>
  </si>
  <si>
    <t>4.10.1</t>
  </si>
  <si>
    <t>4.10.2</t>
  </si>
  <si>
    <t>4.9.3</t>
  </si>
  <si>
    <t>4.9.4</t>
  </si>
  <si>
    <t>4.9.5</t>
  </si>
  <si>
    <t>4.9.7</t>
  </si>
  <si>
    <t>4.9.8</t>
  </si>
  <si>
    <t>4.9.9</t>
  </si>
  <si>
    <t>4.9.10</t>
  </si>
  <si>
    <t>4.9.11</t>
  </si>
  <si>
    <t>4.9.12</t>
  </si>
  <si>
    <t>4.9.13</t>
  </si>
  <si>
    <t>4.11</t>
  </si>
  <si>
    <t>Устройство монолитных поясов МП-1-3</t>
  </si>
  <si>
    <t>4.11.1</t>
  </si>
  <si>
    <t>4.11.2</t>
  </si>
  <si>
    <t>4.11.3</t>
  </si>
  <si>
    <t>4. Наружные стены</t>
  </si>
  <si>
    <t>Раздел 5. Внутренние стены и перегородки</t>
  </si>
  <si>
    <t>Кладка межквартирных стен из блоков бетонных</t>
  </si>
  <si>
    <t>Блок бетонный стеновой полнотелый КСР-ПР-39-75-1900 по ГОСТ 6133-2019</t>
  </si>
  <si>
    <t>Кладка внутренних стен из блоков керамзитобетонных</t>
  </si>
  <si>
    <t>Цементно-известняковый раствор М75, Пк2 ГОСТ 28013-98*</t>
  </si>
  <si>
    <t>5.3.3</t>
  </si>
  <si>
    <t>5.3.4</t>
  </si>
  <si>
    <t>Стена, разделяющая выход из лестничной клетки от хоз помещения 250мм</t>
  </si>
  <si>
    <t>Монтаж стальных перемычек для внутренних стен</t>
  </si>
  <si>
    <t>Монтаж стальных перемычек для наружных стен</t>
  </si>
  <si>
    <t>Монтаж перемычек деревянных</t>
  </si>
  <si>
    <t>5.7.4</t>
  </si>
  <si>
    <t>5.7.5</t>
  </si>
  <si>
    <t>Устройство перегородок из блоков керамзитобетонных с 2 по 24 эт с/у (без внутриквартирных перегородок )</t>
  </si>
  <si>
    <t>Монтаж поддонов шахт на техн. этаже</t>
  </si>
  <si>
    <t>5.12.3</t>
  </si>
  <si>
    <t>5.12.4</t>
  </si>
  <si>
    <t>Монтаж опорных столбов поддонов</t>
  </si>
  <si>
    <t>5.14.1</t>
  </si>
  <si>
    <t>5.14.2</t>
  </si>
  <si>
    <t>5.14.3</t>
  </si>
  <si>
    <t>5.15</t>
  </si>
  <si>
    <t>5.15.1</t>
  </si>
  <si>
    <t>Монтаж люков приямков</t>
  </si>
  <si>
    <t>5.15.2</t>
  </si>
  <si>
    <t>5.15.3</t>
  </si>
  <si>
    <t>5.15.4</t>
  </si>
  <si>
    <t>5.15.5</t>
  </si>
  <si>
    <t>5.15.6</t>
  </si>
  <si>
    <t>5.16</t>
  </si>
  <si>
    <t>Раздел 6. Устройство фасада СФТК</t>
  </si>
  <si>
    <t>Изготовление кронштейнов под кондиционеры (L=288мм) на штукатурном фасаде</t>
  </si>
  <si>
    <t>6.7</t>
  </si>
  <si>
    <t>Монтаж кронштейнов под кондиционеры (L=288мм) на штукатурном фасаде</t>
  </si>
  <si>
    <t>5. Внутренние стены и перегородки</t>
  </si>
  <si>
    <t>6. Устройство фасада СФТК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</si>
  <si>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</si>
  <si>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</si>
  <si>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</si>
  <si>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</si>
  <si>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</si>
  <si>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</si>
  <si>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</si>
  <si>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</si>
  <si>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</si>
  <si>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</si>
  <si>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</si>
  <si>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</si>
  <si>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</si>
  <si>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</si>
  <si>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</si>
  <si>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7.1.17</t>
  </si>
  <si>
    <t>7.1.18</t>
  </si>
  <si>
    <t>7.1.19</t>
  </si>
  <si>
    <t>7.1.20</t>
  </si>
  <si>
    <t>7.1.21</t>
  </si>
  <si>
    <t>7.1.22</t>
  </si>
  <si>
    <t>7.1.23</t>
  </si>
  <si>
    <t>7.1.24</t>
  </si>
  <si>
    <t>7.1.25</t>
  </si>
  <si>
    <t>7.1.26</t>
  </si>
  <si>
    <t>7.1.27</t>
  </si>
  <si>
    <t>7.1.28</t>
  </si>
  <si>
    <t>7.1.29</t>
  </si>
  <si>
    <t>7.1.30</t>
  </si>
  <si>
    <t>7.1.31</t>
  </si>
  <si>
    <t>7.1.32</t>
  </si>
  <si>
    <t>7.1.33</t>
  </si>
  <si>
    <t>7.1.34</t>
  </si>
  <si>
    <t>7.1.35</t>
  </si>
  <si>
    <t>7.1.36</t>
  </si>
  <si>
    <t>Корзины кондиционеров (вентилируемый фасад)</t>
  </si>
  <si>
    <t>Изготовление кронштейнов кондиционеров (L=438мм)</t>
  </si>
  <si>
    <t>Монтаж кронштейнов кондиционеров (L=438мм)</t>
  </si>
  <si>
    <t>7.5</t>
  </si>
  <si>
    <t>7.5.3</t>
  </si>
  <si>
    <t>7.5.4</t>
  </si>
  <si>
    <t>7.6</t>
  </si>
  <si>
    <t>Раздел 7. Устройство фасада НВФ</t>
  </si>
  <si>
    <t>7. Устройство фасада НВФ</t>
  </si>
  <si>
    <t>Раздел 8. Устройство СПК</t>
  </si>
  <si>
    <t>Устройство "теплых" витражей входных групп</t>
  </si>
  <si>
    <t>8.2.1</t>
  </si>
  <si>
    <t>Материалы для устройства "теплых" витражей входных групп</t>
  </si>
  <si>
    <t>8. Устройство СПК</t>
  </si>
  <si>
    <t>Раздел 9. Устройство ПВХ конструкций</t>
  </si>
  <si>
    <t>Материалы для крепления ПВХ-конструкций</t>
  </si>
  <si>
    <t xml:space="preserve">Устройство ПВХ заполнений холодных балконов </t>
  </si>
  <si>
    <t>9. Устройство ПВХ конструкций</t>
  </si>
  <si>
    <t>9.8</t>
  </si>
  <si>
    <t>Стоимость изготовления ПВХ конструкций</t>
  </si>
  <si>
    <t>9.8.1</t>
  </si>
  <si>
    <t>9.8.2</t>
  </si>
  <si>
    <t>9.8.3</t>
  </si>
  <si>
    <t>9.8.4</t>
  </si>
  <si>
    <t>9.8.5</t>
  </si>
  <si>
    <t>9.8.6</t>
  </si>
  <si>
    <t>9.8.7</t>
  </si>
  <si>
    <t>9.8.8</t>
  </si>
  <si>
    <t>9.8.9</t>
  </si>
  <si>
    <t>9.8.10</t>
  </si>
  <si>
    <t>9.8.11</t>
  </si>
  <si>
    <t>9.8.12</t>
  </si>
  <si>
    <t>9.8.13</t>
  </si>
  <si>
    <t>9.8.14</t>
  </si>
  <si>
    <t>9.8.15</t>
  </si>
  <si>
    <t>9.8.16</t>
  </si>
  <si>
    <t>9.8.17</t>
  </si>
  <si>
    <t>9.8.18</t>
  </si>
  <si>
    <t>9.8.19</t>
  </si>
  <si>
    <t>9.8.20</t>
  </si>
  <si>
    <t>Установка дверей деревянных наружных</t>
  </si>
  <si>
    <t>Установка дверей деревянных внутренних</t>
  </si>
  <si>
    <t>Раздел 10. Заполнение дверных проемов</t>
  </si>
  <si>
    <t>10.1.1</t>
  </si>
  <si>
    <t>10.1.2</t>
  </si>
  <si>
    <t>10.2.1</t>
  </si>
  <si>
    <t>10.2.2</t>
  </si>
  <si>
    <t xml:space="preserve"> ДН 21-14  белый + доводчик</t>
  </si>
  <si>
    <t>Установка дверей металлических однопольных</t>
  </si>
  <si>
    <t>Установка дверей металлических двупольных</t>
  </si>
  <si>
    <t>10.3.1</t>
  </si>
  <si>
    <t>10.3.2</t>
  </si>
  <si>
    <t>10.3.3</t>
  </si>
  <si>
    <t>10.3.4</t>
  </si>
  <si>
    <t>10.3.5</t>
  </si>
  <si>
    <t>10.3.6</t>
  </si>
  <si>
    <t>10.4.1</t>
  </si>
  <si>
    <t>10.4.2</t>
  </si>
  <si>
    <t>10.4.3</t>
  </si>
  <si>
    <t>10.4.4</t>
  </si>
  <si>
    <t>10.4.5</t>
  </si>
  <si>
    <t>10.4.6</t>
  </si>
  <si>
    <t>10.4.7</t>
  </si>
  <si>
    <t>10.4.8</t>
  </si>
  <si>
    <t>Установка дверей прочих</t>
  </si>
  <si>
    <t>Установка дверей металлических двупольных наружных</t>
  </si>
  <si>
    <t>10.5.</t>
  </si>
  <si>
    <t>10.6.1</t>
  </si>
  <si>
    <t>10. Заполнение дверных проемов</t>
  </si>
  <si>
    <t>Раздел 11. Устройство кровли</t>
  </si>
  <si>
    <t>Устройство основной кровли</t>
  </si>
  <si>
    <t>11.14.5</t>
  </si>
  <si>
    <t>11.14.6</t>
  </si>
  <si>
    <t>11.14.8</t>
  </si>
  <si>
    <t>11.14.7</t>
  </si>
  <si>
    <t>11.14.9</t>
  </si>
  <si>
    <t>11.15.6</t>
  </si>
  <si>
    <t>11.15.7</t>
  </si>
  <si>
    <t>11.15.8</t>
  </si>
  <si>
    <t>11.16.5</t>
  </si>
  <si>
    <t>11.16.6</t>
  </si>
  <si>
    <t>11.16.7</t>
  </si>
  <si>
    <t>11.16.8</t>
  </si>
  <si>
    <t>11.17.7</t>
  </si>
  <si>
    <t>11.17.8</t>
  </si>
  <si>
    <t>11.17.9</t>
  </si>
  <si>
    <t>11. Устройство кровли</t>
  </si>
  <si>
    <t>Раздел 12. Устройство входных групп</t>
  </si>
  <si>
    <t>Монолитный поликарбонат 5 мм Бронза С502УФ</t>
  </si>
  <si>
    <t>12.2.10</t>
  </si>
  <si>
    <t>12.2.11</t>
  </si>
  <si>
    <t>12.2.12</t>
  </si>
  <si>
    <t>12.2.13</t>
  </si>
  <si>
    <t>12.2.14</t>
  </si>
  <si>
    <t>12.2.15</t>
  </si>
  <si>
    <t>12.2.16</t>
  </si>
  <si>
    <t>12.2.17</t>
  </si>
  <si>
    <t>12.8.3</t>
  </si>
  <si>
    <t>12. Устройство входных групп</t>
  </si>
  <si>
    <t>Раздел 14. Монтаж лифтов</t>
  </si>
  <si>
    <t>Монтаж - Лифт №1 пассажирский OTIS 2000R</t>
  </si>
  <si>
    <t>14.3.1</t>
  </si>
  <si>
    <t>14.3.2</t>
  </si>
  <si>
    <t>Монтаж обрамления лифтовых порталов</t>
  </si>
  <si>
    <t>14.4.1</t>
  </si>
  <si>
    <t>14.4.2</t>
  </si>
  <si>
    <t>14.4.3</t>
  </si>
  <si>
    <t>14.4.4</t>
  </si>
  <si>
    <t>14. Монтаж лифтов</t>
  </si>
  <si>
    <t>Раздел 13. Отделочные работы</t>
  </si>
  <si>
    <t>Потолок ГКЛ на металлическом каркасе в МОП</t>
  </si>
  <si>
    <t>Шпатлевка гипсовой смесью в МОП</t>
  </si>
  <si>
    <t>Шпатлевка гипсовой смесью лестничной клетки</t>
  </si>
  <si>
    <t>Окраска за 2 раза лестничной клетки</t>
  </si>
  <si>
    <t>13.4</t>
  </si>
  <si>
    <t>13.4.1</t>
  </si>
  <si>
    <t>13.4.2</t>
  </si>
  <si>
    <t>13.4.3</t>
  </si>
  <si>
    <t>13.4.4</t>
  </si>
  <si>
    <t>13.5</t>
  </si>
  <si>
    <t>13.5.1</t>
  </si>
  <si>
    <t>13.5.2</t>
  </si>
  <si>
    <t>13.5.3</t>
  </si>
  <si>
    <t>13.5.4</t>
  </si>
  <si>
    <t>13.5.5</t>
  </si>
  <si>
    <t>13.5.6</t>
  </si>
  <si>
    <t>Штукатурка стен лестничной клетки - 15мм</t>
  </si>
  <si>
    <t>Штукатурка по сетке стен лестничной клетки - 20мм</t>
  </si>
  <si>
    <t>Шпатлевка гипсовой смесью стен лестничной клетки</t>
  </si>
  <si>
    <t>Окраска за 2 раза стен лестничной клетки</t>
  </si>
  <si>
    <t>Утепление стен лестничной клетки стен лестничной клетки</t>
  </si>
  <si>
    <t>13.6</t>
  </si>
  <si>
    <t>13.6.1</t>
  </si>
  <si>
    <t>13.6.2</t>
  </si>
  <si>
    <t>13.7.3</t>
  </si>
  <si>
    <t>13.10.4</t>
  </si>
  <si>
    <t>13.10.5</t>
  </si>
  <si>
    <t>13.11.3</t>
  </si>
  <si>
    <t>13.11.4</t>
  </si>
  <si>
    <t>13.11.5</t>
  </si>
  <si>
    <t>13.11.6</t>
  </si>
  <si>
    <t>13.11.7</t>
  </si>
  <si>
    <t>13.11.8</t>
  </si>
  <si>
    <t>13.16.1</t>
  </si>
  <si>
    <t>13.12.3</t>
  </si>
  <si>
    <t>13.12.4</t>
  </si>
  <si>
    <t>13.12.5</t>
  </si>
  <si>
    <t>13.12.6</t>
  </si>
  <si>
    <t>13.12.7</t>
  </si>
  <si>
    <t>13.15.1</t>
  </si>
  <si>
    <t>13.15.3</t>
  </si>
  <si>
    <t>13.15</t>
  </si>
  <si>
    <t>13.15.2</t>
  </si>
  <si>
    <t>13.16</t>
  </si>
  <si>
    <t>13.16.2</t>
  </si>
  <si>
    <t>13.25</t>
  </si>
  <si>
    <t>13.26</t>
  </si>
  <si>
    <t>13.27</t>
  </si>
  <si>
    <t>13.28</t>
  </si>
  <si>
    <t>13.29</t>
  </si>
  <si>
    <t>13.30</t>
  </si>
  <si>
    <t>13.30.2</t>
  </si>
  <si>
    <t>13.30.3</t>
  </si>
  <si>
    <t>13.30.4</t>
  </si>
  <si>
    <t>13.31</t>
  </si>
  <si>
    <t>13.31.3</t>
  </si>
  <si>
    <t>13.31.4</t>
  </si>
  <si>
    <t>13.31.2</t>
  </si>
  <si>
    <t>13.32</t>
  </si>
  <si>
    <t>13.33</t>
  </si>
  <si>
    <t>13. Отделочные работы</t>
  </si>
  <si>
    <t>Раздел 15. Система отопления</t>
  </si>
  <si>
    <t>Прокладка трубопроводов отопления Ду 100 мм</t>
  </si>
  <si>
    <t>Прокладка трубопроводов отопления Ду 80 мм</t>
  </si>
  <si>
    <t>Прокладка трубопроводов отопления Ду 65 мм</t>
  </si>
  <si>
    <t>Прокладка трубопроводов отопления Ду 50 мм</t>
  </si>
  <si>
    <t>Прокладка трубопроводов отопления Ду 40 мм</t>
  </si>
  <si>
    <t>Прокладка трубопроводов отопления Ду 32 мм</t>
  </si>
  <si>
    <t>Прокладка трубопроводов отопления Ду 25 мм</t>
  </si>
  <si>
    <t>Прокладка трубопроводов отопления Ду 20 мм</t>
  </si>
  <si>
    <t>Прокладка трубопроводов отопления Ду 15 мм</t>
  </si>
  <si>
    <t>15.4.2</t>
  </si>
  <si>
    <t>15.5.2</t>
  </si>
  <si>
    <t>15.7.2</t>
  </si>
  <si>
    <t>15.2.5</t>
  </si>
  <si>
    <t>15.4.3</t>
  </si>
  <si>
    <t>15.5.3</t>
  </si>
  <si>
    <t>15.5.4</t>
  </si>
  <si>
    <t>15.7.3</t>
  </si>
  <si>
    <t>15.7.4</t>
  </si>
  <si>
    <t>15.7.5</t>
  </si>
  <si>
    <t>15.2.6</t>
  </si>
  <si>
    <t>15.4.4</t>
  </si>
  <si>
    <t>15.5.5</t>
  </si>
  <si>
    <t>материалы для прокладки трубопроводов</t>
  </si>
  <si>
    <t>15.10.3</t>
  </si>
  <si>
    <t>15.10.4</t>
  </si>
  <si>
    <t>15.10.5</t>
  </si>
  <si>
    <t>15.10.6</t>
  </si>
  <si>
    <t>15.10.7</t>
  </si>
  <si>
    <t>15.10.8</t>
  </si>
  <si>
    <t>15.10.9</t>
  </si>
  <si>
    <t>Установка воздухосборника</t>
  </si>
  <si>
    <t>Воздухосборник горизонтальный А1И 020.000-03, Pу=1,2Мпа, Dn=325мм ду 100 мм, в комплекте с воздухоотводчиком</t>
  </si>
  <si>
    <t>Прокат толстолистовой из углеродистой стали 10 мм</t>
  </si>
  <si>
    <t>Прокат толстолистовой из углеродистой стали 6 мм</t>
  </si>
  <si>
    <t>15.14.3</t>
  </si>
  <si>
    <t>15.14.4</t>
  </si>
  <si>
    <t>15.15.1</t>
  </si>
  <si>
    <t>15.15.2</t>
  </si>
  <si>
    <t>15.15.3</t>
  </si>
  <si>
    <t>15.15.4</t>
  </si>
  <si>
    <t>15.15.5</t>
  </si>
  <si>
    <t>15.16.1</t>
  </si>
  <si>
    <t>15.16.2</t>
  </si>
  <si>
    <t>15.16.3</t>
  </si>
  <si>
    <t>15.16.4</t>
  </si>
  <si>
    <t>Установка сильфонных компенсаторов Ду 20-25 мм</t>
  </si>
  <si>
    <t>15.17</t>
  </si>
  <si>
    <t>Установка сильфонных компенсаторов Ду 100 мм</t>
  </si>
  <si>
    <t>15.17.1</t>
  </si>
  <si>
    <t>15.17.2</t>
  </si>
  <si>
    <t>15.18</t>
  </si>
  <si>
    <t>15.18.1</t>
  </si>
  <si>
    <t>15.19</t>
  </si>
  <si>
    <t>15.19.1</t>
  </si>
  <si>
    <t>15.20</t>
  </si>
  <si>
    <t>15.20.1</t>
  </si>
  <si>
    <t>15.20.2</t>
  </si>
  <si>
    <t>15.20.3</t>
  </si>
  <si>
    <t>15.20.4</t>
  </si>
  <si>
    <t>15.20.5</t>
  </si>
  <si>
    <t>15.20.6</t>
  </si>
  <si>
    <t>15.20.7</t>
  </si>
  <si>
    <t>15.20.8</t>
  </si>
  <si>
    <t>15.20.9</t>
  </si>
  <si>
    <t>15.21</t>
  </si>
  <si>
    <t>15.21.1</t>
  </si>
  <si>
    <t>15.22</t>
  </si>
  <si>
    <t>15.22.1</t>
  </si>
  <si>
    <t>15.22.2</t>
  </si>
  <si>
    <t>15.22.3</t>
  </si>
  <si>
    <t>15.22.4</t>
  </si>
  <si>
    <t>15.22.5</t>
  </si>
  <si>
    <t>15.22.6</t>
  </si>
  <si>
    <t>15.22.7</t>
  </si>
  <si>
    <t>15.22.8</t>
  </si>
  <si>
    <t>15.22.9</t>
  </si>
  <si>
    <t>15.22.10</t>
  </si>
  <si>
    <t>15.22.11</t>
  </si>
  <si>
    <t>15.22.12</t>
  </si>
  <si>
    <t>15.22.13</t>
  </si>
  <si>
    <t>15.22.14</t>
  </si>
  <si>
    <t>15.22.15</t>
  </si>
  <si>
    <t>15.22.16</t>
  </si>
  <si>
    <t>15.22.17</t>
  </si>
  <si>
    <t>15.22.18</t>
  </si>
  <si>
    <t>15.22.19</t>
  </si>
  <si>
    <t>15.22.20</t>
  </si>
  <si>
    <t>15.22.21</t>
  </si>
  <si>
    <t>15.22.22</t>
  </si>
  <si>
    <t>15.22.23</t>
  </si>
  <si>
    <t>15.22.24</t>
  </si>
  <si>
    <t>15.22.25</t>
  </si>
  <si>
    <t>15.22.26</t>
  </si>
  <si>
    <t>15.22.27</t>
  </si>
  <si>
    <t>15.22.28</t>
  </si>
  <si>
    <t>15.22.29</t>
  </si>
  <si>
    <t>15.22.30</t>
  </si>
  <si>
    <t>15.22.31</t>
  </si>
  <si>
    <t>15.22.32</t>
  </si>
  <si>
    <t>15.22.33</t>
  </si>
  <si>
    <t>15.22.34</t>
  </si>
  <si>
    <t>15.22.35</t>
  </si>
  <si>
    <t>15.22.36</t>
  </si>
  <si>
    <t>15.22.37</t>
  </si>
  <si>
    <t>15.22.38</t>
  </si>
  <si>
    <t>15.22.39</t>
  </si>
  <si>
    <t>15.22.40</t>
  </si>
  <si>
    <t>15.22.41</t>
  </si>
  <si>
    <t>15.22.42</t>
  </si>
  <si>
    <t>15.22.43</t>
  </si>
  <si>
    <t>15.22.44</t>
  </si>
  <si>
    <t>15.22.45</t>
  </si>
  <si>
    <t>15.22.46</t>
  </si>
  <si>
    <t>15.22.47</t>
  </si>
  <si>
    <t>15.22.48</t>
  </si>
  <si>
    <t>15.22.49</t>
  </si>
  <si>
    <t>15.22.50</t>
  </si>
  <si>
    <t>15.22.51</t>
  </si>
  <si>
    <t>15.22.52</t>
  </si>
  <si>
    <t>15.22.53</t>
  </si>
  <si>
    <t>15.22.54</t>
  </si>
  <si>
    <t>15.22.55</t>
  </si>
  <si>
    <t>15.22.56</t>
  </si>
  <si>
    <t>15.22.57</t>
  </si>
  <si>
    <t>15.22.58</t>
  </si>
  <si>
    <t>15.22.59</t>
  </si>
  <si>
    <t>15.22.60</t>
  </si>
  <si>
    <t>15.22.61</t>
  </si>
  <si>
    <t>15.22.62</t>
  </si>
  <si>
    <t>15.22.63</t>
  </si>
  <si>
    <t>15.22.64</t>
  </si>
  <si>
    <t>15.22.65</t>
  </si>
  <si>
    <t>15.22.66</t>
  </si>
  <si>
    <t>15.22.67</t>
  </si>
  <si>
    <t>15.22.68</t>
  </si>
  <si>
    <t>15.22.69</t>
  </si>
  <si>
    <t>15.22.70</t>
  </si>
  <si>
    <t>15.22.71</t>
  </si>
  <si>
    <t>15.22.72</t>
  </si>
  <si>
    <t>15.23</t>
  </si>
  <si>
    <t>Монтаж кронштейнов напольных радиаторов</t>
  </si>
  <si>
    <t>15.23.1</t>
  </si>
  <si>
    <t>15.24</t>
  </si>
  <si>
    <t>15.24.1</t>
  </si>
  <si>
    <t>15.24.2</t>
  </si>
  <si>
    <t>15.24.3</t>
  </si>
  <si>
    <t>15.24.4</t>
  </si>
  <si>
    <t>15.25</t>
  </si>
  <si>
    <t>15.25.1</t>
  </si>
  <si>
    <t>15.25.2</t>
  </si>
  <si>
    <t>15.26</t>
  </si>
  <si>
    <t>Монтаж запорной и регулирующей арматуры Ду 50-100 мм</t>
  </si>
  <si>
    <t>15.26.1</t>
  </si>
  <si>
    <t>15.26.2</t>
  </si>
  <si>
    <t>15.26.3</t>
  </si>
  <si>
    <t>Монтаж запорной и регулирующей арматуры до Ду 50</t>
  </si>
  <si>
    <t>15.26.4</t>
  </si>
  <si>
    <t>15.26.5</t>
  </si>
  <si>
    <t>15.26.6</t>
  </si>
  <si>
    <t>15.26.7</t>
  </si>
  <si>
    <t>15.26.8</t>
  </si>
  <si>
    <t>15.26.9</t>
  </si>
  <si>
    <t>15.26.10</t>
  </si>
  <si>
    <t>15.26.11</t>
  </si>
  <si>
    <t>15.26.12</t>
  </si>
  <si>
    <t>15.26.13</t>
  </si>
  <si>
    <t>15.26.14</t>
  </si>
  <si>
    <t>15.26.15</t>
  </si>
  <si>
    <t>15.26.16</t>
  </si>
  <si>
    <t>15.26.17</t>
  </si>
  <si>
    <t>15.26.18</t>
  </si>
  <si>
    <t>15.26.19</t>
  </si>
  <si>
    <t>15.26.20</t>
  </si>
  <si>
    <t>15.26.21</t>
  </si>
  <si>
    <t>15.26.22</t>
  </si>
  <si>
    <t>15.26.23</t>
  </si>
  <si>
    <t>15.26.24</t>
  </si>
  <si>
    <t>15.26.25</t>
  </si>
  <si>
    <t>15.26.26</t>
  </si>
  <si>
    <t>15.27</t>
  </si>
  <si>
    <t>15.27.1</t>
  </si>
  <si>
    <t>15.27.2</t>
  </si>
  <si>
    <t>15.27.3</t>
  </si>
  <si>
    <t>15.27.4</t>
  </si>
  <si>
    <t>15.28</t>
  </si>
  <si>
    <t>15.28.1</t>
  </si>
  <si>
    <t>15.28.2</t>
  </si>
  <si>
    <t>15.28.3</t>
  </si>
  <si>
    <t>15.28.4</t>
  </si>
  <si>
    <t>15.28.5</t>
  </si>
  <si>
    <t>Монтаж индивидуального теплового пункта</t>
  </si>
  <si>
    <t>15.29</t>
  </si>
  <si>
    <t>15.29.1</t>
  </si>
  <si>
    <t>15.30</t>
  </si>
  <si>
    <t>15.30.1</t>
  </si>
  <si>
    <t>15. Система отопления</t>
  </si>
  <si>
    <t>Раздел 16. Система водоснабжения</t>
  </si>
  <si>
    <t>Монтаж водяного спринклерного оросителя</t>
  </si>
  <si>
    <t>Монтаж сигнализатора потока жидкости</t>
  </si>
  <si>
    <t>Установка шкафов пожарных квартирных</t>
  </si>
  <si>
    <t>16.5.3</t>
  </si>
  <si>
    <t>16.5.4</t>
  </si>
  <si>
    <t>Монтаж узелов учета ХВС Ду=65мм</t>
  </si>
  <si>
    <t>Счетчик холодной воды турбинный Ду=65мм ВСХН-66</t>
  </si>
  <si>
    <t>Монтаж узелов учета ХВС Ду=100мм</t>
  </si>
  <si>
    <t>Установка узлов учета ХВС квартирных</t>
  </si>
  <si>
    <t xml:space="preserve">Счетчик холодной воды крыльчатый Ду=40мм ВСХ-40 </t>
  </si>
  <si>
    <t>16.8.3</t>
  </si>
  <si>
    <t>Прокладка трубопроводов водоснабжения Ду 15 мм</t>
  </si>
  <si>
    <t>Прокладка трубопроводов водоснабжения Ду 20 мм</t>
  </si>
  <si>
    <t>Прокладка трубопроводов водоснабжения Ду 25 мм</t>
  </si>
  <si>
    <t>Прокладка трубопроводов водоснабжения Ду 32 мм</t>
  </si>
  <si>
    <t>Прокладка трубопроводов водоснабжения Ду 40 мм</t>
  </si>
  <si>
    <t>Прокладка трубопроводов водоснабжения Ду 50 мм</t>
  </si>
  <si>
    <t>Прокладка трубопроводов водоснабжения Ду 65 мм</t>
  </si>
  <si>
    <t>Прокладка трубопроводов водоснабжения Ду 80 мм</t>
  </si>
  <si>
    <t>Прокладка трубопроводов водоснабжения Ду 100 мм</t>
  </si>
  <si>
    <t>16.14</t>
  </si>
  <si>
    <t>16.15</t>
  </si>
  <si>
    <t>16.16</t>
  </si>
  <si>
    <t>16.17</t>
  </si>
  <si>
    <t>Трубы стальные водогазопроводные оцинкованные Ø 15 мм</t>
  </si>
  <si>
    <t>Трубы стальные водогазопроводные оцинкованные Ø 20 мм</t>
  </si>
  <si>
    <t>Трубы стальные водогазопроводные оцинкованные Ø 25 мм</t>
  </si>
  <si>
    <t>Трубы стальные водогазопроводные оцинкованные Ø 32 мм</t>
  </si>
  <si>
    <t>Трубы стальные водогазопроводные оцинкованные Ø 40 мм</t>
  </si>
  <si>
    <t>Трубы стальные электросварные оцинкованные Ø 57 мм</t>
  </si>
  <si>
    <t>Трубы стальные электросварные оцинкованные Ø 76 мм</t>
  </si>
  <si>
    <t>Трубы стальные электросварные оцинкованные Ø 89 мм</t>
  </si>
  <si>
    <t>Изготовление гильз под трубопроводы</t>
  </si>
  <si>
    <t>16.18</t>
  </si>
  <si>
    <t>16.18.1</t>
  </si>
  <si>
    <t>16.18.2</t>
  </si>
  <si>
    <t>Трубы стальные электросварные оцинкованные Ø 108 мм</t>
  </si>
  <si>
    <t>16.19</t>
  </si>
  <si>
    <t>16.19.1</t>
  </si>
  <si>
    <t>16.19.2</t>
  </si>
  <si>
    <t>Изготовление и монтаж воздухосборникв с воздухоотводчиком</t>
  </si>
  <si>
    <t>16.20</t>
  </si>
  <si>
    <t>16.20.1</t>
  </si>
  <si>
    <t>16.20.2</t>
  </si>
  <si>
    <t>16.21</t>
  </si>
  <si>
    <t>16.21.1</t>
  </si>
  <si>
    <t>16.21.2</t>
  </si>
  <si>
    <t>16.21.3</t>
  </si>
  <si>
    <t>16.21.4</t>
  </si>
  <si>
    <t>16.21.5</t>
  </si>
  <si>
    <t>16.21.6</t>
  </si>
  <si>
    <t>16.22</t>
  </si>
  <si>
    <t>16.22.1</t>
  </si>
  <si>
    <t>16.22.2</t>
  </si>
  <si>
    <t>16.22.3</t>
  </si>
  <si>
    <t>16.22.4</t>
  </si>
  <si>
    <t>16.22.5</t>
  </si>
  <si>
    <t>16.23</t>
  </si>
  <si>
    <t>16.23.1</t>
  </si>
  <si>
    <t>16.23.2</t>
  </si>
  <si>
    <t>16.23.3</t>
  </si>
  <si>
    <t>16.23.4</t>
  </si>
  <si>
    <t>16.23.5</t>
  </si>
  <si>
    <t>16.24</t>
  </si>
  <si>
    <t>16.24.1</t>
  </si>
  <si>
    <t>16.24.2</t>
  </si>
  <si>
    <t>16.25</t>
  </si>
  <si>
    <t>16.25.1</t>
  </si>
  <si>
    <t>16.25.2</t>
  </si>
  <si>
    <t>16.25.3</t>
  </si>
  <si>
    <t>16.25.4</t>
  </si>
  <si>
    <t>16.25.5</t>
  </si>
  <si>
    <t>16.25.6</t>
  </si>
  <si>
    <t>16.25.7</t>
  </si>
  <si>
    <t>16.25.8</t>
  </si>
  <si>
    <t>16.25.9</t>
  </si>
  <si>
    <t>16.25.10</t>
  </si>
  <si>
    <t>16.25.11</t>
  </si>
  <si>
    <t>16.25.12</t>
  </si>
  <si>
    <t>16.25.13</t>
  </si>
  <si>
    <t>16.25.14</t>
  </si>
  <si>
    <t>16.25.15</t>
  </si>
  <si>
    <t>16.25.16</t>
  </si>
  <si>
    <t>16.25.17</t>
  </si>
  <si>
    <t>16.25.18</t>
  </si>
  <si>
    <t>16.25.19</t>
  </si>
  <si>
    <t>16.26</t>
  </si>
  <si>
    <t>16.26.1</t>
  </si>
  <si>
    <t>16.26.2</t>
  </si>
  <si>
    <t>16.27</t>
  </si>
  <si>
    <t>16.27.1</t>
  </si>
  <si>
    <t>16.28</t>
  </si>
  <si>
    <t>16.28.1</t>
  </si>
  <si>
    <t>16.29</t>
  </si>
  <si>
    <t>16.29.1</t>
  </si>
  <si>
    <t>16.29.2</t>
  </si>
  <si>
    <t>16.29.3</t>
  </si>
  <si>
    <t>16.9.2</t>
  </si>
  <si>
    <t>16.15.1</t>
  </si>
  <si>
    <t>16.14.1</t>
  </si>
  <si>
    <t>16.14.3</t>
  </si>
  <si>
    <t>16.14.5</t>
  </si>
  <si>
    <t>16.14.2</t>
  </si>
  <si>
    <t>16.14.4</t>
  </si>
  <si>
    <t>16.14.6</t>
  </si>
  <si>
    <t>16.15.5</t>
  </si>
  <si>
    <t>16.15.4</t>
  </si>
  <si>
    <t>16.15.2</t>
  </si>
  <si>
    <t>16.15.3</t>
  </si>
  <si>
    <t>16.16.1</t>
  </si>
  <si>
    <t>16.16.2</t>
  </si>
  <si>
    <t>16.16.3</t>
  </si>
  <si>
    <t>16.16.4</t>
  </si>
  <si>
    <t>16.17.1</t>
  </si>
  <si>
    <t>16.17.2</t>
  </si>
  <si>
    <t>16.17.3</t>
  </si>
  <si>
    <t>16.17.4</t>
  </si>
  <si>
    <t>16.30</t>
  </si>
  <si>
    <t>16.30.1</t>
  </si>
  <si>
    <t>16.30.8</t>
  </si>
  <si>
    <t>16.30.4</t>
  </si>
  <si>
    <t>16.30.2</t>
  </si>
  <si>
    <t>16.30.5</t>
  </si>
  <si>
    <t>16.30.3</t>
  </si>
  <si>
    <t>16.30.6</t>
  </si>
  <si>
    <t>16.30.7</t>
  </si>
  <si>
    <t>16.30.9</t>
  </si>
  <si>
    <t>16.30.10</t>
  </si>
  <si>
    <t>16.30.11</t>
  </si>
  <si>
    <t>16.30.12</t>
  </si>
  <si>
    <t>16.30.13</t>
  </si>
  <si>
    <t>16.30.14</t>
  </si>
  <si>
    <t>16.30.15</t>
  </si>
  <si>
    <t>16.30.16</t>
  </si>
  <si>
    <t>16.30.17</t>
  </si>
  <si>
    <t>16.30.18</t>
  </si>
  <si>
    <t>16.30.19</t>
  </si>
  <si>
    <t>16.30.20</t>
  </si>
  <si>
    <t>16.30.21</t>
  </si>
  <si>
    <t>16.30.22</t>
  </si>
  <si>
    <t>16.30.23</t>
  </si>
  <si>
    <t>16.30.24</t>
  </si>
  <si>
    <t>16.30.25</t>
  </si>
  <si>
    <t>16.30.26</t>
  </si>
  <si>
    <t>16.30.27</t>
  </si>
  <si>
    <t>16.30.28</t>
  </si>
  <si>
    <t>16.30.29</t>
  </si>
  <si>
    <t>16.30.30</t>
  </si>
  <si>
    <t>16.31</t>
  </si>
  <si>
    <t>16.31.1</t>
  </si>
  <si>
    <t>16.31.2</t>
  </si>
  <si>
    <t>16.31.3</t>
  </si>
  <si>
    <t>16.31.4</t>
  </si>
  <si>
    <t>16.31.5</t>
  </si>
  <si>
    <t>16.31.6</t>
  </si>
  <si>
    <t>16. Система водоснабжения</t>
  </si>
  <si>
    <t>Раздел 17. Система водоотведения</t>
  </si>
  <si>
    <t>Установка насосов дренажных</t>
  </si>
  <si>
    <t>Устройства вводов К1, К2 - ООО "Прогресс"</t>
  </si>
  <si>
    <t>17. Система водоотведения</t>
  </si>
  <si>
    <t>Монтаж решеток вентиляционных</t>
  </si>
  <si>
    <t>Монтаж решеток вентиляционных квартирных</t>
  </si>
  <si>
    <t>Установка клапанов противопожарных</t>
  </si>
  <si>
    <t>Монтаж воздуховодов 100х200</t>
  </si>
  <si>
    <t>Воздуховод 100х200</t>
  </si>
  <si>
    <t>Монтаж воздуховодов 150х100</t>
  </si>
  <si>
    <t>Воздуховод 150х100</t>
  </si>
  <si>
    <t>Монтаж воздуховодов 150х150</t>
  </si>
  <si>
    <t>Воздуховод 150х150</t>
  </si>
  <si>
    <t>Монтаж воздуховодов 150х200</t>
  </si>
  <si>
    <t>Воздуховод  150х200</t>
  </si>
  <si>
    <t>Монтаж воздуховодов 200х200</t>
  </si>
  <si>
    <t>Воздуховод 200х200</t>
  </si>
  <si>
    <t>Монтаж воздуховодов 200х300</t>
  </si>
  <si>
    <t>Воздуховод 200х300</t>
  </si>
  <si>
    <t>Монтаж воздуховодов 250х350</t>
  </si>
  <si>
    <t>Воздуховод 250х350</t>
  </si>
  <si>
    <t>Монтаж воздуховодов 250х300</t>
  </si>
  <si>
    <t>Воздуховод 250х300</t>
  </si>
  <si>
    <t>Воздуховод 300х300</t>
  </si>
  <si>
    <t>Монтаж воздуховодов 300х300</t>
  </si>
  <si>
    <t>Монтаж воздуховодов 300х350</t>
  </si>
  <si>
    <t>Воздуховод 300х350</t>
  </si>
  <si>
    <t>Монтаж воздуховодов 400х300</t>
  </si>
  <si>
    <t>Воздуховод 400х300</t>
  </si>
  <si>
    <t>Монтаж воздуховодов 450х450</t>
  </si>
  <si>
    <t>Воздуховод 450х450</t>
  </si>
  <si>
    <t>Монтаж воздуховодов 400х400</t>
  </si>
  <si>
    <t>Воздуховод 400х400</t>
  </si>
  <si>
    <t>Монтаж воздуховодов 400х500</t>
  </si>
  <si>
    <t>Воздуховод 400х500</t>
  </si>
  <si>
    <t>Монтаж воздуховодов 500х300</t>
  </si>
  <si>
    <t>Воздуховод 500х300</t>
  </si>
  <si>
    <t>Монтаж воздуховодов 550х350</t>
  </si>
  <si>
    <t>Воздуховод 550х350</t>
  </si>
  <si>
    <t>Монтаж воздуховодов 650х300</t>
  </si>
  <si>
    <t>Воздуховод 650х300</t>
  </si>
  <si>
    <t>Монтаж воздуховодов 250х250</t>
  </si>
  <si>
    <t>Воздуховод 250х250</t>
  </si>
  <si>
    <t>Монтаж воздуховодов 400х700</t>
  </si>
  <si>
    <t>Воздуховод 400х700</t>
  </si>
  <si>
    <t>Монтаж воздуховодов 800х900</t>
  </si>
  <si>
    <t>Воздуховод 800х900</t>
  </si>
  <si>
    <t>Монтаж воздуховодов 600х600</t>
  </si>
  <si>
    <t>Воздуховод 600х600</t>
  </si>
  <si>
    <t>Монтаж воздуховодов 900х900</t>
  </si>
  <si>
    <t>Воздуховод 900х900</t>
  </si>
  <si>
    <t>Монтаж приточной установки</t>
  </si>
  <si>
    <t>Монтаж огнезащиты воздуховодов 30 мин</t>
  </si>
  <si>
    <t>Монтаж огнезащиты воздуховодов 150 мин</t>
  </si>
  <si>
    <t>Монтаж воздуховода Ду 200</t>
  </si>
  <si>
    <t>Воздуховод Ду 200 мм</t>
  </si>
  <si>
    <t>Монтаж вентиляторов</t>
  </si>
  <si>
    <t>Монтаж дефлектора Ду 200 мм</t>
  </si>
  <si>
    <t>Монтаж фасонных изделий</t>
  </si>
  <si>
    <t>Дефлектор Ф 200</t>
  </si>
  <si>
    <t>Монтаж вентиляционного оборудования</t>
  </si>
  <si>
    <t>Крепление Воздуховодов, металл</t>
  </si>
  <si>
    <t>Раздел 18. Система вентиляции</t>
  </si>
  <si>
    <t>18.2</t>
  </si>
  <si>
    <t>18.2.1</t>
  </si>
  <si>
    <t>18.3</t>
  </si>
  <si>
    <t>18.3.1</t>
  </si>
  <si>
    <t>18.4</t>
  </si>
  <si>
    <t>18.4.1</t>
  </si>
  <si>
    <t>18.5</t>
  </si>
  <si>
    <t>18.5.1</t>
  </si>
  <si>
    <t>18.6</t>
  </si>
  <si>
    <t>18.6.1</t>
  </si>
  <si>
    <t>18.7</t>
  </si>
  <si>
    <t>18.7.1</t>
  </si>
  <si>
    <t>18.8</t>
  </si>
  <si>
    <t>18.8.1</t>
  </si>
  <si>
    <t>18.9</t>
  </si>
  <si>
    <t>18.9.1</t>
  </si>
  <si>
    <t>18.10</t>
  </si>
  <si>
    <t>18.10.1</t>
  </si>
  <si>
    <t>18.11</t>
  </si>
  <si>
    <t>18.11.1</t>
  </si>
  <si>
    <t>18.12</t>
  </si>
  <si>
    <t>18.12.1</t>
  </si>
  <si>
    <t>18.13</t>
  </si>
  <si>
    <t>18.13.1</t>
  </si>
  <si>
    <t>18.14</t>
  </si>
  <si>
    <t>18.14.1</t>
  </si>
  <si>
    <t>18.15</t>
  </si>
  <si>
    <t>18.15.1</t>
  </si>
  <si>
    <t>18.16</t>
  </si>
  <si>
    <t>18.16.1</t>
  </si>
  <si>
    <t>18.17</t>
  </si>
  <si>
    <t>18.17.1</t>
  </si>
  <si>
    <t>18.18</t>
  </si>
  <si>
    <t>18.18.1</t>
  </si>
  <si>
    <t>18.19</t>
  </si>
  <si>
    <t>18.19.1</t>
  </si>
  <si>
    <t>18.20</t>
  </si>
  <si>
    <t>18.20.1</t>
  </si>
  <si>
    <t>18.21</t>
  </si>
  <si>
    <t>18.21.1</t>
  </si>
  <si>
    <t>18.22</t>
  </si>
  <si>
    <t>18.22.1</t>
  </si>
  <si>
    <t>18.23</t>
  </si>
  <si>
    <t>18.23.1</t>
  </si>
  <si>
    <t>18.24</t>
  </si>
  <si>
    <t>18.24.1</t>
  </si>
  <si>
    <t>18.25</t>
  </si>
  <si>
    <t>18.25.1</t>
  </si>
  <si>
    <t>18.25.2</t>
  </si>
  <si>
    <t>18.25.3</t>
  </si>
  <si>
    <t>18.25.4</t>
  </si>
  <si>
    <t>18.25.5</t>
  </si>
  <si>
    <t>18.25.6</t>
  </si>
  <si>
    <t>18.25.7</t>
  </si>
  <si>
    <t>18.25.8</t>
  </si>
  <si>
    <t>18.25.9</t>
  </si>
  <si>
    <t>18.25.10</t>
  </si>
  <si>
    <t>18.25.11</t>
  </si>
  <si>
    <t>18.25.12</t>
  </si>
  <si>
    <t>18.25.13</t>
  </si>
  <si>
    <t>18.25.14</t>
  </si>
  <si>
    <t>18.25.15</t>
  </si>
  <si>
    <t>18.25.16</t>
  </si>
  <si>
    <t>18.26</t>
  </si>
  <si>
    <t>18.26.1</t>
  </si>
  <si>
    <t>18.27</t>
  </si>
  <si>
    <t>18.27.1</t>
  </si>
  <si>
    <t>18.28</t>
  </si>
  <si>
    <t>18.28.1</t>
  </si>
  <si>
    <t>18.29</t>
  </si>
  <si>
    <t>18.29.1</t>
  </si>
  <si>
    <t>18.29.2</t>
  </si>
  <si>
    <t>18.29.3</t>
  </si>
  <si>
    <t>18.29.4</t>
  </si>
  <si>
    <t>18.30</t>
  </si>
  <si>
    <t>18.30.1</t>
  </si>
  <si>
    <t>18.31</t>
  </si>
  <si>
    <t>18.31.1</t>
  </si>
  <si>
    <t>18.31.2</t>
  </si>
  <si>
    <t>18.31.3</t>
  </si>
  <si>
    <t>18.31.4</t>
  </si>
  <si>
    <t>18.31.5</t>
  </si>
  <si>
    <t>18.31.6</t>
  </si>
  <si>
    <t>18.31.7</t>
  </si>
  <si>
    <t>18.31.8</t>
  </si>
  <si>
    <t>18.31.9</t>
  </si>
  <si>
    <t>18.31.10</t>
  </si>
  <si>
    <t>18.31.11</t>
  </si>
  <si>
    <t>18.32</t>
  </si>
  <si>
    <t>18.32.1</t>
  </si>
  <si>
    <t>18.32.2</t>
  </si>
  <si>
    <t>18.32.3</t>
  </si>
  <si>
    <t>18.32.4</t>
  </si>
  <si>
    <t>18.32.5</t>
  </si>
  <si>
    <t>18.32.6</t>
  </si>
  <si>
    <t>18.32.7</t>
  </si>
  <si>
    <t>18.32.8</t>
  </si>
  <si>
    <t>18.32.9</t>
  </si>
  <si>
    <t>18.33</t>
  </si>
  <si>
    <t>18.33.1</t>
  </si>
  <si>
    <t>18.33.2</t>
  </si>
  <si>
    <t>18.33.3</t>
  </si>
  <si>
    <t>18.33.4</t>
  </si>
  <si>
    <t>18.33.5</t>
  </si>
  <si>
    <t>18.33.6</t>
  </si>
  <si>
    <t>18.33.7</t>
  </si>
  <si>
    <t>18.33.8</t>
  </si>
  <si>
    <t>18.34</t>
  </si>
  <si>
    <t>18.34.1</t>
  </si>
  <si>
    <t>18.34.2</t>
  </si>
  <si>
    <t>18.34.3</t>
  </si>
  <si>
    <t>18.34.4</t>
  </si>
  <si>
    <t>18.34.5</t>
  </si>
  <si>
    <t>18. Система вентиляции</t>
  </si>
  <si>
    <t>Раздел 19. Система электроснабжения</t>
  </si>
  <si>
    <t>19.2.1</t>
  </si>
  <si>
    <t>19.2.2</t>
  </si>
  <si>
    <t>19.2.3</t>
  </si>
  <si>
    <t>19.2.4</t>
  </si>
  <si>
    <t>19.2.5</t>
  </si>
  <si>
    <t>19.2.6</t>
  </si>
  <si>
    <t>19.2.7</t>
  </si>
  <si>
    <t>19.2.8</t>
  </si>
  <si>
    <t>19.2.9</t>
  </si>
  <si>
    <t>19.2.10</t>
  </si>
  <si>
    <t>19.4.3</t>
  </si>
  <si>
    <t>19.4.4</t>
  </si>
  <si>
    <t>19.4.5</t>
  </si>
  <si>
    <t>19.4.6</t>
  </si>
  <si>
    <t>19.4.7</t>
  </si>
  <si>
    <t>19.4.8</t>
  </si>
  <si>
    <t>19.4.9</t>
  </si>
  <si>
    <t>19.4.10</t>
  </si>
  <si>
    <t>19.4.11</t>
  </si>
  <si>
    <t>19.4.12</t>
  </si>
  <si>
    <t>19.4.13</t>
  </si>
  <si>
    <t>19.4.14</t>
  </si>
  <si>
    <t>19.4.15</t>
  </si>
  <si>
    <t>19.4.16</t>
  </si>
  <si>
    <t>19.4.17</t>
  </si>
  <si>
    <t>19.4.18</t>
  </si>
  <si>
    <t>19.4.19</t>
  </si>
  <si>
    <t>19.4.20</t>
  </si>
  <si>
    <t>19.4.21</t>
  </si>
  <si>
    <t>19.4.22</t>
  </si>
  <si>
    <t>19.5</t>
  </si>
  <si>
    <t>19.5.1</t>
  </si>
  <si>
    <t>19.5.2</t>
  </si>
  <si>
    <t>19.5.3</t>
  </si>
  <si>
    <t>19.5.4</t>
  </si>
  <si>
    <t>19.5.5</t>
  </si>
  <si>
    <t>19.5.6</t>
  </si>
  <si>
    <t>19.5.7</t>
  </si>
  <si>
    <t>19.5.8</t>
  </si>
  <si>
    <t>19.5.9</t>
  </si>
  <si>
    <t>19.5.10</t>
  </si>
  <si>
    <t>19.5.11</t>
  </si>
  <si>
    <t>19.5.12</t>
  </si>
  <si>
    <t>19.5.13</t>
  </si>
  <si>
    <t>19.5.14</t>
  </si>
  <si>
    <t>19.5.15</t>
  </si>
  <si>
    <t>19.5.16</t>
  </si>
  <si>
    <t>19.5.17</t>
  </si>
  <si>
    <t>19.5.18</t>
  </si>
  <si>
    <t>19.5.19</t>
  </si>
  <si>
    <t>19.5.20</t>
  </si>
  <si>
    <t>19.5.21</t>
  </si>
  <si>
    <t>19.5.22</t>
  </si>
  <si>
    <t>19.5.23</t>
  </si>
  <si>
    <t>19.5.24</t>
  </si>
  <si>
    <t>19.5.25</t>
  </si>
  <si>
    <t>19.5.26</t>
  </si>
  <si>
    <t>19.5.27</t>
  </si>
  <si>
    <t>19.5.28</t>
  </si>
  <si>
    <t>19.5.29</t>
  </si>
  <si>
    <t>19.5.30</t>
  </si>
  <si>
    <t>19.6</t>
  </si>
  <si>
    <t>19.6.1</t>
  </si>
  <si>
    <t>19.6.2</t>
  </si>
  <si>
    <t>19.6.3</t>
  </si>
  <si>
    <t>19.6.4</t>
  </si>
  <si>
    <t>19.6.5</t>
  </si>
  <si>
    <t>19.6.6</t>
  </si>
  <si>
    <t>19.6.7</t>
  </si>
  <si>
    <t>19.6.8</t>
  </si>
  <si>
    <t>19.6.9</t>
  </si>
  <si>
    <t>19.6.10</t>
  </si>
  <si>
    <t>19.6.11</t>
  </si>
  <si>
    <t>19.6.12</t>
  </si>
  <si>
    <t>19.6.13</t>
  </si>
  <si>
    <t>19.6.14</t>
  </si>
  <si>
    <t>19.7</t>
  </si>
  <si>
    <t>Монтажные работы систем электроснабжения</t>
  </si>
  <si>
    <t>19. Система электроснабжения</t>
  </si>
  <si>
    <t>21.1</t>
  </si>
  <si>
    <t>21.2</t>
  </si>
  <si>
    <t>21.3</t>
  </si>
  <si>
    <t>Раздел 21. Опалубка</t>
  </si>
  <si>
    <t>21. Опалубка</t>
  </si>
  <si>
    <t>Раздел 20. Механизмы</t>
  </si>
  <si>
    <t>Перевозка башенный кран КБ-515 - 50%</t>
  </si>
  <si>
    <t>Покупка башенный кран КБ-515</t>
  </si>
  <si>
    <t>20.8</t>
  </si>
  <si>
    <t>Укладка щебня с трамбовкой</t>
  </si>
  <si>
    <t>20.4</t>
  </si>
  <si>
    <t>20. Механизмы</t>
  </si>
  <si>
    <t>20.4.2</t>
  </si>
  <si>
    <t>20.4.1</t>
  </si>
  <si>
    <t>20.5</t>
  </si>
  <si>
    <t>ИТР по обслуживанию башенного крана - 42%</t>
  </si>
  <si>
    <t>ФОТ машиниста башенного крана</t>
  </si>
  <si>
    <t>20.6</t>
  </si>
  <si>
    <t>20.6.1</t>
  </si>
  <si>
    <t xml:space="preserve">Содержание подъемников фасадных </t>
  </si>
  <si>
    <t>20.7</t>
  </si>
  <si>
    <t>20.7.1</t>
  </si>
  <si>
    <t>20.7.2</t>
  </si>
  <si>
    <t>20.8.1</t>
  </si>
  <si>
    <t>20.8.2</t>
  </si>
  <si>
    <t>20.8.3</t>
  </si>
  <si>
    <t>20.8.4</t>
  </si>
  <si>
    <t>20.8.5</t>
  </si>
  <si>
    <t>1</t>
  </si>
  <si>
    <t>м4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</si>
</sst>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"/>
    <numFmt numFmtId="165" formatCode="0.000"/>
    <numFmt numFmtId="166" formatCode="#,##0.00_р_."/>
    <numFmt numFmtId="167" formatCode="#,##0.000"/>
    <numFmt numFmtId="168" formatCode="#,##0.00\ _₽"/>
    <numFmt numFmtId="169" formatCode="#,##0.00\ &quot;₽&quot;"/>
    <numFmt numFmtId="170" formatCode="0.0000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4" tint="-0.249977111117893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333333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 Cyr"/>
      <charset val="204"/>
    </font>
    <font>
      <sz val="8"/>
      <name val="Arial"/>
      <family val="2"/>
      <charset val="204"/>
    </font>
    <font>
      <sz val="12"/>
      <color indexed="0"/>
      <name val="Arial"/>
      <family val="2"/>
      <charset val="204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4" fontId="25" fillId="0" borderId="0" applyFont="0" applyFill="0" applyBorder="0" applyAlignment="0" applyProtection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 applyNumberFormat="0" applyFont="0" applyFill="0" applyBorder="0" applyAlignment="0" applyProtection="0">
      <alignment vertical="top"/>
    </xf>
    <xf numFmtId="0" fontId="2" fillId="0" borderId="0"/>
    <xf numFmtId="0" fontId="2" fillId="0" borderId="0"/>
    <xf numFmtId="0" fontId="2" fillId="0" borderId="0"/>
    <xf numFmtId="0" fontId="29" fillId="0" borderId="0">
      <alignment horizontal="left"/>
    </xf>
    <xf numFmtId="0" fontId="2" fillId="0" borderId="0"/>
    <xf numFmtId="0" fontId="30" fillId="0" borderId="0">
      <alignment horizontal="left" vertical="top" wrapText="1"/>
    </xf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</cellStyleXfs>
  <cellXfs count="551">
    <xf numFmtId="0" fontId="0" fillId="0" borderId="0" xfId="0"/>
    <xf numFmtId="0" fontId="1" fillId="0" borderId="0" xfId="18" applyFont="1"/>
    <xf numFmtId="0" fontId="2" fillId="0" borderId="0" xfId="57"/>
    <xf numFmtId="0" fontId="1" fillId="0" borderId="0" xfId="57" applyFont="1"/>
    <xf numFmtId="0" fontId="3" fillId="0" borderId="0" xfId="18" applyFont="1"/>
    <xf numFmtId="0" fontId="2" fillId="0" borderId="0" xfId="18" applyFont="1"/>
    <xf numFmtId="0" fontId="1" fillId="0" borderId="0" xfId="0" applyFont="1"/>
    <xf numFmtId="0" fontId="4" fillId="0" borderId="0" xfId="18" applyFont="1"/>
    <xf numFmtId="0" fontId="5" fillId="0" borderId="0" xfId="18" applyFont="1"/>
    <xf numFmtId="0" fontId="6" fillId="0" borderId="0" xfId="0" applyFont="1"/>
    <xf numFmtId="0" fontId="5" fillId="0" borderId="0" xfId="0" applyFont="1"/>
    <xf numFmtId="0" fontId="2" fillId="0" borderId="0" xfId="26"/>
    <xf numFmtId="0" fontId="1" fillId="0" borderId="0" xfId="26" applyFont="1"/>
    <xf numFmtId="0" fontId="7" fillId="0" borderId="0" xfId="0" applyFont="1"/>
    <xf numFmtId="0" fontId="8" fillId="0" borderId="0" xfId="0" applyFont="1"/>
    <xf numFmtId="0" fontId="7" fillId="0" borderId="0" xfId="57" applyFont="1"/>
    <xf numFmtId="0" fontId="8" fillId="0" borderId="0" xfId="57" applyFont="1"/>
    <xf numFmtId="0" fontId="7" fillId="0" borderId="0" xfId="55" applyFont="1"/>
    <xf numFmtId="0" fontId="9" fillId="0" borderId="0" xfId="55" applyFont="1" applyFill="1" applyAlignment="1"/>
    <xf numFmtId="0" fontId="8" fillId="0" borderId="0" xfId="55" applyFont="1"/>
    <xf numFmtId="0" fontId="7" fillId="0" borderId="0" xfId="18" applyFont="1"/>
    <xf numFmtId="49" fontId="10" fillId="0" borderId="0" xfId="18" applyNumberFormat="1" applyFont="1"/>
    <xf numFmtId="0" fontId="2" fillId="0" borderId="0" xfId="18"/>
    <xf numFmtId="0" fontId="2" fillId="0" borderId="0" xfId="18" applyAlignment="1">
      <alignment horizontal="center"/>
    </xf>
    <xf numFmtId="0" fontId="2" fillId="0" borderId="0" xfId="18" applyAlignment="1">
      <alignment horizontal="center" vertical="center"/>
    </xf>
    <xf numFmtId="0" fontId="2" fillId="0" borderId="0" xfId="18" applyAlignment="1">
      <alignment horizontal="right"/>
    </xf>
    <xf numFmtId="4" fontId="8" fillId="2" borderId="2" xfId="18" applyNumberFormat="1" applyFont="1" applyFill="1" applyBorder="1" applyAlignment="1">
      <alignment horizontal="center" vertical="center" wrapText="1"/>
    </xf>
    <xf numFmtId="49" fontId="11" fillId="2" borderId="2" xfId="18" applyNumberFormat="1" applyFont="1" applyFill="1" applyBorder="1" applyAlignment="1">
      <alignment horizontal="center" vertical="center" wrapText="1"/>
    </xf>
    <xf numFmtId="0" fontId="11" fillId="2" borderId="2" xfId="18" applyFont="1" applyFill="1" applyBorder="1" applyAlignment="1">
      <alignment vertical="center" wrapText="1"/>
    </xf>
    <xf numFmtId="0" fontId="11" fillId="2" borderId="2" xfId="18" applyFont="1" applyFill="1" applyBorder="1" applyAlignment="1">
      <alignment horizontal="center" vertical="center" wrapText="1"/>
    </xf>
    <xf numFmtId="165" fontId="11" fillId="2" borderId="4" xfId="18" applyNumberFormat="1" applyFont="1" applyFill="1" applyBorder="1" applyAlignment="1">
      <alignment horizontal="right" vertical="center" wrapText="1"/>
    </xf>
    <xf numFmtId="43" fontId="3" fillId="2" borderId="2" xfId="24" applyNumberFormat="1" applyFont="1" applyFill="1" applyBorder="1" applyAlignment="1">
      <alignment horizontal="center" vertical="center"/>
    </xf>
    <xf numFmtId="4" fontId="3" fillId="2" borderId="2" xfId="24" applyNumberFormat="1" applyFont="1" applyFill="1" applyBorder="1" applyAlignment="1">
      <alignment horizontal="right" vertical="center"/>
    </xf>
    <xf numFmtId="49" fontId="12" fillId="0" borderId="2" xfId="18" applyNumberFormat="1" applyFont="1" applyBorder="1" applyAlignment="1">
      <alignment horizontal="center" vertical="center" wrapText="1"/>
    </xf>
    <xf numFmtId="166" fontId="12" fillId="0" borderId="2" xfId="18" applyNumberFormat="1" applyFont="1" applyBorder="1" applyAlignment="1">
      <alignment vertical="center" wrapText="1"/>
    </xf>
    <xf numFmtId="166" fontId="12" fillId="0" borderId="2" xfId="18" applyNumberFormat="1" applyFont="1" applyBorder="1" applyAlignment="1">
      <alignment horizontal="center" vertical="center" wrapText="1"/>
    </xf>
    <xf numFmtId="4" fontId="13" fillId="0" borderId="2" xfId="18" applyNumberFormat="1" applyFont="1" applyBorder="1" applyAlignment="1">
      <alignment horizontal="right"/>
    </xf>
    <xf numFmtId="43" fontId="13" fillId="0" borderId="2" xfId="24" applyNumberFormat="1" applyFont="1" applyFill="1" applyBorder="1" applyAlignment="1">
      <alignment horizontal="center" vertical="center"/>
    </xf>
    <xf numFmtId="4" fontId="13" fillId="0" borderId="2" xfId="24" applyNumberFormat="1" applyFont="1" applyFill="1" applyBorder="1" applyAlignment="1">
      <alignment horizontal="right" vertical="center"/>
    </xf>
    <xf numFmtId="4" fontId="13" fillId="0" borderId="4" xfId="18" applyNumberFormat="1" applyFont="1" applyBorder="1" applyAlignment="1">
      <alignment horizontal="right"/>
    </xf>
    <xf numFmtId="0" fontId="12" fillId="0" borderId="2" xfId="18" applyFont="1" applyBorder="1" applyAlignment="1">
      <alignment vertical="center" wrapText="1"/>
    </xf>
    <xf numFmtId="2" fontId="12" fillId="0" borderId="2" xfId="18" applyNumberFormat="1" applyFont="1" applyBorder="1" applyAlignment="1">
      <alignment horizontal="center" vertical="center" wrapText="1"/>
    </xf>
    <xf numFmtId="4" fontId="12" fillId="0" borderId="4" xfId="18" applyNumberFormat="1" applyFont="1" applyBorder="1" applyAlignment="1">
      <alignment horizontal="right" vertical="center" wrapText="1"/>
    </xf>
    <xf numFmtId="0" fontId="12" fillId="0" borderId="3" xfId="18" applyFont="1" applyBorder="1" applyAlignment="1">
      <alignment horizontal="left" vertical="center" wrapText="1"/>
    </xf>
    <xf numFmtId="2" fontId="12" fillId="0" borderId="3" xfId="18" applyNumberFormat="1" applyFont="1" applyBorder="1" applyAlignment="1">
      <alignment horizontal="center" vertical="center" wrapText="1"/>
    </xf>
    <xf numFmtId="4" fontId="12" fillId="0" borderId="5" xfId="18" applyNumberFormat="1" applyFont="1" applyBorder="1" applyAlignment="1">
      <alignment horizontal="right" vertical="center" wrapText="1"/>
    </xf>
    <xf numFmtId="2" fontId="11" fillId="2" borderId="4" xfId="18" applyNumberFormat="1" applyFont="1" applyFill="1" applyBorder="1" applyAlignment="1">
      <alignment horizontal="right" vertical="center" wrapText="1"/>
    </xf>
    <xf numFmtId="166" fontId="12" fillId="0" borderId="2" xfId="18" applyNumberFormat="1" applyFont="1" applyBorder="1" applyAlignment="1">
      <alignment horizontal="left" vertical="center" wrapText="1"/>
    </xf>
    <xf numFmtId="2" fontId="12" fillId="0" borderId="4" xfId="18" applyNumberFormat="1" applyFont="1" applyBorder="1" applyAlignment="1">
      <alignment horizontal="right" vertical="center" wrapText="1"/>
    </xf>
    <xf numFmtId="0" fontId="13" fillId="0" borderId="2" xfId="18" applyFont="1" applyBorder="1"/>
    <xf numFmtId="49" fontId="12" fillId="0" borderId="2" xfId="18" applyNumberFormat="1" applyFont="1" applyBorder="1" applyAlignment="1">
      <alignment horizontal="center" wrapText="1"/>
    </xf>
    <xf numFmtId="0" fontId="12" fillId="0" borderId="2" xfId="18" applyFont="1" applyBorder="1" applyAlignment="1">
      <alignment horizontal="left" wrapText="1"/>
    </xf>
    <xf numFmtId="2" fontId="12" fillId="0" borderId="2" xfId="18" applyNumberFormat="1" applyFont="1" applyBorder="1" applyAlignment="1">
      <alignment horizontal="center" wrapText="1"/>
    </xf>
    <xf numFmtId="168" fontId="13" fillId="0" borderId="2" xfId="24" applyNumberFormat="1" applyFont="1" applyFill="1" applyBorder="1" applyAlignment="1">
      <alignment horizontal="right"/>
    </xf>
    <xf numFmtId="2" fontId="11" fillId="0" borderId="2" xfId="18" applyNumberFormat="1" applyFont="1" applyBorder="1" applyAlignment="1">
      <alignment horizontal="center" vertical="center" wrapText="1"/>
    </xf>
    <xf numFmtId="168" fontId="3" fillId="0" borderId="2" xfId="24" applyNumberFormat="1" applyFont="1" applyFill="1" applyBorder="1" applyAlignment="1">
      <alignment horizontal="right" vertical="center"/>
    </xf>
    <xf numFmtId="0" fontId="12" fillId="0" borderId="2" xfId="18" applyFont="1" applyBorder="1" applyAlignment="1">
      <alignment horizontal="left" vertical="center" wrapText="1"/>
    </xf>
    <xf numFmtId="168" fontId="13" fillId="0" borderId="2" xfId="24" applyNumberFormat="1" applyFont="1" applyFill="1" applyBorder="1" applyAlignment="1">
      <alignment horizontal="right" vertical="center"/>
    </xf>
    <xf numFmtId="168" fontId="12" fillId="0" borderId="2" xfId="24" applyNumberFormat="1" applyFont="1" applyFill="1" applyBorder="1" applyAlignment="1">
      <alignment horizontal="right" vertical="center"/>
    </xf>
    <xf numFmtId="4" fontId="12" fillId="0" borderId="2" xfId="18" applyNumberFormat="1" applyFont="1" applyBorder="1" applyAlignment="1">
      <alignment horizontal="center" vertical="center" wrapText="1"/>
    </xf>
    <xf numFmtId="165" fontId="12" fillId="0" borderId="4" xfId="18" applyNumberFormat="1" applyFont="1" applyBorder="1" applyAlignment="1">
      <alignment horizontal="right" vertical="center" wrapText="1"/>
    </xf>
    <xf numFmtId="168" fontId="11" fillId="0" borderId="2" xfId="24" applyNumberFormat="1" applyFont="1" applyFill="1" applyBorder="1" applyAlignment="1">
      <alignment horizontal="right" vertical="center"/>
    </xf>
    <xf numFmtId="168" fontId="13" fillId="0" borderId="2" xfId="24" applyNumberFormat="1" applyFont="1" applyFill="1" applyBorder="1" applyAlignment="1">
      <alignment horizontal="center" vertical="center"/>
    </xf>
    <xf numFmtId="2" fontId="12" fillId="0" borderId="5" xfId="18" applyNumberFormat="1" applyFont="1" applyBorder="1" applyAlignment="1">
      <alignment horizontal="right" vertical="center" wrapText="1"/>
    </xf>
    <xf numFmtId="0" fontId="2" fillId="0" borderId="2" xfId="18" applyBorder="1"/>
    <xf numFmtId="43" fontId="14" fillId="0" borderId="2" xfId="24" applyNumberFormat="1" applyFont="1" applyFill="1" applyBorder="1" applyAlignment="1">
      <alignment horizontal="center" vertical="center"/>
    </xf>
    <xf numFmtId="165" fontId="12" fillId="0" borderId="5" xfId="18" applyNumberFormat="1" applyFont="1" applyBorder="1" applyAlignment="1">
      <alignment horizontal="right" vertical="center" wrapText="1"/>
    </xf>
    <xf numFmtId="168" fontId="12" fillId="0" borderId="2" xfId="24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 wrapText="1"/>
    </xf>
    <xf numFmtId="2" fontId="12" fillId="3" borderId="2" xfId="0" applyNumberFormat="1" applyFont="1" applyFill="1" applyBorder="1" applyAlignment="1">
      <alignment horizontal="center" vertical="center" wrapText="1"/>
    </xf>
    <xf numFmtId="0" fontId="12" fillId="3" borderId="2" xfId="53" applyFont="1" applyFill="1" applyBorder="1" applyAlignment="1">
      <alignment horizontal="left" vertical="center" wrapText="1"/>
    </xf>
    <xf numFmtId="2" fontId="12" fillId="3" borderId="2" xfId="53" applyNumberFormat="1" applyFont="1" applyFill="1" applyBorder="1" applyAlignment="1">
      <alignment horizontal="center" vertical="center" wrapText="1"/>
    </xf>
    <xf numFmtId="2" fontId="12" fillId="0" borderId="4" xfId="18" applyNumberFormat="1" applyFont="1" applyBorder="1" applyAlignment="1">
      <alignment horizontal="center" vertical="center" wrapText="1"/>
    </xf>
    <xf numFmtId="0" fontId="12" fillId="3" borderId="2" xfId="0" applyFont="1" applyFill="1" applyBorder="1" applyAlignment="1">
      <alignment vertical="center" wrapText="1"/>
    </xf>
    <xf numFmtId="43" fontId="12" fillId="0" borderId="2" xfId="24" applyNumberFormat="1" applyFont="1" applyFill="1" applyBorder="1" applyAlignment="1">
      <alignment horizontal="center" vertical="center"/>
    </xf>
    <xf numFmtId="43" fontId="3" fillId="0" borderId="2" xfId="24" applyNumberFormat="1" applyFont="1" applyFill="1" applyBorder="1" applyAlignment="1">
      <alignment horizontal="center" vertical="center"/>
    </xf>
    <xf numFmtId="165" fontId="11" fillId="2" borderId="2" xfId="18" applyNumberFormat="1" applyFont="1" applyFill="1" applyBorder="1" applyAlignment="1">
      <alignment horizontal="right" vertical="center" wrapText="1"/>
    </xf>
    <xf numFmtId="0" fontId="12" fillId="0" borderId="2" xfId="5" applyFont="1" applyBorder="1" applyAlignment="1">
      <alignment horizontal="left" vertical="center" wrapText="1"/>
    </xf>
    <xf numFmtId="0" fontId="12" fillId="0" borderId="2" xfId="5" applyFont="1" applyBorder="1" applyAlignment="1">
      <alignment horizontal="center" vertical="center" wrapText="1"/>
    </xf>
    <xf numFmtId="165" fontId="12" fillId="0" borderId="2" xfId="5" applyNumberFormat="1" applyFont="1" applyBorder="1" applyAlignment="1">
      <alignment horizontal="right" vertical="center" wrapText="1"/>
    </xf>
    <xf numFmtId="0" fontId="12" fillId="0" borderId="2" xfId="18" applyFont="1" applyBorder="1" applyAlignment="1">
      <alignment horizontal="center" vertical="center" wrapText="1"/>
    </xf>
    <xf numFmtId="165" fontId="12" fillId="0" borderId="2" xfId="18" applyNumberFormat="1" applyFont="1" applyBorder="1" applyAlignment="1">
      <alignment horizontal="right" vertical="center" wrapText="1"/>
    </xf>
    <xf numFmtId="165" fontId="12" fillId="0" borderId="2" xfId="18" applyNumberFormat="1" applyFont="1" applyFill="1" applyBorder="1" applyAlignment="1">
      <alignment horizontal="right" vertical="center" wrapText="1"/>
    </xf>
    <xf numFmtId="1" fontId="12" fillId="0" borderId="2" xfId="18" applyNumberFormat="1" applyFont="1" applyBorder="1" applyAlignment="1">
      <alignment horizontal="right" vertical="center" wrapText="1"/>
    </xf>
    <xf numFmtId="43" fontId="13" fillId="0" borderId="2" xfId="24" applyNumberFormat="1" applyFont="1" applyFill="1" applyBorder="1" applyAlignment="1">
      <alignment vertical="center"/>
    </xf>
    <xf numFmtId="164" fontId="12" fillId="0" borderId="2" xfId="18" applyNumberFormat="1" applyFont="1" applyBorder="1" applyAlignment="1">
      <alignment horizontal="right" vertical="center" wrapText="1"/>
    </xf>
    <xf numFmtId="43" fontId="12" fillId="0" borderId="2" xfId="24" applyNumberFormat="1" applyFont="1" applyFill="1" applyBorder="1" applyAlignment="1">
      <alignment horizontal="center" vertical="center" wrapText="1"/>
    </xf>
    <xf numFmtId="1" fontId="12" fillId="0" borderId="2" xfId="5" applyNumberFormat="1" applyFont="1" applyBorder="1" applyAlignment="1">
      <alignment horizontal="right" vertical="center" wrapText="1"/>
    </xf>
    <xf numFmtId="0" fontId="13" fillId="0" borderId="2" xfId="18" applyFont="1" applyBorder="1" applyAlignment="1">
      <alignment horizontal="left" vertical="center" wrapText="1"/>
    </xf>
    <xf numFmtId="2" fontId="13" fillId="0" borderId="2" xfId="18" applyNumberFormat="1" applyFont="1" applyBorder="1" applyAlignment="1">
      <alignment horizontal="center" vertical="center" wrapText="1"/>
    </xf>
    <xf numFmtId="2" fontId="13" fillId="0" borderId="2" xfId="18" applyNumberFormat="1" applyFont="1" applyBorder="1" applyAlignment="1">
      <alignment horizontal="right" vertical="center" wrapText="1"/>
    </xf>
    <xf numFmtId="0" fontId="13" fillId="0" borderId="2" xfId="18" applyFont="1" applyBorder="1" applyAlignment="1">
      <alignment horizontal="center" vertical="center"/>
    </xf>
    <xf numFmtId="4" fontId="13" fillId="0" borderId="4" xfId="18" applyNumberFormat="1" applyFont="1" applyBorder="1" applyAlignment="1">
      <alignment horizontal="center" vertical="center"/>
    </xf>
    <xf numFmtId="0" fontId="13" fillId="0" borderId="2" xfId="18" applyFont="1" applyBorder="1" applyAlignment="1">
      <alignment vertical="center" wrapText="1"/>
    </xf>
    <xf numFmtId="0" fontId="13" fillId="0" borderId="2" xfId="18" applyFont="1" applyBorder="1" applyAlignment="1">
      <alignment horizontal="center" vertical="center" wrapText="1"/>
    </xf>
    <xf numFmtId="1" fontId="13" fillId="0" borderId="2" xfId="18" applyNumberFormat="1" applyFont="1" applyBorder="1" applyAlignment="1">
      <alignment horizontal="right" vertical="center" wrapText="1"/>
    </xf>
    <xf numFmtId="0" fontId="13" fillId="0" borderId="2" xfId="18" applyFont="1" applyBorder="1" applyAlignment="1">
      <alignment horizontal="right" vertical="center" wrapText="1"/>
    </xf>
    <xf numFmtId="168" fontId="13" fillId="0" borderId="2" xfId="18" applyNumberFormat="1" applyFont="1" applyBorder="1" applyAlignment="1">
      <alignment horizontal="center" vertical="center"/>
    </xf>
    <xf numFmtId="4" fontId="13" fillId="0" borderId="1" xfId="24" applyNumberFormat="1" applyFont="1" applyFill="1" applyBorder="1" applyAlignment="1">
      <alignment horizontal="right" vertical="center"/>
    </xf>
    <xf numFmtId="49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right" vertical="center" wrapText="1"/>
    </xf>
    <xf numFmtId="43" fontId="13" fillId="0" borderId="2" xfId="4" applyNumberFormat="1" applyFont="1" applyFill="1" applyBorder="1" applyAlignment="1">
      <alignment horizontal="center" vertical="center"/>
    </xf>
    <xf numFmtId="4" fontId="13" fillId="0" borderId="1" xfId="4" applyNumberFormat="1" applyFont="1" applyFill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 wrapText="1"/>
    </xf>
    <xf numFmtId="43" fontId="13" fillId="0" borderId="1" xfId="24" applyNumberFormat="1" applyFont="1" applyFill="1" applyBorder="1" applyAlignment="1">
      <alignment horizontal="center" vertical="center"/>
    </xf>
    <xf numFmtId="2" fontId="12" fillId="0" borderId="2" xfId="18" applyNumberFormat="1" applyFont="1" applyBorder="1" applyAlignment="1">
      <alignment horizontal="right" vertical="center" wrapText="1"/>
    </xf>
    <xf numFmtId="4" fontId="12" fillId="0" borderId="2" xfId="18" applyNumberFormat="1" applyFont="1" applyBorder="1" applyAlignment="1">
      <alignment horizontal="right" vertical="center"/>
    </xf>
    <xf numFmtId="0" fontId="13" fillId="0" borderId="2" xfId="18" applyFont="1" applyBorder="1" applyAlignment="1">
      <alignment vertical="top" wrapText="1"/>
    </xf>
    <xf numFmtId="0" fontId="13" fillId="0" borderId="2" xfId="18" applyFont="1" applyBorder="1" applyAlignment="1">
      <alignment horizontal="center" vertical="top" wrapText="1"/>
    </xf>
    <xf numFmtId="4" fontId="13" fillId="0" borderId="2" xfId="18" applyNumberFormat="1" applyFont="1" applyBorder="1" applyAlignment="1">
      <alignment horizontal="right" vertical="top" wrapText="1"/>
    </xf>
    <xf numFmtId="49" fontId="11" fillId="2" borderId="2" xfId="57" applyNumberFormat="1" applyFont="1" applyFill="1" applyBorder="1" applyAlignment="1">
      <alignment horizontal="center" vertical="center" wrapText="1"/>
    </xf>
    <xf numFmtId="0" fontId="11" fillId="2" borderId="2" xfId="57" applyFont="1" applyFill="1" applyBorder="1" applyAlignment="1">
      <alignment vertical="center" wrapText="1"/>
    </xf>
    <xf numFmtId="0" fontId="11" fillId="2" borderId="2" xfId="57" applyFont="1" applyFill="1" applyBorder="1" applyAlignment="1">
      <alignment horizontal="center" vertical="center" wrapText="1"/>
    </xf>
    <xf numFmtId="165" fontId="11" fillId="2" borderId="2" xfId="57" applyNumberFormat="1" applyFont="1" applyFill="1" applyBorder="1" applyAlignment="1">
      <alignment horizontal="right" vertical="center" wrapText="1"/>
    </xf>
    <xf numFmtId="43" fontId="3" fillId="2" borderId="2" xfId="27" applyNumberFormat="1" applyFont="1" applyFill="1" applyBorder="1" applyAlignment="1">
      <alignment horizontal="center" vertical="center"/>
    </xf>
    <xf numFmtId="43" fontId="3" fillId="2" borderId="4" xfId="27" applyNumberFormat="1" applyFont="1" applyFill="1" applyBorder="1" applyAlignment="1">
      <alignment horizontal="center" vertical="center"/>
    </xf>
    <xf numFmtId="4" fontId="3" fillId="2" borderId="2" xfId="57" applyNumberFormat="1" applyFont="1" applyFill="1" applyBorder="1" applyAlignment="1">
      <alignment horizontal="right" vertical="center"/>
    </xf>
    <xf numFmtId="49" fontId="12" fillId="0" borderId="2" xfId="57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2" fontId="12" fillId="0" borderId="2" xfId="57" applyNumberFormat="1" applyFont="1" applyBorder="1" applyAlignment="1">
      <alignment horizontal="center" vertical="center" wrapText="1"/>
    </xf>
    <xf numFmtId="3" fontId="12" fillId="0" borderId="2" xfId="57" applyNumberFormat="1" applyFont="1" applyBorder="1" applyAlignment="1">
      <alignment horizontal="right" vertical="center" wrapText="1"/>
    </xf>
    <xf numFmtId="168" fontId="12" fillId="0" borderId="2" xfId="27" applyNumberFormat="1" applyFont="1" applyFill="1" applyBorder="1" applyAlignment="1">
      <alignment horizontal="right" vertical="center" wrapText="1"/>
    </xf>
    <xf numFmtId="168" fontId="12" fillId="0" borderId="2" xfId="57" applyNumberFormat="1" applyFont="1" applyBorder="1" applyAlignment="1">
      <alignment horizontal="right" vertical="center"/>
    </xf>
    <xf numFmtId="4" fontId="12" fillId="0" borderId="1" xfId="57" applyNumberFormat="1" applyFont="1" applyBorder="1" applyAlignment="1">
      <alignment horizontal="right" vertical="center" wrapText="1"/>
    </xf>
    <xf numFmtId="4" fontId="12" fillId="0" borderId="2" xfId="57" applyNumberFormat="1" applyFont="1" applyBorder="1" applyAlignment="1">
      <alignment horizontal="right" vertical="center"/>
    </xf>
    <xf numFmtId="4" fontId="12" fillId="0" borderId="2" xfId="57" applyNumberFormat="1" applyFont="1" applyBorder="1" applyAlignment="1">
      <alignment horizontal="right" vertical="center" wrapText="1"/>
    </xf>
    <xf numFmtId="168" fontId="12" fillId="0" borderId="6" xfId="27" applyNumberFormat="1" applyFont="1" applyFill="1" applyBorder="1" applyAlignment="1">
      <alignment horizontal="right" vertical="center" wrapText="1"/>
    </xf>
    <xf numFmtId="0" fontId="12" fillId="0" borderId="2" xfId="57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/>
    </xf>
    <xf numFmtId="0" fontId="13" fillId="0" borderId="2" xfId="57" applyFont="1" applyBorder="1" applyAlignment="1">
      <alignment horizontal="center"/>
    </xf>
    <xf numFmtId="168" fontId="13" fillId="0" borderId="2" xfId="57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168" fontId="14" fillId="0" borderId="2" xfId="27" applyNumberFormat="1" applyFont="1" applyFill="1" applyBorder="1" applyAlignment="1">
      <alignment vertical="center" wrapText="1"/>
    </xf>
    <xf numFmtId="168" fontId="14" fillId="0" borderId="6" xfId="27" applyNumberFormat="1" applyFont="1" applyFill="1" applyBorder="1" applyAlignment="1">
      <alignment vertical="center" wrapText="1"/>
    </xf>
    <xf numFmtId="168" fontId="12" fillId="0" borderId="2" xfId="27" applyNumberFormat="1" applyFont="1" applyFill="1" applyBorder="1" applyAlignment="1">
      <alignment vertical="center" wrapText="1"/>
    </xf>
    <xf numFmtId="168" fontId="12" fillId="0" borderId="6" xfId="27" applyNumberFormat="1" applyFont="1" applyFill="1" applyBorder="1" applyAlignment="1">
      <alignment vertical="center" wrapText="1"/>
    </xf>
    <xf numFmtId="3" fontId="12" fillId="0" borderId="1" xfId="57" applyNumberFormat="1" applyFont="1" applyBorder="1" applyAlignment="1">
      <alignment horizontal="right" vertical="center" wrapText="1"/>
    </xf>
    <xf numFmtId="4" fontId="12" fillId="0" borderId="2" xfId="0" applyNumberFormat="1" applyFont="1" applyBorder="1" applyAlignment="1">
      <alignment horizontal="center" vertical="center" wrapText="1"/>
    </xf>
    <xf numFmtId="43" fontId="18" fillId="0" borderId="6" xfId="4" applyNumberFormat="1" applyFont="1" applyFill="1" applyBorder="1" applyAlignment="1">
      <alignment horizontal="center" vertical="center" wrapText="1"/>
    </xf>
    <xf numFmtId="43" fontId="12" fillId="0" borderId="2" xfId="4" applyNumberFormat="1" applyFont="1" applyFill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4" fontId="3" fillId="0" borderId="2" xfId="24" applyNumberFormat="1" applyFont="1" applyFill="1" applyBorder="1" applyAlignment="1">
      <alignment horizontal="right"/>
    </xf>
    <xf numFmtId="166" fontId="20" fillId="0" borderId="2" xfId="18" applyNumberFormat="1" applyFont="1" applyBorder="1" applyAlignment="1">
      <alignment horizontal="left" vertical="center" wrapText="1"/>
    </xf>
    <xf numFmtId="4" fontId="13" fillId="0" borderId="2" xfId="24" applyNumberFormat="1" applyFont="1" applyFill="1" applyBorder="1" applyAlignment="1">
      <alignment horizontal="right"/>
    </xf>
    <xf numFmtId="0" fontId="12" fillId="0" borderId="2" xfId="57" applyFont="1" applyBorder="1" applyAlignment="1">
      <alignment vertical="center" wrapText="1"/>
    </xf>
    <xf numFmtId="0" fontId="12" fillId="0" borderId="2" xfId="57" applyFont="1" applyBorder="1" applyAlignment="1">
      <alignment horizontal="center" vertical="center" wrapText="1"/>
    </xf>
    <xf numFmtId="165" fontId="12" fillId="0" borderId="2" xfId="57" applyNumberFormat="1" applyFont="1" applyBorder="1" applyAlignment="1">
      <alignment horizontal="right" vertical="center" wrapText="1"/>
    </xf>
    <xf numFmtId="43" fontId="13" fillId="0" borderId="2" xfId="27" applyNumberFormat="1" applyFont="1" applyFill="1" applyBorder="1" applyAlignment="1">
      <alignment horizontal="center" vertical="center"/>
    </xf>
    <xf numFmtId="43" fontId="13" fillId="0" borderId="4" xfId="27" applyNumberFormat="1" applyFont="1" applyFill="1" applyBorder="1" applyAlignment="1">
      <alignment horizontal="center" vertical="center"/>
    </xf>
    <xf numFmtId="4" fontId="13" fillId="0" borderId="2" xfId="57" applyNumberFormat="1" applyFont="1" applyBorder="1" applyAlignment="1">
      <alignment horizontal="right" vertical="center"/>
    </xf>
    <xf numFmtId="4" fontId="13" fillId="0" borderId="2" xfId="27" applyNumberFormat="1" applyFont="1" applyFill="1" applyBorder="1" applyAlignment="1">
      <alignment horizontal="right"/>
    </xf>
    <xf numFmtId="4" fontId="13" fillId="0" borderId="2" xfId="27" applyNumberFormat="1" applyFont="1" applyFill="1" applyBorder="1" applyAlignment="1">
      <alignment horizontal="right" vertical="center"/>
    </xf>
    <xf numFmtId="43" fontId="12" fillId="0" borderId="2" xfId="24" applyNumberFormat="1" applyFont="1" applyFill="1" applyBorder="1" applyAlignment="1">
      <alignment vertical="center"/>
    </xf>
    <xf numFmtId="166" fontId="18" fillId="0" borderId="2" xfId="18" applyNumberFormat="1" applyFont="1" applyBorder="1" applyAlignment="1">
      <alignment horizontal="left" vertical="center" wrapText="1"/>
    </xf>
    <xf numFmtId="0" fontId="18" fillId="0" borderId="0" xfId="0" applyFont="1" applyAlignment="1">
      <alignment wrapText="1"/>
    </xf>
    <xf numFmtId="49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165" fontId="11" fillId="2" borderId="2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right"/>
    </xf>
    <xf numFmtId="43" fontId="3" fillId="0" borderId="2" xfId="4" applyNumberFormat="1" applyFont="1" applyFill="1" applyBorder="1" applyAlignment="1">
      <alignment vertical="center"/>
    </xf>
    <xf numFmtId="0" fontId="12" fillId="0" borderId="2" xfId="0" applyFont="1" applyBorder="1" applyAlignment="1">
      <alignment horizontal="left" vertical="top" wrapText="1"/>
    </xf>
    <xf numFmtId="4" fontId="12" fillId="0" borderId="2" xfId="0" applyNumberFormat="1" applyFont="1" applyBorder="1" applyAlignment="1">
      <alignment horizontal="right" vertical="center" wrapText="1"/>
    </xf>
    <xf numFmtId="4" fontId="13" fillId="0" borderId="2" xfId="4" applyNumberFormat="1" applyFont="1" applyFill="1" applyBorder="1" applyAlignment="1">
      <alignment vertical="center"/>
    </xf>
    <xf numFmtId="4" fontId="13" fillId="0" borderId="2" xfId="4" applyNumberFormat="1" applyFont="1" applyFill="1" applyBorder="1" applyAlignment="1">
      <alignment horizontal="center" vertical="center"/>
    </xf>
    <xf numFmtId="4" fontId="13" fillId="0" borderId="2" xfId="4" applyNumberFormat="1" applyFont="1" applyFill="1" applyBorder="1" applyAlignment="1">
      <alignment horizontal="right" vertical="center"/>
    </xf>
    <xf numFmtId="0" fontId="3" fillId="0" borderId="2" xfId="18" applyFont="1" applyBorder="1"/>
    <xf numFmtId="43" fontId="13" fillId="0" borderId="2" xfId="4" applyNumberFormat="1" applyFont="1" applyFill="1" applyBorder="1" applyAlignment="1">
      <alignment vertical="center"/>
    </xf>
    <xf numFmtId="4" fontId="3" fillId="0" borderId="2" xfId="4" applyNumberFormat="1" applyFont="1" applyFill="1" applyBorder="1" applyAlignment="1">
      <alignment horizontal="right"/>
    </xf>
    <xf numFmtId="4" fontId="13" fillId="2" borderId="2" xfId="0" applyNumberFormat="1" applyFont="1" applyFill="1" applyBorder="1" applyAlignment="1">
      <alignment vertical="center"/>
    </xf>
    <xf numFmtId="43" fontId="13" fillId="0" borderId="4" xfId="4" applyNumberFormat="1" applyFont="1" applyFill="1" applyBorder="1" applyAlignment="1">
      <alignment horizontal="center" vertical="center" wrapText="1"/>
    </xf>
    <xf numFmtId="4" fontId="13" fillId="0" borderId="2" xfId="4" applyNumberFormat="1" applyFont="1" applyFill="1" applyBorder="1" applyAlignment="1">
      <alignment horizontal="right"/>
    </xf>
    <xf numFmtId="43" fontId="14" fillId="0" borderId="2" xfId="4" applyNumberFormat="1" applyFont="1" applyFill="1" applyBorder="1" applyAlignment="1">
      <alignment vertical="center" wrapText="1"/>
    </xf>
    <xf numFmtId="43" fontId="12" fillId="0" borderId="2" xfId="4" applyNumberFormat="1" applyFont="1" applyFill="1" applyBorder="1" applyAlignment="1">
      <alignment vertical="center"/>
    </xf>
    <xf numFmtId="43" fontId="13" fillId="0" borderId="4" xfId="4" applyNumberFormat="1" applyFont="1" applyFill="1" applyBorder="1" applyAlignment="1">
      <alignment horizont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/>
    </xf>
    <xf numFmtId="2" fontId="13" fillId="0" borderId="2" xfId="0" applyNumberFormat="1" applyFont="1" applyBorder="1" applyAlignment="1">
      <alignment horizontal="right" vertical="center" wrapText="1"/>
    </xf>
    <xf numFmtId="168" fontId="13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horizontal="right" vertical="center" wrapText="1"/>
    </xf>
    <xf numFmtId="3" fontId="13" fillId="0" borderId="2" xfId="0" applyNumberFormat="1" applyFont="1" applyBorder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2" fontId="12" fillId="0" borderId="4" xfId="0" applyNumberFormat="1" applyFont="1" applyBorder="1" applyAlignment="1">
      <alignment horizontal="right" vertical="center" wrapText="1"/>
    </xf>
    <xf numFmtId="2" fontId="12" fillId="0" borderId="5" xfId="0" applyNumberFormat="1" applyFont="1" applyBorder="1" applyAlignment="1">
      <alignment horizontal="right" vertical="center" wrapText="1"/>
    </xf>
    <xf numFmtId="43" fontId="3" fillId="2" borderId="2" xfId="24" applyNumberFormat="1" applyFont="1" applyFill="1" applyBorder="1" applyAlignment="1">
      <alignment vertical="center"/>
    </xf>
    <xf numFmtId="4" fontId="3" fillId="2" borderId="2" xfId="24" applyNumberFormat="1" applyFont="1" applyFill="1" applyBorder="1" applyAlignment="1">
      <alignment horizontal="right"/>
    </xf>
    <xf numFmtId="1" fontId="12" fillId="0" borderId="2" xfId="57" applyNumberFormat="1" applyFont="1" applyBorder="1" applyAlignment="1">
      <alignment horizontal="center" vertical="center" wrapText="1"/>
    </xf>
    <xf numFmtId="4" fontId="13" fillId="0" borderId="2" xfId="28" applyNumberFormat="1" applyFont="1" applyFill="1" applyBorder="1" applyAlignment="1">
      <alignment horizontal="right" vertical="center"/>
    </xf>
    <xf numFmtId="0" fontId="13" fillId="0" borderId="2" xfId="57" applyFont="1" applyBorder="1" applyAlignment="1">
      <alignment vertical="center"/>
    </xf>
    <xf numFmtId="2" fontId="12" fillId="0" borderId="3" xfId="18" applyNumberFormat="1" applyFont="1" applyBorder="1" applyAlignment="1">
      <alignment horizontal="right" vertical="center" wrapText="1"/>
    </xf>
    <xf numFmtId="1" fontId="12" fillId="0" borderId="3" xfId="18" applyNumberFormat="1" applyFont="1" applyBorder="1" applyAlignment="1">
      <alignment horizontal="right" vertical="center" wrapText="1"/>
    </xf>
    <xf numFmtId="165" fontId="12" fillId="0" borderId="3" xfId="18" applyNumberFormat="1" applyFont="1" applyBorder="1" applyAlignment="1">
      <alignment horizontal="right" vertical="center" wrapText="1"/>
    </xf>
    <xf numFmtId="0" fontId="12" fillId="0" borderId="3" xfId="18" applyFont="1" applyFill="1" applyBorder="1" applyAlignment="1">
      <alignment horizontal="left" vertical="center" wrapText="1"/>
    </xf>
    <xf numFmtId="2" fontId="12" fillId="0" borderId="3" xfId="18" applyNumberFormat="1" applyFont="1" applyFill="1" applyBorder="1" applyAlignment="1">
      <alignment horizontal="center" vertical="center" wrapText="1"/>
    </xf>
    <xf numFmtId="2" fontId="12" fillId="0" borderId="3" xfId="18" applyNumberFormat="1" applyFont="1" applyFill="1" applyBorder="1" applyAlignment="1">
      <alignment horizontal="right" vertical="center" wrapText="1"/>
    </xf>
    <xf numFmtId="49" fontId="12" fillId="0" borderId="2" xfId="18" applyNumberFormat="1" applyFont="1" applyBorder="1" applyAlignment="1">
      <alignment vertical="center" wrapText="1"/>
    </xf>
    <xf numFmtId="170" fontId="12" fillId="0" borderId="2" xfId="18" applyNumberFormat="1" applyFont="1" applyBorder="1" applyAlignment="1">
      <alignment horizontal="right" vertical="center" wrapText="1"/>
    </xf>
    <xf numFmtId="2" fontId="12" fillId="0" borderId="2" xfId="0" applyNumberFormat="1" applyFont="1" applyBorder="1" applyAlignment="1">
      <alignment horizontal="right" vertical="center" wrapText="1"/>
    </xf>
    <xf numFmtId="4" fontId="7" fillId="0" borderId="2" xfId="4" applyNumberFormat="1" applyFont="1" applyBorder="1" applyAlignment="1">
      <alignment horizontal="center" vertical="center"/>
    </xf>
    <xf numFmtId="2" fontId="20" fillId="0" borderId="2" xfId="18" applyNumberFormat="1" applyFont="1" applyBorder="1" applyAlignment="1">
      <alignment horizontal="right" vertical="center" wrapText="1"/>
    </xf>
    <xf numFmtId="0" fontId="21" fillId="0" borderId="2" xfId="18" applyFont="1" applyBorder="1"/>
    <xf numFmtId="2" fontId="12" fillId="0" borderId="2" xfId="5" applyNumberFormat="1" applyFont="1" applyBorder="1" applyAlignment="1">
      <alignment horizontal="center" vertical="center" wrapText="1"/>
    </xf>
    <xf numFmtId="43" fontId="12" fillId="0" borderId="2" xfId="4" applyNumberFormat="1" applyFont="1" applyFill="1" applyBorder="1" applyAlignment="1">
      <alignment horizontal="center" vertical="center"/>
    </xf>
    <xf numFmtId="49" fontId="11" fillId="2" borderId="2" xfId="26" applyNumberFormat="1" applyFont="1" applyFill="1" applyBorder="1" applyAlignment="1">
      <alignment horizontal="center" vertical="center" wrapText="1"/>
    </xf>
    <xf numFmtId="0" fontId="11" fillId="2" borderId="2" xfId="26" applyFont="1" applyFill="1" applyBorder="1" applyAlignment="1">
      <alignment vertical="center" wrapText="1"/>
    </xf>
    <xf numFmtId="0" fontId="11" fillId="2" borderId="2" xfId="26" applyFont="1" applyFill="1" applyBorder="1" applyAlignment="1">
      <alignment horizontal="center" vertical="center" wrapText="1"/>
    </xf>
    <xf numFmtId="165" fontId="11" fillId="2" borderId="2" xfId="26" applyNumberFormat="1" applyFont="1" applyFill="1" applyBorder="1" applyAlignment="1">
      <alignment horizontal="right" vertical="center" wrapText="1"/>
    </xf>
    <xf numFmtId="43" fontId="3" fillId="2" borderId="4" xfId="24" applyNumberFormat="1" applyFont="1" applyFill="1" applyBorder="1" applyAlignment="1">
      <alignment horizontal="center" vertical="center"/>
    </xf>
    <xf numFmtId="4" fontId="3" fillId="2" borderId="2" xfId="26" applyNumberFormat="1" applyFont="1" applyFill="1" applyBorder="1" applyAlignment="1">
      <alignment horizontal="right" vertical="center"/>
    </xf>
    <xf numFmtId="49" fontId="12" fillId="0" borderId="2" xfId="26" applyNumberFormat="1" applyFont="1" applyBorder="1" applyAlignment="1">
      <alignment horizontal="center" vertical="center" wrapText="1"/>
    </xf>
    <xf numFmtId="2" fontId="12" fillId="0" borderId="2" xfId="26" applyNumberFormat="1" applyFont="1" applyBorder="1" applyAlignment="1">
      <alignment horizontal="center" vertical="center" wrapText="1"/>
    </xf>
    <xf numFmtId="165" fontId="12" fillId="0" borderId="2" xfId="26" applyNumberFormat="1" applyFont="1" applyBorder="1" applyAlignment="1">
      <alignment horizontal="right" vertical="center" wrapText="1"/>
    </xf>
    <xf numFmtId="0" fontId="12" fillId="0" borderId="2" xfId="26" applyFont="1" applyBorder="1" applyAlignment="1">
      <alignment horizontal="left" vertical="center" wrapText="1"/>
    </xf>
    <xf numFmtId="0" fontId="13" fillId="0" borderId="2" xfId="26" applyFont="1" applyBorder="1"/>
    <xf numFmtId="0" fontId="12" fillId="0" borderId="2" xfId="0" applyFont="1" applyBorder="1" applyAlignment="1">
      <alignment horizontal="right"/>
    </xf>
    <xf numFmtId="43" fontId="13" fillId="0" borderId="6" xfId="24" applyNumberFormat="1" applyFont="1" applyFill="1" applyBorder="1" applyAlignment="1">
      <alignment horizontal="center" vertical="center"/>
    </xf>
    <xf numFmtId="0" fontId="13" fillId="0" borderId="2" xfId="26" applyFont="1" applyBorder="1" applyAlignment="1">
      <alignment horizontal="center"/>
    </xf>
    <xf numFmtId="0" fontId="12" fillId="0" borderId="2" xfId="26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" xfId="26" applyFont="1" applyBorder="1" applyAlignment="1">
      <alignment horizontal="right"/>
    </xf>
    <xf numFmtId="43" fontId="12" fillId="0" borderId="2" xfId="4" applyNumberFormat="1" applyFont="1" applyFill="1" applyBorder="1" applyAlignment="1">
      <alignment horizontal="right" vertical="center"/>
    </xf>
    <xf numFmtId="43" fontId="12" fillId="0" borderId="6" xfId="4" applyNumberFormat="1" applyFont="1" applyFill="1" applyBorder="1" applyAlignment="1">
      <alignment horizontal="center" vertical="center" wrapText="1"/>
    </xf>
    <xf numFmtId="4" fontId="12" fillId="0" borderId="2" xfId="4" applyNumberFormat="1" applyFont="1" applyFill="1" applyBorder="1" applyAlignment="1">
      <alignment horizontal="right"/>
    </xf>
    <xf numFmtId="2" fontId="12" fillId="0" borderId="2" xfId="5" applyNumberFormat="1" applyFont="1" applyBorder="1" applyAlignment="1">
      <alignment horizontal="right" vertical="center" wrapText="1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right" vertical="center"/>
    </xf>
    <xf numFmtId="4" fontId="13" fillId="0" borderId="2" xfId="48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right" vertical="center"/>
    </xf>
    <xf numFmtId="4" fontId="13" fillId="0" borderId="2" xfId="50" applyNumberFormat="1" applyFont="1" applyFill="1" applyBorder="1" applyAlignment="1">
      <alignment horizontal="center" vertical="center" wrapText="1"/>
    </xf>
    <xf numFmtId="4" fontId="13" fillId="0" borderId="2" xfId="52" applyNumberFormat="1" applyFont="1" applyFill="1" applyBorder="1" applyAlignment="1">
      <alignment horizontal="center" vertical="center" wrapText="1"/>
    </xf>
    <xf numFmtId="4" fontId="13" fillId="0" borderId="2" xfId="13" applyNumberFormat="1" applyFont="1" applyFill="1" applyBorder="1" applyAlignment="1">
      <alignment horizontal="center" vertical="center" wrapText="1"/>
    </xf>
    <xf numFmtId="4" fontId="13" fillId="0" borderId="2" xfId="45" applyNumberFormat="1" applyFont="1" applyFill="1" applyBorder="1" applyAlignment="1">
      <alignment horizontal="center" vertical="center" wrapText="1"/>
    </xf>
    <xf numFmtId="4" fontId="13" fillId="0" borderId="2" xfId="47" applyNumberFormat="1" applyFont="1" applyFill="1" applyBorder="1" applyAlignment="1">
      <alignment horizontal="center" vertical="center" wrapText="1"/>
    </xf>
    <xf numFmtId="4" fontId="13" fillId="0" borderId="2" xfId="49" applyNumberFormat="1" applyFont="1" applyFill="1" applyBorder="1" applyAlignment="1">
      <alignment horizontal="center" vertical="center" wrapText="1"/>
    </xf>
    <xf numFmtId="4" fontId="13" fillId="0" borderId="2" xfId="51" applyNumberFormat="1" applyFont="1" applyFill="1" applyBorder="1" applyAlignment="1">
      <alignment horizontal="center" vertical="center" wrapText="1"/>
    </xf>
    <xf numFmtId="4" fontId="13" fillId="0" borderId="2" xfId="12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/>
    </xf>
    <xf numFmtId="4" fontId="13" fillId="0" borderId="2" xfId="0" applyNumberFormat="1" applyFont="1" applyFill="1" applyBorder="1" applyAlignment="1">
      <alignment horizontal="center" vertical="center" wrapText="1"/>
    </xf>
    <xf numFmtId="0" fontId="13" fillId="0" borderId="2" xfId="18" applyFont="1" applyFill="1" applyBorder="1" applyAlignment="1">
      <alignment vertical="center" wrapText="1"/>
    </xf>
    <xf numFmtId="0" fontId="13" fillId="0" borderId="2" xfId="18" applyFont="1" applyFill="1" applyBorder="1" applyAlignment="1">
      <alignment horizontal="center" vertical="center" wrapText="1"/>
    </xf>
    <xf numFmtId="0" fontId="12" fillId="0" borderId="2" xfId="18" applyFont="1" applyFill="1" applyBorder="1" applyAlignment="1">
      <alignment horizontal="right" vertical="center" wrapText="1"/>
    </xf>
    <xf numFmtId="0" fontId="22" fillId="0" borderId="2" xfId="0" applyFont="1" applyFill="1" applyBorder="1" applyAlignment="1">
      <alignment wrapText="1"/>
    </xf>
    <xf numFmtId="4" fontId="3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4" fontId="13" fillId="0" borderId="2" xfId="39" applyNumberFormat="1" applyFont="1" applyFill="1" applyBorder="1" applyAlignment="1">
      <alignment horizontal="center" vertical="center" wrapText="1"/>
    </xf>
    <xf numFmtId="49" fontId="12" fillId="0" borderId="2" xfId="54" applyNumberFormat="1" applyFont="1" applyFill="1" applyBorder="1" applyAlignment="1">
      <alignment vertical="center" wrapText="1"/>
    </xf>
    <xf numFmtId="4" fontId="13" fillId="0" borderId="2" xfId="26" applyNumberFormat="1" applyFont="1" applyFill="1" applyBorder="1" applyAlignment="1">
      <alignment horizontal="center" vertical="center" wrapText="1"/>
    </xf>
    <xf numFmtId="49" fontId="12" fillId="0" borderId="2" xfId="59" applyNumberFormat="1" applyFont="1" applyFill="1" applyBorder="1" applyAlignment="1">
      <alignment vertical="center" wrapText="1"/>
    </xf>
    <xf numFmtId="49" fontId="12" fillId="0" borderId="2" xfId="29" applyNumberFormat="1" applyFont="1" applyFill="1" applyBorder="1" applyAlignment="1">
      <alignment vertical="center" wrapText="1"/>
    </xf>
    <xf numFmtId="4" fontId="13" fillId="0" borderId="2" xfId="43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right"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right" vertical="center" wrapText="1"/>
    </xf>
    <xf numFmtId="4" fontId="13" fillId="0" borderId="4" xfId="0" applyNumberFormat="1" applyFont="1" applyFill="1" applyBorder="1" applyAlignment="1">
      <alignment horizontal="right" vertical="center" wrapText="1"/>
    </xf>
    <xf numFmtId="0" fontId="13" fillId="0" borderId="2" xfId="0" applyFont="1" applyFill="1" applyBorder="1" applyAlignment="1">
      <alignment vertical="center" wrapText="1"/>
    </xf>
    <xf numFmtId="167" fontId="12" fillId="0" borderId="2" xfId="0" applyNumberFormat="1" applyFont="1" applyFill="1" applyBorder="1" applyAlignment="1">
      <alignment horizontal="right" vertical="center" wrapText="1"/>
    </xf>
    <xf numFmtId="0" fontId="13" fillId="0" borderId="2" xfId="16" applyFont="1" applyFill="1" applyBorder="1"/>
    <xf numFmtId="0" fontId="13" fillId="0" borderId="2" xfId="16" applyFont="1" applyFill="1" applyBorder="1" applyAlignment="1">
      <alignment horizontal="center" vertical="center"/>
    </xf>
    <xf numFmtId="0" fontId="13" fillId="0" borderId="2" xfId="16" applyFont="1" applyFill="1" applyBorder="1" applyAlignment="1">
      <alignment horizontal="right" vertical="center"/>
    </xf>
    <xf numFmtId="4" fontId="13" fillId="0" borderId="2" xfId="16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wrapText="1"/>
    </xf>
    <xf numFmtId="49" fontId="12" fillId="0" borderId="2" xfId="11" applyNumberFormat="1" applyFont="1" applyFill="1" applyBorder="1" applyAlignment="1">
      <alignment vertical="center" wrapText="1"/>
    </xf>
    <xf numFmtId="4" fontId="12" fillId="0" borderId="2" xfId="18" applyNumberFormat="1" applyFont="1" applyFill="1" applyBorder="1" applyAlignment="1">
      <alignment horizontal="center" vertical="center" wrapText="1"/>
    </xf>
    <xf numFmtId="0" fontId="13" fillId="0" borderId="2" xfId="46" applyFont="1" applyFill="1" applyBorder="1" applyAlignment="1">
      <alignment vertical="center" wrapText="1"/>
    </xf>
    <xf numFmtId="4" fontId="13" fillId="0" borderId="2" xfId="15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right" vertical="center"/>
    </xf>
    <xf numFmtId="4" fontId="13" fillId="0" borderId="2" xfId="20" applyNumberFormat="1" applyFont="1" applyFill="1" applyBorder="1" applyAlignment="1">
      <alignment horizontal="center" vertical="center" wrapText="1"/>
    </xf>
    <xf numFmtId="4" fontId="13" fillId="0" borderId="2" xfId="9" applyNumberFormat="1" applyFont="1" applyFill="1" applyBorder="1" applyAlignment="1">
      <alignment horizontal="center" vertical="center" wrapText="1"/>
    </xf>
    <xf numFmtId="4" fontId="13" fillId="0" borderId="2" xfId="3" applyNumberFormat="1" applyFont="1" applyFill="1" applyBorder="1" applyAlignment="1">
      <alignment horizontal="center" vertical="center" wrapText="1"/>
    </xf>
    <xf numFmtId="4" fontId="13" fillId="0" borderId="2" xfId="7" applyNumberFormat="1" applyFont="1" applyFill="1" applyBorder="1" applyAlignment="1">
      <alignment horizontal="center" vertical="center" wrapText="1"/>
    </xf>
    <xf numFmtId="4" fontId="13" fillId="0" borderId="2" xfId="14" applyNumberFormat="1" applyFont="1" applyFill="1" applyBorder="1" applyAlignment="1">
      <alignment horizontal="center" vertical="center" wrapText="1"/>
    </xf>
    <xf numFmtId="4" fontId="13" fillId="0" borderId="2" xfId="19" applyNumberFormat="1" applyFont="1" applyFill="1" applyBorder="1" applyAlignment="1">
      <alignment horizontal="center" vertical="center" wrapText="1"/>
    </xf>
    <xf numFmtId="4" fontId="13" fillId="0" borderId="2" xfId="8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/>
    </xf>
    <xf numFmtId="4" fontId="12" fillId="0" borderId="2" xfId="0" applyNumberFormat="1" applyFont="1" applyFill="1" applyBorder="1" applyAlignment="1">
      <alignment horizontal="left" vertical="center" wrapText="1"/>
    </xf>
    <xf numFmtId="0" fontId="12" fillId="0" borderId="2" xfId="21" applyFont="1" applyFill="1" applyBorder="1" applyAlignment="1">
      <alignment horizontal="center" vertical="center" wrapText="1"/>
    </xf>
    <xf numFmtId="1" fontId="22" fillId="0" borderId="2" xfId="21" applyNumberFormat="1" applyFont="1" applyFill="1" applyBorder="1" applyAlignment="1">
      <alignment horizontal="right" vertical="center" shrinkToFit="1"/>
    </xf>
    <xf numFmtId="4" fontId="12" fillId="0" borderId="2" xfId="0" applyNumberFormat="1" applyFont="1" applyFill="1" applyBorder="1" applyAlignment="1">
      <alignment horizontal="center" vertical="center"/>
    </xf>
    <xf numFmtId="4" fontId="12" fillId="0" borderId="2" xfId="31" applyNumberFormat="1" applyFont="1" applyFill="1" applyBorder="1" applyAlignment="1">
      <alignment horizontal="center" vertical="center" wrapText="1"/>
    </xf>
    <xf numFmtId="4" fontId="22" fillId="0" borderId="7" xfId="0" applyNumberFormat="1" applyFont="1" applyFill="1" applyBorder="1" applyAlignment="1">
      <alignment horizontal="center" vertical="center" shrinkToFit="1"/>
    </xf>
    <xf numFmtId="0" fontId="12" fillId="0" borderId="2" xfId="22" applyFont="1" applyFill="1" applyBorder="1" applyAlignment="1">
      <alignment horizontal="center" vertical="center" wrapText="1"/>
    </xf>
    <xf numFmtId="1" fontId="22" fillId="0" borderId="2" xfId="22" applyNumberFormat="1" applyFont="1" applyFill="1" applyBorder="1" applyAlignment="1">
      <alignment horizontal="right" vertical="center" shrinkToFit="1"/>
    </xf>
    <xf numFmtId="4" fontId="12" fillId="0" borderId="2" xfId="44" applyNumberFormat="1" applyFont="1" applyFill="1" applyBorder="1" applyAlignment="1">
      <alignment horizontal="center" vertical="center"/>
    </xf>
    <xf numFmtId="4" fontId="12" fillId="0" borderId="2" xfId="17" applyNumberFormat="1" applyFont="1" applyFill="1" applyBorder="1" applyAlignment="1">
      <alignment horizontal="center" vertical="center"/>
    </xf>
    <xf numFmtId="4" fontId="12" fillId="0" borderId="2" xfId="56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wrapText="1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/>
    <xf numFmtId="0" fontId="13" fillId="0" borderId="2" xfId="38" applyFont="1" applyFill="1" applyBorder="1" applyAlignment="1">
      <alignment vertical="center" wrapText="1"/>
    </xf>
    <xf numFmtId="0" fontId="13" fillId="0" borderId="2" xfId="34" applyFont="1" applyFill="1" applyBorder="1" applyAlignment="1">
      <alignment vertical="center" wrapText="1"/>
    </xf>
    <xf numFmtId="0" fontId="13" fillId="0" borderId="2" xfId="34" applyFont="1" applyFill="1" applyBorder="1" applyAlignment="1">
      <alignment horizontal="center" vertical="center" wrapText="1"/>
    </xf>
    <xf numFmtId="0" fontId="13" fillId="0" borderId="2" xfId="34" applyFont="1" applyFill="1" applyBorder="1" applyAlignment="1">
      <alignment horizontal="right" vertical="center" wrapText="1"/>
    </xf>
    <xf numFmtId="4" fontId="13" fillId="0" borderId="2" xfId="34" applyNumberFormat="1" applyFont="1" applyFill="1" applyBorder="1" applyAlignment="1">
      <alignment horizontal="center" vertical="center" wrapText="1"/>
    </xf>
    <xf numFmtId="4" fontId="13" fillId="0" borderId="2" xfId="34" applyNumberFormat="1" applyFont="1" applyFill="1" applyBorder="1" applyAlignment="1">
      <alignment horizontal="right" vertical="center" wrapText="1"/>
    </xf>
    <xf numFmtId="0" fontId="13" fillId="0" borderId="2" xfId="35" applyFont="1" applyFill="1" applyBorder="1" applyAlignment="1">
      <alignment vertical="center" wrapText="1"/>
    </xf>
    <xf numFmtId="0" fontId="13" fillId="0" borderId="2" xfId="35" applyFont="1" applyFill="1" applyBorder="1" applyAlignment="1">
      <alignment horizontal="center" vertical="center" wrapText="1"/>
    </xf>
    <xf numFmtId="4" fontId="13" fillId="0" borderId="2" xfId="37" applyNumberFormat="1" applyFont="1" applyFill="1" applyBorder="1" applyAlignment="1">
      <alignment horizontal="center" vertical="center" wrapText="1"/>
    </xf>
    <xf numFmtId="4" fontId="13" fillId="0" borderId="2" xfId="33" applyNumberFormat="1" applyFont="1" applyFill="1" applyBorder="1" applyAlignment="1">
      <alignment horizontal="center" vertical="center" wrapText="1"/>
    </xf>
    <xf numFmtId="0" fontId="13" fillId="0" borderId="2" xfId="2" applyFont="1" applyFill="1" applyBorder="1" applyAlignment="1">
      <alignment vertical="center" wrapText="1"/>
    </xf>
    <xf numFmtId="4" fontId="13" fillId="0" borderId="2" xfId="6" applyNumberFormat="1" applyFont="1" applyFill="1" applyBorder="1" applyAlignment="1">
      <alignment horizontal="center" vertical="center" wrapText="1"/>
    </xf>
    <xf numFmtId="0" fontId="13" fillId="0" borderId="2" xfId="23" applyFont="1" applyFill="1" applyBorder="1" applyAlignment="1">
      <alignment vertical="center" wrapText="1"/>
    </xf>
    <xf numFmtId="4" fontId="13" fillId="0" borderId="2" xfId="25" applyNumberFormat="1" applyFont="1" applyFill="1" applyBorder="1" applyAlignment="1">
      <alignment horizontal="center" vertical="center" wrapText="1"/>
    </xf>
    <xf numFmtId="4" fontId="3" fillId="0" borderId="2" xfId="57" applyNumberFormat="1" applyFont="1" applyFill="1" applyBorder="1" applyAlignment="1">
      <alignment horizontal="center" vertical="center"/>
    </xf>
    <xf numFmtId="49" fontId="13" fillId="0" borderId="2" xfId="57" applyNumberFormat="1" applyFont="1" applyFill="1" applyBorder="1" applyAlignment="1">
      <alignment horizontal="center" vertical="center"/>
    </xf>
    <xf numFmtId="0" fontId="13" fillId="0" borderId="2" xfId="41" applyFont="1" applyFill="1" applyBorder="1" applyAlignment="1">
      <alignment vertical="top" wrapText="1"/>
    </xf>
    <xf numFmtId="0" fontId="13" fillId="0" borderId="2" xfId="41" applyFont="1" applyFill="1" applyBorder="1" applyAlignment="1">
      <alignment horizontal="center" vertical="center" wrapText="1"/>
    </xf>
    <xf numFmtId="0" fontId="13" fillId="0" borderId="2" xfId="41" applyFont="1" applyFill="1" applyBorder="1" applyAlignment="1">
      <alignment horizontal="right" vertical="center" wrapText="1"/>
    </xf>
    <xf numFmtId="4" fontId="13" fillId="0" borderId="2" xfId="57" applyNumberFormat="1" applyFont="1" applyFill="1" applyBorder="1" applyAlignment="1">
      <alignment horizontal="right" vertical="center"/>
    </xf>
    <xf numFmtId="0" fontId="12" fillId="0" borderId="2" xfId="41" applyFont="1" applyFill="1" applyBorder="1" applyAlignment="1">
      <alignment horizontal="left" vertical="center" wrapText="1"/>
    </xf>
    <xf numFmtId="0" fontId="13" fillId="0" borderId="2" xfId="41" applyFont="1" applyFill="1" applyBorder="1" applyAlignment="1">
      <alignment vertical="center" wrapText="1"/>
    </xf>
    <xf numFmtId="4" fontId="13" fillId="0" borderId="2" xfId="57" applyNumberFormat="1" applyFont="1" applyFill="1" applyBorder="1" applyAlignment="1">
      <alignment horizontal="center" vertical="center"/>
    </xf>
    <xf numFmtId="0" fontId="13" fillId="0" borderId="2" xfId="42" applyFont="1" applyFill="1" applyBorder="1" applyAlignment="1">
      <alignment vertical="center" wrapText="1"/>
    </xf>
    <xf numFmtId="0" fontId="12" fillId="0" borderId="2" xfId="41" applyFont="1" applyFill="1" applyBorder="1" applyAlignment="1">
      <alignment horizontal="right" vertical="center" wrapText="1"/>
    </xf>
    <xf numFmtId="0" fontId="12" fillId="0" borderId="8" xfId="57" applyFont="1" applyFill="1" applyBorder="1" applyAlignment="1">
      <alignment horizontal="left" vertical="top" wrapText="1"/>
    </xf>
    <xf numFmtId="1" fontId="13" fillId="0" borderId="8" xfId="57" applyNumberFormat="1" applyFont="1" applyFill="1" applyBorder="1" applyAlignment="1">
      <alignment horizontal="right" vertical="center" shrinkToFit="1"/>
    </xf>
    <xf numFmtId="1" fontId="22" fillId="0" borderId="8" xfId="57" applyNumberFormat="1" applyFont="1" applyFill="1" applyBorder="1" applyAlignment="1">
      <alignment horizontal="right" vertical="center" shrinkToFit="1"/>
    </xf>
    <xf numFmtId="0" fontId="12" fillId="0" borderId="2" xfId="57" applyFont="1" applyFill="1" applyBorder="1" applyAlignment="1">
      <alignment horizontal="left" vertical="top" wrapText="1"/>
    </xf>
    <xf numFmtId="0" fontId="12" fillId="0" borderId="2" xfId="41" applyFont="1" applyFill="1" applyBorder="1" applyAlignment="1">
      <alignment vertical="center" wrapText="1"/>
    </xf>
    <xf numFmtId="0" fontId="12" fillId="0" borderId="2" xfId="42" applyFont="1" applyFill="1" applyBorder="1" applyAlignment="1">
      <alignment vertical="center" wrapText="1"/>
    </xf>
    <xf numFmtId="0" fontId="12" fillId="0" borderId="2" xfId="41" applyFont="1" applyFill="1" applyBorder="1" applyAlignment="1">
      <alignment horizontal="center" vertical="center" wrapText="1"/>
    </xf>
    <xf numFmtId="0" fontId="13" fillId="0" borderId="2" xfId="57" applyFont="1" applyFill="1" applyBorder="1" applyAlignment="1">
      <alignment wrapText="1"/>
    </xf>
    <xf numFmtId="49" fontId="12" fillId="0" borderId="2" xfId="57" applyNumberFormat="1" applyFont="1" applyFill="1" applyBorder="1" applyAlignment="1">
      <alignment horizontal="center" vertical="center" wrapText="1"/>
    </xf>
    <xf numFmtId="4" fontId="12" fillId="0" borderId="2" xfId="57" applyNumberFormat="1" applyFont="1" applyFill="1" applyBorder="1" applyAlignment="1">
      <alignment horizontal="right" vertical="center" wrapText="1"/>
    </xf>
    <xf numFmtId="4" fontId="12" fillId="0" borderId="2" xfId="57" applyNumberFormat="1" applyFont="1" applyFill="1" applyBorder="1" applyAlignment="1">
      <alignment horizontal="center" vertical="center" wrapText="1"/>
    </xf>
    <xf numFmtId="0" fontId="13" fillId="0" borderId="2" xfId="57" applyFont="1" applyFill="1" applyBorder="1"/>
    <xf numFmtId="0" fontId="13" fillId="0" borderId="2" xfId="57" applyFont="1" applyFill="1" applyBorder="1" applyAlignment="1">
      <alignment horizontal="center" vertical="center"/>
    </xf>
    <xf numFmtId="0" fontId="13" fillId="0" borderId="2" xfId="57" applyFont="1" applyFill="1" applyBorder="1" applyAlignment="1">
      <alignment horizontal="right" vertical="center"/>
    </xf>
    <xf numFmtId="0" fontId="13" fillId="0" borderId="2" xfId="42" applyFont="1" applyFill="1" applyBorder="1" applyAlignment="1">
      <alignment horizontal="right" vertical="center" wrapText="1"/>
    </xf>
    <xf numFmtId="49" fontId="12" fillId="0" borderId="2" xfId="10" applyNumberFormat="1" applyFont="1" applyFill="1" applyBorder="1" applyAlignment="1">
      <alignment vertical="center" wrapText="1"/>
    </xf>
    <xf numFmtId="49" fontId="12" fillId="0" borderId="2" xfId="58" applyNumberFormat="1" applyFont="1" applyFill="1" applyBorder="1" applyAlignment="1">
      <alignment vertical="center" wrapText="1"/>
    </xf>
    <xf numFmtId="4" fontId="13" fillId="0" borderId="2" xfId="30" applyNumberFormat="1" applyFont="1" applyFill="1" applyBorder="1" applyAlignment="1">
      <alignment horizontal="center" vertical="center" wrapText="1"/>
    </xf>
    <xf numFmtId="0" fontId="13" fillId="0" borderId="2" xfId="42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right" vertical="center" wrapText="1"/>
    </xf>
    <xf numFmtId="0" fontId="13" fillId="0" borderId="2" xfId="55" applyFont="1" applyFill="1" applyBorder="1" applyAlignment="1">
      <alignment horizontal="center" vertical="center"/>
    </xf>
    <xf numFmtId="0" fontId="13" fillId="0" borderId="2" xfId="55" applyFont="1" applyFill="1" applyBorder="1" applyAlignment="1">
      <alignment horizontal="right" vertical="center"/>
    </xf>
    <xf numFmtId="4" fontId="13" fillId="0" borderId="2" xfId="55" applyNumberFormat="1" applyFont="1" applyFill="1" applyBorder="1" applyAlignment="1">
      <alignment horizontal="center" vertical="center"/>
    </xf>
    <xf numFmtId="4" fontId="13" fillId="0" borderId="2" xfId="57" applyNumberFormat="1" applyFont="1" applyFill="1" applyBorder="1" applyAlignment="1">
      <alignment horizontal="left"/>
    </xf>
    <xf numFmtId="4" fontId="13" fillId="0" borderId="2" xfId="0" applyNumberFormat="1" applyFont="1" applyFill="1" applyBorder="1" applyAlignment="1">
      <alignment horizontal="center" wrapText="1"/>
    </xf>
    <xf numFmtId="0" fontId="13" fillId="0" borderId="2" xfId="42" applyFont="1" applyFill="1" applyBorder="1" applyAlignment="1">
      <alignment horizontal="left" vertical="center" wrapText="1"/>
    </xf>
    <xf numFmtId="0" fontId="13" fillId="0" borderId="2" xfId="32" applyFont="1" applyFill="1" applyBorder="1" applyAlignment="1">
      <alignment vertical="center" wrapText="1"/>
    </xf>
    <xf numFmtId="0" fontId="12" fillId="0" borderId="2" xfId="42" applyFont="1" applyFill="1" applyBorder="1" applyAlignment="1">
      <alignment horizontal="left" vertical="center" wrapText="1"/>
    </xf>
    <xf numFmtId="0" fontId="13" fillId="0" borderId="1" xfId="41" applyFont="1" applyFill="1" applyBorder="1" applyAlignment="1">
      <alignment horizontal="center" vertical="center" wrapText="1"/>
    </xf>
    <xf numFmtId="0" fontId="13" fillId="0" borderId="1" xfId="41" applyFont="1" applyFill="1" applyBorder="1" applyAlignment="1">
      <alignment horizontal="right" vertical="center" wrapText="1"/>
    </xf>
    <xf numFmtId="4" fontId="13" fillId="0" borderId="1" xfId="57" applyNumberFormat="1" applyFont="1" applyFill="1" applyBorder="1" applyAlignment="1">
      <alignment horizontal="center" vertical="center"/>
    </xf>
    <xf numFmtId="4" fontId="13" fillId="0" borderId="1" xfId="57" applyNumberFormat="1" applyFont="1" applyFill="1" applyBorder="1" applyAlignment="1">
      <alignment horizontal="right" vertical="center"/>
    </xf>
    <xf numFmtId="4" fontId="3" fillId="0" borderId="2" xfId="55" applyNumberFormat="1" applyFont="1" applyFill="1" applyBorder="1" applyAlignment="1">
      <alignment horizontal="center" vertical="center"/>
    </xf>
    <xf numFmtId="49" fontId="13" fillId="0" borderId="2" xfId="55" applyNumberFormat="1" applyFont="1" applyFill="1" applyBorder="1" applyAlignment="1">
      <alignment horizontal="center"/>
    </xf>
    <xf numFmtId="0" fontId="13" fillId="0" borderId="2" xfId="55" applyFont="1" applyFill="1" applyBorder="1"/>
    <xf numFmtId="4" fontId="13" fillId="0" borderId="2" xfId="55" applyNumberFormat="1" applyFont="1" applyFill="1" applyBorder="1" applyAlignment="1">
      <alignment horizontal="right" vertical="center"/>
    </xf>
    <xf numFmtId="0" fontId="24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wrapText="1"/>
    </xf>
    <xf numFmtId="4" fontId="24" fillId="0" borderId="2" xfId="0" applyNumberFormat="1" applyFont="1" applyFill="1" applyBorder="1" applyAlignment="1">
      <alignment horizontal="center" wrapText="1"/>
    </xf>
    <xf numFmtId="0" fontId="13" fillId="0" borderId="0" xfId="55" applyFont="1" applyFill="1"/>
    <xf numFmtId="4" fontId="13" fillId="0" borderId="2" xfId="55" applyNumberFormat="1" applyFont="1" applyFill="1" applyBorder="1"/>
    <xf numFmtId="49" fontId="13" fillId="0" borderId="2" xfId="55" applyNumberFormat="1" applyFont="1" applyBorder="1" applyAlignment="1">
      <alignment horizontal="center"/>
    </xf>
    <xf numFmtId="0" fontId="13" fillId="0" borderId="2" xfId="55" applyFont="1" applyBorder="1" applyAlignment="1">
      <alignment wrapText="1"/>
    </xf>
    <xf numFmtId="0" fontId="13" fillId="0" borderId="2" xfId="55" applyFont="1" applyBorder="1" applyAlignment="1">
      <alignment horizontal="center" vertical="center"/>
    </xf>
    <xf numFmtId="4" fontId="13" fillId="0" borderId="2" xfId="55" applyNumberFormat="1" applyFont="1" applyBorder="1" applyAlignment="1">
      <alignment horizontal="center" vertical="center"/>
    </xf>
    <xf numFmtId="4" fontId="13" fillId="0" borderId="2" xfId="55" applyNumberFormat="1" applyFont="1" applyBorder="1" applyAlignment="1">
      <alignment horizontal="right" vertical="center"/>
    </xf>
    <xf numFmtId="4" fontId="1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13" fillId="0" borderId="2" xfId="18" applyNumberFormat="1" applyFont="1" applyFill="1" applyBorder="1" applyAlignment="1">
      <alignment horizontal="center"/>
    </xf>
    <xf numFmtId="0" fontId="13" fillId="0" borderId="2" xfId="18" applyFont="1" applyFill="1" applyBorder="1"/>
    <xf numFmtId="0" fontId="13" fillId="0" borderId="2" xfId="18" applyFont="1" applyFill="1" applyBorder="1" applyAlignment="1">
      <alignment horizontal="center" vertical="center"/>
    </xf>
    <xf numFmtId="0" fontId="13" fillId="0" borderId="2" xfId="18" applyFont="1" applyFill="1" applyBorder="1" applyAlignment="1">
      <alignment horizontal="right"/>
    </xf>
    <xf numFmtId="169" fontId="13" fillId="0" borderId="2" xfId="18" applyNumberFormat="1" applyFont="1" applyFill="1" applyBorder="1" applyAlignment="1">
      <alignment horizontal="center" vertical="center"/>
    </xf>
    <xf numFmtId="169" fontId="13" fillId="0" borderId="2" xfId="18" applyNumberFormat="1" applyFont="1" applyFill="1" applyBorder="1" applyAlignment="1">
      <alignment horizontal="right"/>
    </xf>
    <xf numFmtId="0" fontId="13" fillId="0" borderId="2" xfId="18" applyFont="1" applyFill="1" applyBorder="1" applyAlignment="1">
      <alignment horizontal="right" vertical="center"/>
    </xf>
    <xf numFmtId="169" fontId="2" fillId="0" borderId="0" xfId="18" applyNumberFormat="1"/>
    <xf numFmtId="169" fontId="13" fillId="0" borderId="2" xfId="18" applyNumberFormat="1" applyFont="1" applyFill="1" applyBorder="1" applyAlignment="1">
      <alignment horizontal="center"/>
    </xf>
    <xf numFmtId="0" fontId="12" fillId="0" borderId="2" xfId="18" applyFont="1" applyFill="1" applyBorder="1"/>
    <xf numFmtId="0" fontId="13" fillId="0" borderId="2" xfId="18" applyFont="1" applyFill="1" applyBorder="1" applyAlignment="1">
      <alignment wrapText="1"/>
    </xf>
    <xf numFmtId="0" fontId="12" fillId="0" borderId="2" xfId="18" applyFont="1" applyFill="1" applyBorder="1" applyAlignment="1">
      <alignment wrapText="1"/>
    </xf>
    <xf numFmtId="169" fontId="13" fillId="0" borderId="2" xfId="24" applyNumberFormat="1" applyFont="1" applyFill="1" applyBorder="1" applyAlignment="1">
      <alignment horizontal="center" vertical="center"/>
    </xf>
    <xf numFmtId="0" fontId="13" fillId="0" borderId="2" xfId="18" applyFont="1" applyFill="1" applyBorder="1" applyAlignment="1">
      <alignment horizontal="center"/>
    </xf>
    <xf numFmtId="0" fontId="12" fillId="0" borderId="2" xfId="36" applyNumberFormat="1" applyFont="1" applyFill="1" applyBorder="1" applyAlignment="1" applyProtection="1">
      <alignment horizontal="center" vertical="center"/>
    </xf>
    <xf numFmtId="0" fontId="12" fillId="0" borderId="2" xfId="36" applyNumberFormat="1" applyFont="1" applyFill="1" applyBorder="1" applyAlignment="1" applyProtection="1">
      <alignment horizontal="left" vertical="center"/>
    </xf>
    <xf numFmtId="0" fontId="12" fillId="0" borderId="2" xfId="36" applyNumberFormat="1" applyFont="1" applyFill="1" applyBorder="1" applyAlignment="1" applyProtection="1">
      <alignment horizontal="right" vertical="center"/>
    </xf>
    <xf numFmtId="4" fontId="13" fillId="0" borderId="2" xfId="24" applyNumberFormat="1" applyFont="1" applyFill="1" applyBorder="1" applyAlignment="1">
      <alignment horizontal="center" vertical="center"/>
    </xf>
    <xf numFmtId="4" fontId="12" fillId="0" borderId="2" xfId="24" applyNumberFormat="1" applyFont="1" applyFill="1" applyBorder="1" applyAlignment="1" applyProtection="1">
      <alignment horizontal="center" vertical="center"/>
    </xf>
    <xf numFmtId="4" fontId="13" fillId="0" borderId="2" xfId="18" applyNumberFormat="1" applyFont="1" applyFill="1" applyBorder="1" applyAlignment="1">
      <alignment horizontal="right" vertical="center"/>
    </xf>
    <xf numFmtId="4" fontId="12" fillId="0" borderId="2" xfId="24" applyNumberFormat="1" applyFont="1" applyFill="1" applyBorder="1" applyAlignment="1" applyProtection="1">
      <alignment horizontal="center" vertical="top"/>
    </xf>
    <xf numFmtId="4" fontId="13" fillId="0" borderId="2" xfId="18" applyNumberFormat="1" applyFont="1" applyFill="1" applyBorder="1" applyAlignment="1">
      <alignment horizontal="center"/>
    </xf>
    <xf numFmtId="4" fontId="13" fillId="0" borderId="2" xfId="18" applyNumberFormat="1" applyFont="1" applyFill="1" applyBorder="1" applyAlignment="1">
      <alignment horizontal="right"/>
    </xf>
    <xf numFmtId="49" fontId="11" fillId="0" borderId="2" xfId="18" applyNumberFormat="1" applyFont="1" applyBorder="1" applyAlignment="1">
      <alignment horizontal="center"/>
    </xf>
    <xf numFmtId="4" fontId="3" fillId="0" borderId="2" xfId="18" applyNumberFormat="1" applyFont="1" applyBorder="1" applyAlignment="1">
      <alignment horizontal="right"/>
    </xf>
    <xf numFmtId="4" fontId="13" fillId="0" borderId="2" xfId="18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" fontId="12" fillId="0" borderId="2" xfId="0" applyNumberFormat="1" applyFont="1" applyBorder="1" applyAlignment="1">
      <alignment horizontal="right" vertical="center"/>
    </xf>
    <xf numFmtId="4" fontId="12" fillId="0" borderId="2" xfId="0" applyNumberFormat="1" applyFont="1" applyBorder="1" applyAlignment="1">
      <alignment horizontal="center" vertical="center"/>
    </xf>
    <xf numFmtId="4" fontId="13" fillId="0" borderId="2" xfId="0" applyNumberFormat="1" applyFont="1" applyBorder="1" applyAlignment="1">
      <alignment horizontal="right"/>
    </xf>
    <xf numFmtId="4" fontId="12" fillId="0" borderId="2" xfId="40" applyNumberFormat="1" applyFont="1" applyBorder="1" applyAlignment="1">
      <alignment horizontal="right" vertical="center"/>
    </xf>
    <xf numFmtId="4" fontId="17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4" fontId="13" fillId="0" borderId="2" xfId="18" applyNumberFormat="1" applyFont="1" applyBorder="1" applyAlignment="1">
      <alignment horizontal="right" vertical="center"/>
    </xf>
    <xf numFmtId="4" fontId="3" fillId="0" borderId="2" xfId="18" applyNumberFormat="1" applyFont="1" applyBorder="1" applyAlignment="1">
      <alignment horizontal="right" vertical="center"/>
    </xf>
    <xf numFmtId="49" fontId="12" fillId="0" borderId="2" xfId="40" applyNumberFormat="1" applyFont="1" applyBorder="1" applyAlignment="1">
      <alignment horizontal="center" vertical="center" wrapText="1"/>
    </xf>
    <xf numFmtId="0" fontId="12" fillId="0" borderId="2" xfId="40" applyFont="1" applyBorder="1" applyAlignment="1">
      <alignment horizontal="left" vertical="center" wrapText="1"/>
    </xf>
    <xf numFmtId="0" fontId="12" fillId="0" borderId="2" xfId="40" applyFont="1" applyBorder="1" applyAlignment="1">
      <alignment horizontal="center" vertical="center"/>
    </xf>
    <xf numFmtId="4" fontId="12" fillId="0" borderId="2" xfId="40" applyNumberFormat="1" applyFont="1" applyBorder="1" applyAlignment="1">
      <alignment horizontal="center" vertical="center"/>
    </xf>
    <xf numFmtId="49" fontId="11" fillId="0" borderId="2" xfId="40" applyNumberFormat="1" applyFont="1" applyBorder="1" applyAlignment="1">
      <alignment horizontal="center" vertical="center" wrapText="1"/>
    </xf>
    <xf numFmtId="0" fontId="11" fillId="0" borderId="2" xfId="40" applyFont="1" applyBorder="1" applyAlignment="1">
      <alignment vertical="center"/>
    </xf>
    <xf numFmtId="0" fontId="11" fillId="0" borderId="2" xfId="40" applyFont="1" applyBorder="1" applyAlignment="1">
      <alignment horizontal="center" vertical="center"/>
    </xf>
    <xf numFmtId="4" fontId="11" fillId="0" borderId="2" xfId="40" applyNumberFormat="1" applyFont="1" applyBorder="1" applyAlignment="1">
      <alignment vertical="center"/>
    </xf>
    <xf numFmtId="4" fontId="3" fillId="0" borderId="2" xfId="0" applyNumberFormat="1" applyFont="1" applyBorder="1" applyAlignment="1">
      <alignment horizontal="right"/>
    </xf>
    <xf numFmtId="4" fontId="17" fillId="0" borderId="2" xfId="40" applyNumberFormat="1" applyFont="1" applyBorder="1" applyAlignment="1">
      <alignment horizontal="right" vertical="center"/>
    </xf>
    <xf numFmtId="49" fontId="10" fillId="0" borderId="0" xfId="18" applyNumberFormat="1" applyFont="1" applyAlignment="1">
      <alignment horizontal="center"/>
    </xf>
    <xf numFmtId="4" fontId="11" fillId="0" borderId="2" xfId="40" applyNumberFormat="1" applyFont="1" applyBorder="1" applyAlignment="1">
      <alignment horizontal="right" vertical="center"/>
    </xf>
    <xf numFmtId="49" fontId="12" fillId="0" borderId="2" xfId="40" applyNumberFormat="1" applyFont="1" applyBorder="1" applyAlignment="1">
      <alignment horizontal="center" vertical="center"/>
    </xf>
    <xf numFmtId="0" fontId="12" fillId="0" borderId="2" xfId="40" applyFont="1" applyBorder="1" applyAlignment="1">
      <alignment horizontal="left" vertical="center"/>
    </xf>
    <xf numFmtId="4" fontId="12" fillId="0" borderId="2" xfId="40" applyNumberFormat="1" applyFont="1" applyBorder="1" applyAlignment="1">
      <alignment horizontal="right" vertical="center" wrapText="1"/>
    </xf>
    <xf numFmtId="165" fontId="12" fillId="0" borderId="4" xfId="18" applyNumberFormat="1" applyFont="1" applyBorder="1" applyAlignment="1">
      <alignment horizontal="center" vertical="center" wrapText="1"/>
    </xf>
    <xf numFmtId="43" fontId="13" fillId="0" borderId="2" xfId="24" applyNumberFormat="1" applyFont="1" applyFill="1" applyBorder="1" applyAlignment="1">
      <alignment horizontal="right" vertical="center"/>
    </xf>
    <xf numFmtId="49" fontId="12" fillId="0" borderId="2" xfId="18" applyNumberFormat="1" applyFont="1" applyBorder="1" applyAlignment="1">
      <alignment horizontal="center"/>
    </xf>
    <xf numFmtId="0" fontId="13" fillId="0" borderId="2" xfId="18" applyFont="1" applyBorder="1" applyAlignment="1">
      <alignment horizontal="center"/>
    </xf>
    <xf numFmtId="43" fontId="13" fillId="0" borderId="2" xfId="18" applyNumberFormat="1" applyFont="1" applyBorder="1" applyAlignment="1">
      <alignment horizontal="right" vertical="center"/>
    </xf>
    <xf numFmtId="4" fontId="12" fillId="0" borderId="2" xfId="40" applyNumberFormat="1" applyFont="1" applyBorder="1" applyAlignment="1">
      <alignment vertical="center"/>
    </xf>
    <xf numFmtId="0" fontId="11" fillId="2" borderId="2" xfId="18" applyFont="1" applyFill="1" applyBorder="1" applyAlignment="1">
      <alignment horizontal="right" vertical="center" wrapText="1"/>
    </xf>
    <xf numFmtId="0" fontId="11" fillId="2" borderId="4" xfId="18" applyFont="1" applyFill="1" applyBorder="1" applyAlignment="1">
      <alignment horizontal="center" vertical="center" wrapText="1"/>
    </xf>
    <xf numFmtId="0" fontId="11" fillId="2" borderId="9" xfId="18" applyFont="1" applyFill="1" applyBorder="1" applyAlignment="1">
      <alignment horizontal="center" vertical="center" wrapText="1"/>
    </xf>
    <xf numFmtId="167" fontId="12" fillId="0" borderId="4" xfId="18" applyNumberFormat="1" applyFont="1" applyBorder="1" applyAlignment="1">
      <alignment horizontal="right" wrapText="1"/>
    </xf>
    <xf numFmtId="167" fontId="12" fillId="0" borderId="4" xfId="18" applyNumberFormat="1" applyFont="1" applyBorder="1" applyAlignment="1">
      <alignment horizontal="right" vertical="center" wrapText="1"/>
    </xf>
    <xf numFmtId="2" fontId="12" fillId="3" borderId="4" xfId="0" applyNumberFormat="1" applyFont="1" applyFill="1" applyBorder="1" applyAlignment="1">
      <alignment horizontal="right" vertical="center" wrapText="1"/>
    </xf>
    <xf numFmtId="167" fontId="12" fillId="0" borderId="2" xfId="18" applyNumberFormat="1" applyFont="1" applyBorder="1" applyAlignment="1">
      <alignment horizontal="right" vertical="center" wrapText="1"/>
    </xf>
    <xf numFmtId="167" fontId="12" fillId="0" borderId="5" xfId="18" applyNumberFormat="1" applyFont="1" applyBorder="1" applyAlignment="1">
      <alignment horizontal="right" vertical="center" wrapText="1"/>
    </xf>
    <xf numFmtId="165" fontId="12" fillId="0" borderId="4" xfId="18" applyNumberFormat="1" applyFont="1" applyBorder="1" applyAlignment="1">
      <alignment vertical="center" wrapText="1"/>
    </xf>
    <xf numFmtId="168" fontId="12" fillId="0" borderId="2" xfId="24" applyNumberFormat="1" applyFont="1" applyFill="1" applyBorder="1" applyAlignment="1">
      <alignment vertical="center"/>
    </xf>
    <xf numFmtId="168" fontId="13" fillId="0" borderId="2" xfId="24" applyNumberFormat="1" applyFont="1" applyFill="1" applyBorder="1" applyAlignment="1">
      <alignment vertical="center"/>
    </xf>
    <xf numFmtId="2" fontId="12" fillId="0" borderId="4" xfId="18" applyNumberFormat="1" applyFont="1" applyBorder="1" applyAlignment="1">
      <alignment vertical="center" wrapText="1"/>
    </xf>
    <xf numFmtId="165" fontId="12" fillId="3" borderId="4" xfId="0" applyNumberFormat="1" applyFont="1" applyFill="1" applyBorder="1" applyAlignment="1">
      <alignment horizontal="right" vertical="center" wrapText="1"/>
    </xf>
    <xf numFmtId="2" fontId="2" fillId="0" borderId="2" xfId="53" applyNumberFormat="1" applyBorder="1" applyAlignment="1">
      <alignment horizontal="right" vertical="center"/>
    </xf>
    <xf numFmtId="43" fontId="15" fillId="0" borderId="2" xfId="4" applyNumberFormat="1" applyFont="1" applyBorder="1" applyAlignment="1">
      <alignment horizontal="right" vertical="center"/>
    </xf>
    <xf numFmtId="43" fontId="2" fillId="0" borderId="2" xfId="4" applyNumberFormat="1" applyFont="1" applyBorder="1" applyAlignment="1">
      <alignment horizontal="right" vertical="center"/>
    </xf>
    <xf numFmtId="49" fontId="2" fillId="0" borderId="2" xfId="18" applyNumberFormat="1" applyFont="1" applyBorder="1" applyAlignment="1">
      <alignment horizontal="center" vertical="center" wrapText="1"/>
    </xf>
    <xf numFmtId="43" fontId="12" fillId="0" borderId="2" xfId="24" applyNumberFormat="1" applyFont="1" applyFill="1" applyBorder="1" applyAlignment="1">
      <alignment horizontal="right" vertical="center" wrapText="1"/>
    </xf>
    <xf numFmtId="43" fontId="12" fillId="0" borderId="2" xfId="24" applyNumberFormat="1" applyFont="1" applyFill="1" applyBorder="1" applyAlignment="1">
      <alignment horizontal="right" vertical="center"/>
    </xf>
    <xf numFmtId="43" fontId="12" fillId="0" borderId="1" xfId="24" applyNumberFormat="1" applyFont="1" applyFill="1" applyBorder="1" applyAlignment="1">
      <alignment horizontal="center" vertical="center"/>
    </xf>
    <xf numFmtId="0" fontId="12" fillId="0" borderId="2" xfId="18" applyFont="1" applyBorder="1" applyAlignment="1">
      <alignment horizontal="center" vertical="center"/>
    </xf>
    <xf numFmtId="168" fontId="12" fillId="0" borderId="4" xfId="18" applyNumberFormat="1" applyFont="1" applyBorder="1" applyAlignment="1">
      <alignment horizontal="center" vertical="center"/>
    </xf>
    <xf numFmtId="4" fontId="12" fillId="0" borderId="4" xfId="18" applyNumberFormat="1" applyFont="1" applyBorder="1" applyAlignment="1">
      <alignment horizontal="center" vertical="center"/>
    </xf>
    <xf numFmtId="2" fontId="12" fillId="0" borderId="2" xfId="18" applyNumberFormat="1" applyFont="1" applyBorder="1" applyAlignment="1">
      <alignment horizontal="right" vertical="center"/>
    </xf>
    <xf numFmtId="165" fontId="12" fillId="0" borderId="2" xfId="18" applyNumberFormat="1" applyFont="1" applyBorder="1" applyAlignment="1">
      <alignment horizontal="right" vertical="center"/>
    </xf>
    <xf numFmtId="43" fontId="12" fillId="0" borderId="2" xfId="24" applyNumberFormat="1" applyFont="1" applyFill="1" applyBorder="1" applyAlignment="1">
      <alignment vertical="center" wrapText="1"/>
    </xf>
    <xf numFmtId="166" fontId="12" fillId="0" borderId="2" xfId="0" applyNumberFormat="1" applyFont="1" applyBorder="1" applyAlignment="1">
      <alignment horizontal="left" vertical="center" wrapText="1"/>
    </xf>
    <xf numFmtId="166" fontId="12" fillId="0" borderId="2" xfId="0" applyNumberFormat="1" applyFont="1" applyBorder="1" applyAlignment="1">
      <alignment horizontal="center" vertical="center" wrapText="1"/>
    </xf>
    <xf numFmtId="4" fontId="12" fillId="3" borderId="1" xfId="57" applyNumberFormat="1" applyFont="1" applyFill="1" applyBorder="1" applyAlignment="1">
      <alignment horizontal="center" vertical="center" wrapText="1"/>
    </xf>
    <xf numFmtId="4" fontId="12" fillId="0" borderId="3" xfId="57" applyNumberFormat="1" applyFont="1" applyBorder="1" applyAlignment="1">
      <alignment horizontal="right" vertical="center"/>
    </xf>
    <xf numFmtId="168" fontId="12" fillId="0" borderId="2" xfId="57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/>
    </xf>
    <xf numFmtId="168" fontId="13" fillId="0" borderId="4" xfId="0" applyNumberFormat="1" applyFont="1" applyBorder="1" applyAlignment="1">
      <alignment horizontal="right" vertical="center"/>
    </xf>
    <xf numFmtId="43" fontId="13" fillId="0" borderId="2" xfId="4" applyNumberFormat="1" applyFont="1" applyFill="1" applyBorder="1" applyAlignment="1">
      <alignment horizontal="right" vertical="center"/>
    </xf>
    <xf numFmtId="43" fontId="12" fillId="0" borderId="2" xfId="28" applyNumberFormat="1" applyFont="1" applyFill="1" applyBorder="1" applyAlignment="1">
      <alignment horizontal="right" vertical="center"/>
    </xf>
    <xf numFmtId="4" fontId="12" fillId="0" borderId="2" xfId="24" applyNumberFormat="1" applyFont="1" applyFill="1" applyBorder="1" applyAlignment="1">
      <alignment horizontal="right"/>
    </xf>
    <xf numFmtId="2" fontId="12" fillId="3" borderId="2" xfId="0" applyNumberFormat="1" applyFont="1" applyFill="1" applyBorder="1" applyAlignment="1">
      <alignment horizontal="right" vertical="center" wrapText="1"/>
    </xf>
    <xf numFmtId="4" fontId="19" fillId="0" borderId="2" xfId="4" applyNumberFormat="1" applyFont="1" applyBorder="1" applyAlignment="1">
      <alignment horizontal="right" vertical="center"/>
    </xf>
    <xf numFmtId="0" fontId="12" fillId="0" borderId="2" xfId="5" applyFont="1" applyFill="1" applyBorder="1" applyAlignment="1">
      <alignment horizontal="left" vertical="center" wrapText="1"/>
    </xf>
    <xf numFmtId="0" fontId="12" fillId="0" borderId="2" xfId="5" applyFont="1" applyFill="1" applyBorder="1" applyAlignment="1">
      <alignment horizontal="center" vertical="center" wrapText="1"/>
    </xf>
    <xf numFmtId="165" fontId="12" fillId="0" borderId="2" xfId="5" applyNumberFormat="1" applyFont="1" applyFill="1" applyBorder="1" applyAlignment="1">
      <alignment horizontal="right" vertical="center" wrapText="1"/>
    </xf>
    <xf numFmtId="0" fontId="19" fillId="0" borderId="0" xfId="0" applyFont="1" applyFill="1"/>
    <xf numFmtId="49" fontId="12" fillId="0" borderId="2" xfId="18" applyNumberFormat="1" applyFont="1" applyFill="1" applyBorder="1" applyAlignment="1">
      <alignment horizontal="center" vertical="center" wrapText="1"/>
    </xf>
    <xf numFmtId="0" fontId="12" fillId="0" borderId="2" xfId="18" applyFont="1" applyFill="1" applyBorder="1" applyAlignment="1">
      <alignment vertical="center" wrapText="1"/>
    </xf>
    <xf numFmtId="2" fontId="12" fillId="0" borderId="2" xfId="18" applyNumberFormat="1" applyFont="1" applyFill="1" applyBorder="1" applyAlignment="1">
      <alignment horizontal="center" vertical="center" wrapText="1"/>
    </xf>
    <xf numFmtId="4" fontId="12" fillId="0" borderId="2" xfId="24" applyNumberFormat="1" applyFont="1" applyFill="1" applyBorder="1" applyAlignment="1">
      <alignment horizontal="right" vertical="center"/>
    </xf>
    <xf numFmtId="2" fontId="12" fillId="0" borderId="2" xfId="18" applyNumberFormat="1" applyFont="1" applyFill="1" applyBorder="1" applyAlignment="1">
      <alignment horizontal="right" vertical="center" wrapText="1"/>
    </xf>
    <xf numFmtId="0" fontId="21" fillId="0" borderId="2" xfId="18" applyFont="1" applyFill="1" applyBorder="1" applyAlignment="1">
      <alignment wrapText="1"/>
    </xf>
    <xf numFmtId="0" fontId="13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 wrapText="1"/>
    </xf>
    <xf numFmtId="1" fontId="12" fillId="0" borderId="2" xfId="0" applyNumberFormat="1" applyFont="1" applyFill="1" applyBorder="1" applyAlignment="1">
      <alignment horizontal="right" vertical="top" wrapText="1"/>
    </xf>
    <xf numFmtId="0" fontId="12" fillId="0" borderId="2" xfId="0" applyFont="1" applyFill="1" applyBorder="1" applyAlignment="1">
      <alignment horizontal="left" vertical="center" wrapText="1"/>
    </xf>
    <xf numFmtId="2" fontId="12" fillId="0" borderId="2" xfId="0" applyNumberFormat="1" applyFont="1" applyFill="1" applyBorder="1" applyAlignment="1">
      <alignment horizontal="right" vertical="top" wrapText="1"/>
    </xf>
    <xf numFmtId="168" fontId="12" fillId="0" borderId="2" xfId="0" applyNumberFormat="1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 wrapText="1"/>
    </xf>
    <xf numFmtId="3" fontId="12" fillId="0" borderId="2" xfId="0" applyNumberFormat="1" applyFont="1" applyFill="1" applyBorder="1" applyAlignment="1">
      <alignment horizontal="right" vertical="center" wrapText="1"/>
    </xf>
    <xf numFmtId="169" fontId="12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justify" vertical="center" wrapText="1"/>
    </xf>
    <xf numFmtId="0" fontId="12" fillId="0" borderId="2" xfId="0" applyFont="1" applyFill="1" applyBorder="1" applyAlignment="1">
      <alignment horizontal="center" vertical="center" wrapText="1"/>
    </xf>
    <xf numFmtId="165" fontId="12" fillId="0" borderId="2" xfId="0" applyNumberFormat="1" applyFont="1" applyFill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vertical="top" wrapText="1"/>
    </xf>
    <xf numFmtId="2" fontId="12" fillId="0" borderId="2" xfId="5" applyNumberFormat="1" applyFont="1" applyFill="1" applyBorder="1" applyAlignment="1">
      <alignment horizontal="right" vertical="center" wrapText="1"/>
    </xf>
    <xf numFmtId="0" fontId="12" fillId="0" borderId="4" xfId="0" applyFont="1" applyFill="1" applyBorder="1" applyAlignment="1">
      <alignment horizontal="left" vertical="top" wrapText="1"/>
    </xf>
    <xf numFmtId="2" fontId="13" fillId="0" borderId="2" xfId="0" applyNumberFormat="1" applyFont="1" applyFill="1" applyBorder="1" applyAlignment="1">
      <alignment horizontal="center" vertical="center" wrapText="1"/>
    </xf>
    <xf numFmtId="2" fontId="13" fillId="0" borderId="2" xfId="5" applyNumberFormat="1" applyFont="1" applyFill="1" applyBorder="1" applyAlignment="1">
      <alignment horizontal="right" vertical="center" wrapText="1"/>
    </xf>
    <xf numFmtId="0" fontId="14" fillId="0" borderId="2" xfId="0" applyFont="1" applyFill="1" applyBorder="1" applyAlignment="1">
      <alignment vertical="center"/>
    </xf>
    <xf numFmtId="2" fontId="12" fillId="0" borderId="2" xfId="0" applyNumberFormat="1" applyFont="1" applyFill="1" applyBorder="1" applyAlignment="1">
      <alignment horizontal="right" vertical="center" wrapText="1"/>
    </xf>
    <xf numFmtId="0" fontId="12" fillId="0" borderId="2" xfId="0" applyFont="1" applyFill="1" applyBorder="1" applyAlignment="1">
      <alignment vertical="center" wrapText="1"/>
    </xf>
    <xf numFmtId="4" fontId="12" fillId="0" borderId="2" xfId="0" applyNumberFormat="1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left" vertical="center" wrapText="1"/>
    </xf>
    <xf numFmtId="2" fontId="13" fillId="0" borderId="2" xfId="0" applyNumberFormat="1" applyFont="1" applyFill="1" applyBorder="1" applyAlignment="1">
      <alignment horizontal="right" vertical="center" wrapText="1"/>
    </xf>
    <xf numFmtId="0" fontId="18" fillId="0" borderId="2" xfId="57" applyFont="1" applyFill="1" applyBorder="1" applyAlignment="1">
      <alignment horizontal="left" vertical="center" wrapText="1"/>
    </xf>
    <xf numFmtId="3" fontId="18" fillId="0" borderId="2" xfId="57" applyNumberFormat="1" applyFont="1" applyFill="1" applyBorder="1" applyAlignment="1">
      <alignment horizontal="right" vertical="center" wrapText="1"/>
    </xf>
    <xf numFmtId="0" fontId="13" fillId="0" borderId="2" xfId="5" applyFont="1" applyFill="1" applyBorder="1" applyAlignment="1">
      <alignment horizontal="center" vertical="center" wrapText="1"/>
    </xf>
    <xf numFmtId="0" fontId="13" fillId="0" borderId="2" xfId="5" applyFont="1" applyFill="1" applyBorder="1" applyAlignment="1">
      <alignment horizontal="right" vertical="center" wrapText="1"/>
    </xf>
    <xf numFmtId="169" fontId="13" fillId="0" borderId="2" xfId="0" applyNumberFormat="1" applyFont="1" applyFill="1" applyBorder="1" applyAlignment="1">
      <alignment vertical="center" wrapText="1"/>
    </xf>
    <xf numFmtId="0" fontId="12" fillId="0" borderId="2" xfId="5" applyFont="1" applyFill="1" applyBorder="1" applyAlignment="1">
      <alignment horizontal="left" vertical="top" wrapText="1"/>
    </xf>
    <xf numFmtId="49" fontId="12" fillId="0" borderId="2" xfId="0" applyNumberFormat="1" applyFont="1" applyFill="1" applyBorder="1" applyAlignment="1">
      <alignment horizontal="center" vertical="center"/>
    </xf>
    <xf numFmtId="2" fontId="12" fillId="0" borderId="2" xfId="5" applyNumberFormat="1" applyFont="1" applyFill="1" applyBorder="1" applyAlignment="1">
      <alignment horizontal="center" vertical="center" wrapText="1"/>
    </xf>
    <xf numFmtId="170" fontId="12" fillId="0" borderId="2" xfId="0" applyNumberFormat="1" applyFont="1" applyFill="1" applyBorder="1" applyAlignment="1">
      <alignment horizontal="right" vertical="center" wrapText="1"/>
    </xf>
    <xf numFmtId="43" fontId="12" fillId="0" borderId="2" xfId="4" applyNumberFormat="1" applyFont="1" applyFill="1" applyBorder="1" applyAlignment="1">
      <alignment vertical="top" wrapText="1"/>
    </xf>
    <xf numFmtId="4" fontId="12" fillId="0" borderId="2" xfId="5" applyNumberFormat="1" applyFont="1" applyFill="1" applyBorder="1" applyAlignment="1">
      <alignment horizontal="right" vertical="center" wrapText="1"/>
    </xf>
    <xf numFmtId="43" fontId="16" fillId="0" borderId="2" xfId="4" applyNumberFormat="1" applyFont="1" applyFill="1" applyBorder="1" applyAlignment="1">
      <alignment horizontal="right" vertical="center"/>
    </xf>
    <xf numFmtId="0" fontId="12" fillId="0" borderId="2" xfId="5" applyFont="1" applyFill="1" applyBorder="1" applyAlignment="1">
      <alignment horizontal="justify" vertical="center" wrapText="1"/>
    </xf>
    <xf numFmtId="49" fontId="22" fillId="0" borderId="2" xfId="0" applyNumberFormat="1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top" wrapText="1"/>
    </xf>
    <xf numFmtId="4" fontId="13" fillId="0" borderId="0" xfId="0" applyNumberFormat="1" applyFont="1" applyFill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4" fontId="13" fillId="0" borderId="2" xfId="41" applyNumberFormat="1" applyFont="1" applyFill="1" applyBorder="1" applyAlignment="1">
      <alignment horizontal="right" vertical="center" wrapText="1"/>
    </xf>
    <xf numFmtId="0" fontId="12" fillId="0" borderId="2" xfId="42" applyFont="1" applyFill="1" applyBorder="1" applyAlignment="1">
      <alignment horizontal="center" vertical="center" wrapText="1"/>
    </xf>
    <xf numFmtId="0" fontId="12" fillId="0" borderId="2" xfId="42" applyFont="1" applyFill="1" applyBorder="1" applyAlignment="1">
      <alignment horizontal="right" vertical="center" wrapText="1"/>
    </xf>
    <xf numFmtId="0" fontId="13" fillId="0" borderId="2" xfId="55" applyFont="1" applyBorder="1" applyAlignment="1">
      <alignment horizontal="right" vertical="center"/>
    </xf>
    <xf numFmtId="0" fontId="13" fillId="0" borderId="2" xfId="0" applyFont="1" applyFill="1" applyBorder="1" applyAlignment="1">
      <alignment horizontal="right"/>
    </xf>
    <xf numFmtId="4" fontId="12" fillId="0" borderId="2" xfId="24" applyNumberFormat="1" applyFont="1" applyFill="1" applyBorder="1" applyAlignment="1" applyProtection="1">
      <alignment horizontal="right" vertical="center"/>
    </xf>
    <xf numFmtId="4" fontId="13" fillId="0" borderId="2" xfId="18" applyNumberFormat="1" applyFont="1" applyFill="1" applyBorder="1" applyAlignment="1">
      <alignment horizontal="center" vertical="center"/>
    </xf>
    <xf numFmtId="4" fontId="13" fillId="0" borderId="4" xfId="18" applyNumberFormat="1" applyFont="1" applyFill="1" applyBorder="1" applyAlignment="1">
      <alignment horizontal="right"/>
    </xf>
    <xf numFmtId="4" fontId="12" fillId="0" borderId="2" xfId="24" applyNumberFormat="1" applyFont="1" applyFill="1" applyBorder="1" applyAlignment="1" applyProtection="1">
      <alignment horizontal="right" vertical="top"/>
    </xf>
    <xf numFmtId="0" fontId="2" fillId="0" borderId="0" xfId="18" applyFont="1" applyAlignment="1">
      <alignment horizontal="center" vertical="center"/>
    </xf>
    <xf numFmtId="0" fontId="2" fillId="0" borderId="0" xfId="18" applyFont="1" applyAlignment="1">
      <alignment horizontal="right"/>
    </xf>
    <xf numFmtId="0" fontId="11" fillId="2" borderId="4" xfId="18" applyFont="1" applyFill="1" applyBorder="1" applyAlignment="1">
      <alignment horizontal="center" vertical="center" wrapText="1"/>
    </xf>
    <xf numFmtId="0" fontId="11" fillId="2" borderId="9" xfId="18" applyFont="1" applyFill="1" applyBorder="1" applyAlignment="1">
      <alignment horizontal="center" vertical="center" wrapText="1"/>
    </xf>
    <xf numFmtId="0" fontId="11" fillId="2" borderId="6" xfId="18" applyFont="1" applyFill="1" applyBorder="1" applyAlignment="1">
      <alignment horizontal="center" vertical="center" wrapText="1"/>
    </xf>
    <xf numFmtId="0" fontId="11" fillId="2" borderId="4" xfId="18" applyFont="1" applyFill="1" applyBorder="1" applyAlignment="1">
      <alignment horizontal="left" vertical="center" wrapText="1"/>
    </xf>
    <xf numFmtId="0" fontId="11" fillId="2" borderId="9" xfId="18" applyFont="1" applyFill="1" applyBorder="1" applyAlignment="1">
      <alignment horizontal="left" vertical="center" wrapText="1"/>
    </xf>
    <xf numFmtId="0" fontId="11" fillId="2" borderId="6" xfId="18" applyFont="1" applyFill="1" applyBorder="1" applyAlignment="1">
      <alignment horizontal="left" vertical="center" wrapText="1"/>
    </xf>
    <xf numFmtId="0" fontId="8" fillId="2" borderId="2" xfId="18" applyFont="1" applyFill="1" applyBorder="1" applyAlignment="1">
      <alignment horizontal="center" vertical="center" wrapText="1"/>
    </xf>
    <xf numFmtId="49" fontId="11" fillId="2" borderId="1" xfId="18" applyNumberFormat="1" applyFont="1" applyFill="1" applyBorder="1" applyAlignment="1">
      <alignment horizontal="center" vertical="center" wrapText="1"/>
    </xf>
    <xf numFmtId="49" fontId="11" fillId="2" borderId="3" xfId="18" applyNumberFormat="1" applyFont="1" applyFill="1" applyBorder="1" applyAlignment="1">
      <alignment horizontal="center" vertical="center" wrapText="1"/>
    </xf>
    <xf numFmtId="0" fontId="11" fillId="2" borderId="1" xfId="18" applyFont="1" applyFill="1" applyBorder="1" applyAlignment="1">
      <alignment horizontal="center" vertical="center" wrapText="1"/>
    </xf>
    <xf numFmtId="0" fontId="11" fillId="2" borderId="3" xfId="18" applyFont="1" applyFill="1" applyBorder="1" applyAlignment="1">
      <alignment horizontal="center" vertical="center" wrapText="1"/>
    </xf>
    <xf numFmtId="2" fontId="11" fillId="2" borderId="1" xfId="18" applyNumberFormat="1" applyFont="1" applyFill="1" applyBorder="1" applyAlignment="1">
      <alignment horizontal="center" vertical="center" wrapText="1"/>
    </xf>
    <xf numFmtId="2" fontId="11" fillId="2" borderId="3" xfId="18" applyNumberFormat="1" applyFont="1" applyFill="1" applyBorder="1" applyAlignment="1">
      <alignment horizontal="center" vertical="center" wrapText="1"/>
    </xf>
    <xf numFmtId="165" fontId="11" fillId="2" borderId="1" xfId="18" applyNumberFormat="1" applyFont="1" applyFill="1" applyBorder="1" applyAlignment="1">
      <alignment horizontal="center" vertical="center" wrapText="1"/>
    </xf>
    <xf numFmtId="165" fontId="11" fillId="2" borderId="3" xfId="18" applyNumberFormat="1" applyFont="1" applyFill="1" applyBorder="1" applyAlignment="1">
      <alignment horizontal="center" vertical="center" wrapText="1"/>
    </xf>
    <xf numFmtId="168" fontId="13" fillId="4" borderId="2" xfId="24" applyNumberFormat="1" applyFont="1" applyFill="1" applyBorder="1" applyAlignment="1">
      <alignment horizontal="right" vertical="center"/>
    </xf>
    <xf numFmtId="4" fontId="13" fillId="4" borderId="2" xfId="0" applyNumberFormat="1" applyFont="1" applyFill="1" applyBorder="1" applyAlignment="1">
      <alignment horizontal="right" vertical="center"/>
    </xf>
    <xf numFmtId="4" fontId="13" fillId="4" borderId="2" xfId="57" applyNumberFormat="1" applyFont="1" applyFill="1" applyBorder="1" applyAlignment="1">
      <alignment horizontal="right" vertical="center"/>
    </xf>
    <xf numFmtId="43" fontId="12" fillId="4" borderId="2" xfId="24" applyNumberFormat="1" applyFont="1" applyFill="1" applyBorder="1" applyAlignment="1">
      <alignment horizontal="center" vertical="center"/>
    </xf>
    <xf numFmtId="43" fontId="13" fillId="4" borderId="2" xfId="18" applyNumberFormat="1" applyFont="1" applyFill="1" applyBorder="1" applyAlignment="1">
      <alignment horizontal="right" vertical="center"/>
    </xf>
    <xf numFmtId="167" fontId="2" fillId="0" borderId="0" xfId="18" applyNumberFormat="1"/>
  </cellXfs>
  <cellStyles count="60">
    <cellStyle name="Денежный" xfId="4" builtinId="4"/>
    <cellStyle name="Денежный 2" xfId="24"/>
    <cellStyle name="Денежный 2 2" xfId="1"/>
    <cellStyle name="Денежный 3" xfId="27"/>
    <cellStyle name="Денежный 4" xfId="28"/>
    <cellStyle name="Обычный" xfId="0" builtinId="0"/>
    <cellStyle name="Обычный 12" xfId="26"/>
    <cellStyle name="Обычный 12 2" xfId="30"/>
    <cellStyle name="Обычный 144" xfId="21"/>
    <cellStyle name="Обычный 149" xfId="22"/>
    <cellStyle name="Обычный 185" xfId="31"/>
    <cellStyle name="Обычный 2" xfId="18"/>
    <cellStyle name="Обычный 2 10" xfId="11"/>
    <cellStyle name="Обычный 2 2" xfId="5"/>
    <cellStyle name="Обычный 2 3" xfId="32"/>
    <cellStyle name="Обычный 217" xfId="23"/>
    <cellStyle name="Обычный 218" xfId="25"/>
    <cellStyle name="Обычный 221" xfId="33"/>
    <cellStyle name="Обычный 224" xfId="34"/>
    <cellStyle name="Обычный 225" xfId="35"/>
    <cellStyle name="Обычный 226" xfId="37"/>
    <cellStyle name="Обычный 227" xfId="38"/>
    <cellStyle name="Обычный 24" xfId="39"/>
    <cellStyle name="Обычный 3" xfId="40"/>
    <cellStyle name="Обычный 3 2" xfId="41"/>
    <cellStyle name="Обычный 3 3" xfId="42"/>
    <cellStyle name="Обычный 32" xfId="29"/>
    <cellStyle name="Обычный 32 2" xfId="10"/>
    <cellStyle name="Обычный 33" xfId="43"/>
    <cellStyle name="Обычный 34 32" xfId="44"/>
    <cellStyle name="Обычный 35" xfId="46"/>
    <cellStyle name="Обычный 36" xfId="48"/>
    <cellStyle name="Обычный 36 33" xfId="17"/>
    <cellStyle name="Обычный 37" xfId="50"/>
    <cellStyle name="Обычный 38" xfId="52"/>
    <cellStyle name="Обычный 39" xfId="13"/>
    <cellStyle name="Обычный 4" xfId="53"/>
    <cellStyle name="Обычный 4 10" xfId="16"/>
    <cellStyle name="Обычный 4 3" xfId="55"/>
    <cellStyle name="Обычный 40" xfId="45"/>
    <cellStyle name="Обычный 41" xfId="47"/>
    <cellStyle name="Обычный 42" xfId="49"/>
    <cellStyle name="Обычный 43" xfId="51"/>
    <cellStyle name="Обычный 44" xfId="12"/>
    <cellStyle name="Обычный 45" xfId="15"/>
    <cellStyle name="Обычный 46" xfId="20"/>
    <cellStyle name="Обычный 47" xfId="9"/>
    <cellStyle name="Обычный 48" xfId="3"/>
    <cellStyle name="Обычный 48 40" xfId="56"/>
    <cellStyle name="Обычный 49" xfId="7"/>
    <cellStyle name="Обычный 5" xfId="57"/>
    <cellStyle name="Обычный 50" xfId="14"/>
    <cellStyle name="Обычный 51" xfId="19"/>
    <cellStyle name="Обычный 52" xfId="8"/>
    <cellStyle name="Обычный 53" xfId="2"/>
    <cellStyle name="Обычный 54" xfId="6"/>
    <cellStyle name="Обычный 7" xfId="54"/>
    <cellStyle name="Обычный 7 2" xfId="58"/>
    <cellStyle name="Обычный 9" xfId="59"/>
    <cellStyle name="Обычный_Лист1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727"/>
  <sheetViews>
    <sheetView tabSelected="1" zoomScaleNormal="100" workbookViewId="0">
      <pane ySplit="3" topLeftCell="A97" activePane="bottomLeft" state="frozen"/>
      <selection pane="bottomLeft" activeCell="K104" sqref="K104"/>
    </sheetView>
  </sheetViews>
  <sheetFormatPr defaultColWidth="9" defaultRowHeight="14.4"/>
  <cols>
    <col min="1" max="1" width="9.6640625" style="21" bestFit="1" customWidth="1"/>
    <col min="2" max="2" width="85" style="22" customWidth="1"/>
    <col min="3" max="3" width="8.88671875" style="23" bestFit="1" customWidth="1"/>
    <col min="4" max="4" width="10.44140625" style="23" bestFit="1" customWidth="1"/>
    <col min="5" max="5" width="14.88671875" style="24" bestFit="1" customWidth="1"/>
    <col min="6" max="6" width="16.33203125" style="24" bestFit="1" customWidth="1"/>
    <col min="7" max="9" width="16.33203125" style="25" bestFit="1" customWidth="1"/>
    <col min="10" max="10" width="9" style="22"/>
    <col min="11" max="11" width="13.44140625" style="22" bestFit="1" customWidth="1"/>
    <col min="12" max="243" width="9" style="22"/>
    <col min="244" max="244" width="63.109375" style="22" customWidth="1"/>
    <col min="245" max="245" width="9" style="22"/>
    <col min="246" max="246" width="14.109375" style="22" customWidth="1"/>
    <col min="247" max="247" width="12.109375" style="22" customWidth="1"/>
    <col min="248" max="248" width="12.44140625" style="22" customWidth="1"/>
    <col min="249" max="249" width="17.33203125" style="22" customWidth="1"/>
    <col min="250" max="250" width="16.88671875" style="22" customWidth="1"/>
    <col min="251" max="251" width="15.88671875" style="22" customWidth="1"/>
    <col min="252" max="499" width="9" style="22"/>
    <col min="500" max="500" width="63.109375" style="22" customWidth="1"/>
    <col min="501" max="501" width="9" style="22"/>
    <col min="502" max="502" width="14.109375" style="22" customWidth="1"/>
    <col min="503" max="503" width="12.109375" style="22" customWidth="1"/>
    <col min="504" max="504" width="12.44140625" style="22" customWidth="1"/>
    <col min="505" max="505" width="17.33203125" style="22" customWidth="1"/>
    <col min="506" max="506" width="16.88671875" style="22" customWidth="1"/>
    <col min="507" max="507" width="15.88671875" style="22" customWidth="1"/>
    <col min="508" max="755" width="9" style="22"/>
    <col min="756" max="756" width="63.109375" style="22" customWidth="1"/>
    <col min="757" max="757" width="9" style="22"/>
    <col min="758" max="758" width="14.109375" style="22" customWidth="1"/>
    <col min="759" max="759" width="12.109375" style="22" customWidth="1"/>
    <col min="760" max="760" width="12.44140625" style="22" customWidth="1"/>
    <col min="761" max="761" width="17.33203125" style="22" customWidth="1"/>
    <col min="762" max="762" width="16.88671875" style="22" customWidth="1"/>
    <col min="763" max="763" width="15.88671875" style="22" customWidth="1"/>
    <col min="764" max="1011" width="9" style="22"/>
    <col min="1012" max="1012" width="63.109375" style="22" customWidth="1"/>
    <col min="1013" max="1013" width="9" style="22"/>
    <col min="1014" max="1014" width="14.109375" style="22" customWidth="1"/>
    <col min="1015" max="1015" width="12.109375" style="22" customWidth="1"/>
    <col min="1016" max="1016" width="12.44140625" style="22" customWidth="1"/>
    <col min="1017" max="1017" width="17.33203125" style="22" customWidth="1"/>
    <col min="1018" max="1018" width="16.88671875" style="22" customWidth="1"/>
    <col min="1019" max="1019" width="15.88671875" style="22" customWidth="1"/>
    <col min="1020" max="1267" width="9" style="22"/>
    <col min="1268" max="1268" width="63.109375" style="22" customWidth="1"/>
    <col min="1269" max="1269" width="9" style="22"/>
    <col min="1270" max="1270" width="14.109375" style="22" customWidth="1"/>
    <col min="1271" max="1271" width="12.109375" style="22" customWidth="1"/>
    <col min="1272" max="1272" width="12.44140625" style="22" customWidth="1"/>
    <col min="1273" max="1273" width="17.33203125" style="22" customWidth="1"/>
    <col min="1274" max="1274" width="16.88671875" style="22" customWidth="1"/>
    <col min="1275" max="1275" width="15.88671875" style="22" customWidth="1"/>
    <col min="1276" max="1523" width="9" style="22"/>
    <col min="1524" max="1524" width="63.109375" style="22" customWidth="1"/>
    <col min="1525" max="1525" width="9" style="22"/>
    <col min="1526" max="1526" width="14.109375" style="22" customWidth="1"/>
    <col min="1527" max="1527" width="12.109375" style="22" customWidth="1"/>
    <col min="1528" max="1528" width="12.44140625" style="22" customWidth="1"/>
    <col min="1529" max="1529" width="17.33203125" style="22" customWidth="1"/>
    <col min="1530" max="1530" width="16.88671875" style="22" customWidth="1"/>
    <col min="1531" max="1531" width="15.88671875" style="22" customWidth="1"/>
    <col min="1532" max="1779" width="9" style="22"/>
    <col min="1780" max="1780" width="63.109375" style="22" customWidth="1"/>
    <col min="1781" max="1781" width="9" style="22"/>
    <col min="1782" max="1782" width="14.109375" style="22" customWidth="1"/>
    <col min="1783" max="1783" width="12.109375" style="22" customWidth="1"/>
    <col min="1784" max="1784" width="12.44140625" style="22" customWidth="1"/>
    <col min="1785" max="1785" width="17.33203125" style="22" customWidth="1"/>
    <col min="1786" max="1786" width="16.88671875" style="22" customWidth="1"/>
    <col min="1787" max="1787" width="15.88671875" style="22" customWidth="1"/>
    <col min="1788" max="2035" width="9" style="22"/>
    <col min="2036" max="2036" width="63.109375" style="22" customWidth="1"/>
    <col min="2037" max="2037" width="9" style="22"/>
    <col min="2038" max="2038" width="14.109375" style="22" customWidth="1"/>
    <col min="2039" max="2039" width="12.109375" style="22" customWidth="1"/>
    <col min="2040" max="2040" width="12.44140625" style="22" customWidth="1"/>
    <col min="2041" max="2041" width="17.33203125" style="22" customWidth="1"/>
    <col min="2042" max="2042" width="16.88671875" style="22" customWidth="1"/>
    <col min="2043" max="2043" width="15.88671875" style="22" customWidth="1"/>
    <col min="2044" max="2291" width="9" style="22"/>
    <col min="2292" max="2292" width="63.109375" style="22" customWidth="1"/>
    <col min="2293" max="2293" width="9" style="22"/>
    <col min="2294" max="2294" width="14.109375" style="22" customWidth="1"/>
    <col min="2295" max="2295" width="12.109375" style="22" customWidth="1"/>
    <col min="2296" max="2296" width="12.44140625" style="22" customWidth="1"/>
    <col min="2297" max="2297" width="17.33203125" style="22" customWidth="1"/>
    <col min="2298" max="2298" width="16.88671875" style="22" customWidth="1"/>
    <col min="2299" max="2299" width="15.88671875" style="22" customWidth="1"/>
    <col min="2300" max="2547" width="9" style="22"/>
    <col min="2548" max="2548" width="63.109375" style="22" customWidth="1"/>
    <col min="2549" max="2549" width="9" style="22"/>
    <col min="2550" max="2550" width="14.109375" style="22" customWidth="1"/>
    <col min="2551" max="2551" width="12.109375" style="22" customWidth="1"/>
    <col min="2552" max="2552" width="12.44140625" style="22" customWidth="1"/>
    <col min="2553" max="2553" width="17.33203125" style="22" customWidth="1"/>
    <col min="2554" max="2554" width="16.88671875" style="22" customWidth="1"/>
    <col min="2555" max="2555" width="15.88671875" style="22" customWidth="1"/>
    <col min="2556" max="2803" width="9" style="22"/>
    <col min="2804" max="2804" width="63.109375" style="22" customWidth="1"/>
    <col min="2805" max="2805" width="9" style="22"/>
    <col min="2806" max="2806" width="14.109375" style="22" customWidth="1"/>
    <col min="2807" max="2807" width="12.109375" style="22" customWidth="1"/>
    <col min="2808" max="2808" width="12.44140625" style="22" customWidth="1"/>
    <col min="2809" max="2809" width="17.33203125" style="22" customWidth="1"/>
    <col min="2810" max="2810" width="16.88671875" style="22" customWidth="1"/>
    <col min="2811" max="2811" width="15.88671875" style="22" customWidth="1"/>
    <col min="2812" max="3059" width="9" style="22"/>
    <col min="3060" max="3060" width="63.109375" style="22" customWidth="1"/>
    <col min="3061" max="3061" width="9" style="22"/>
    <col min="3062" max="3062" width="14.109375" style="22" customWidth="1"/>
    <col min="3063" max="3063" width="12.109375" style="22" customWidth="1"/>
    <col min="3064" max="3064" width="12.44140625" style="22" customWidth="1"/>
    <col min="3065" max="3065" width="17.33203125" style="22" customWidth="1"/>
    <col min="3066" max="3066" width="16.88671875" style="22" customWidth="1"/>
    <col min="3067" max="3067" width="15.88671875" style="22" customWidth="1"/>
    <col min="3068" max="3315" width="9" style="22"/>
    <col min="3316" max="3316" width="63.109375" style="22" customWidth="1"/>
    <col min="3317" max="3317" width="9" style="22"/>
    <col min="3318" max="3318" width="14.109375" style="22" customWidth="1"/>
    <col min="3319" max="3319" width="12.109375" style="22" customWidth="1"/>
    <col min="3320" max="3320" width="12.44140625" style="22" customWidth="1"/>
    <col min="3321" max="3321" width="17.33203125" style="22" customWidth="1"/>
    <col min="3322" max="3322" width="16.88671875" style="22" customWidth="1"/>
    <col min="3323" max="3323" width="15.88671875" style="22" customWidth="1"/>
    <col min="3324" max="3571" width="9" style="22"/>
    <col min="3572" max="3572" width="63.109375" style="22" customWidth="1"/>
    <col min="3573" max="3573" width="9" style="22"/>
    <col min="3574" max="3574" width="14.109375" style="22" customWidth="1"/>
    <col min="3575" max="3575" width="12.109375" style="22" customWidth="1"/>
    <col min="3576" max="3576" width="12.44140625" style="22" customWidth="1"/>
    <col min="3577" max="3577" width="17.33203125" style="22" customWidth="1"/>
    <col min="3578" max="3578" width="16.88671875" style="22" customWidth="1"/>
    <col min="3579" max="3579" width="15.88671875" style="22" customWidth="1"/>
    <col min="3580" max="3827" width="9" style="22"/>
    <col min="3828" max="3828" width="63.109375" style="22" customWidth="1"/>
    <col min="3829" max="3829" width="9" style="22"/>
    <col min="3830" max="3830" width="14.109375" style="22" customWidth="1"/>
    <col min="3831" max="3831" width="12.109375" style="22" customWidth="1"/>
    <col min="3832" max="3832" width="12.44140625" style="22" customWidth="1"/>
    <col min="3833" max="3833" width="17.33203125" style="22" customWidth="1"/>
    <col min="3834" max="3834" width="16.88671875" style="22" customWidth="1"/>
    <col min="3835" max="3835" width="15.88671875" style="22" customWidth="1"/>
    <col min="3836" max="4083" width="9" style="22"/>
    <col min="4084" max="4084" width="63.109375" style="22" customWidth="1"/>
    <col min="4085" max="4085" width="9" style="22"/>
    <col min="4086" max="4086" width="14.109375" style="22" customWidth="1"/>
    <col min="4087" max="4087" width="12.109375" style="22" customWidth="1"/>
    <col min="4088" max="4088" width="12.44140625" style="22" customWidth="1"/>
    <col min="4089" max="4089" width="17.33203125" style="22" customWidth="1"/>
    <col min="4090" max="4090" width="16.88671875" style="22" customWidth="1"/>
    <col min="4091" max="4091" width="15.88671875" style="22" customWidth="1"/>
    <col min="4092" max="4339" width="9" style="22"/>
    <col min="4340" max="4340" width="63.109375" style="22" customWidth="1"/>
    <col min="4341" max="4341" width="9" style="22"/>
    <col min="4342" max="4342" width="14.109375" style="22" customWidth="1"/>
    <col min="4343" max="4343" width="12.109375" style="22" customWidth="1"/>
    <col min="4344" max="4344" width="12.44140625" style="22" customWidth="1"/>
    <col min="4345" max="4345" width="17.33203125" style="22" customWidth="1"/>
    <col min="4346" max="4346" width="16.88671875" style="22" customWidth="1"/>
    <col min="4347" max="4347" width="15.88671875" style="22" customWidth="1"/>
    <col min="4348" max="4595" width="9" style="22"/>
    <col min="4596" max="4596" width="63.109375" style="22" customWidth="1"/>
    <col min="4597" max="4597" width="9" style="22"/>
    <col min="4598" max="4598" width="14.109375" style="22" customWidth="1"/>
    <col min="4599" max="4599" width="12.109375" style="22" customWidth="1"/>
    <col min="4600" max="4600" width="12.44140625" style="22" customWidth="1"/>
    <col min="4601" max="4601" width="17.33203125" style="22" customWidth="1"/>
    <col min="4602" max="4602" width="16.88671875" style="22" customWidth="1"/>
    <col min="4603" max="4603" width="15.88671875" style="22" customWidth="1"/>
    <col min="4604" max="4851" width="9" style="22"/>
    <col min="4852" max="4852" width="63.109375" style="22" customWidth="1"/>
    <col min="4853" max="4853" width="9" style="22"/>
    <col min="4854" max="4854" width="14.109375" style="22" customWidth="1"/>
    <col min="4855" max="4855" width="12.109375" style="22" customWidth="1"/>
    <col min="4856" max="4856" width="12.44140625" style="22" customWidth="1"/>
    <col min="4857" max="4857" width="17.33203125" style="22" customWidth="1"/>
    <col min="4858" max="4858" width="16.88671875" style="22" customWidth="1"/>
    <col min="4859" max="4859" width="15.88671875" style="22" customWidth="1"/>
    <col min="4860" max="5107" width="9" style="22"/>
    <col min="5108" max="5108" width="63.109375" style="22" customWidth="1"/>
    <col min="5109" max="5109" width="9" style="22"/>
    <col min="5110" max="5110" width="14.109375" style="22" customWidth="1"/>
    <col min="5111" max="5111" width="12.109375" style="22" customWidth="1"/>
    <col min="5112" max="5112" width="12.44140625" style="22" customWidth="1"/>
    <col min="5113" max="5113" width="17.33203125" style="22" customWidth="1"/>
    <col min="5114" max="5114" width="16.88671875" style="22" customWidth="1"/>
    <col min="5115" max="5115" width="15.88671875" style="22" customWidth="1"/>
    <col min="5116" max="5363" width="9" style="22"/>
    <col min="5364" max="5364" width="63.109375" style="22" customWidth="1"/>
    <col min="5365" max="5365" width="9" style="22"/>
    <col min="5366" max="5366" width="14.109375" style="22" customWidth="1"/>
    <col min="5367" max="5367" width="12.109375" style="22" customWidth="1"/>
    <col min="5368" max="5368" width="12.44140625" style="22" customWidth="1"/>
    <col min="5369" max="5369" width="17.33203125" style="22" customWidth="1"/>
    <col min="5370" max="5370" width="16.88671875" style="22" customWidth="1"/>
    <col min="5371" max="5371" width="15.88671875" style="22" customWidth="1"/>
    <col min="5372" max="5619" width="9" style="22"/>
    <col min="5620" max="5620" width="63.109375" style="22" customWidth="1"/>
    <col min="5621" max="5621" width="9" style="22"/>
    <col min="5622" max="5622" width="14.109375" style="22" customWidth="1"/>
    <col min="5623" max="5623" width="12.109375" style="22" customWidth="1"/>
    <col min="5624" max="5624" width="12.44140625" style="22" customWidth="1"/>
    <col min="5625" max="5625" width="17.33203125" style="22" customWidth="1"/>
    <col min="5626" max="5626" width="16.88671875" style="22" customWidth="1"/>
    <col min="5627" max="5627" width="15.88671875" style="22" customWidth="1"/>
    <col min="5628" max="5875" width="9" style="22"/>
    <col min="5876" max="5876" width="63.109375" style="22" customWidth="1"/>
    <col min="5877" max="5877" width="9" style="22"/>
    <col min="5878" max="5878" width="14.109375" style="22" customWidth="1"/>
    <col min="5879" max="5879" width="12.109375" style="22" customWidth="1"/>
    <col min="5880" max="5880" width="12.44140625" style="22" customWidth="1"/>
    <col min="5881" max="5881" width="17.33203125" style="22" customWidth="1"/>
    <col min="5882" max="5882" width="16.88671875" style="22" customWidth="1"/>
    <col min="5883" max="5883" width="15.88671875" style="22" customWidth="1"/>
    <col min="5884" max="6131" width="9" style="22"/>
    <col min="6132" max="6132" width="63.109375" style="22" customWidth="1"/>
    <col min="6133" max="6133" width="9" style="22"/>
    <col min="6134" max="6134" width="14.109375" style="22" customWidth="1"/>
    <col min="6135" max="6135" width="12.109375" style="22" customWidth="1"/>
    <col min="6136" max="6136" width="12.44140625" style="22" customWidth="1"/>
    <col min="6137" max="6137" width="17.33203125" style="22" customWidth="1"/>
    <col min="6138" max="6138" width="16.88671875" style="22" customWidth="1"/>
    <col min="6139" max="6139" width="15.88671875" style="22" customWidth="1"/>
    <col min="6140" max="6387" width="9" style="22"/>
    <col min="6388" max="6388" width="63.109375" style="22" customWidth="1"/>
    <col min="6389" max="6389" width="9" style="22"/>
    <col min="6390" max="6390" width="14.109375" style="22" customWidth="1"/>
    <col min="6391" max="6391" width="12.109375" style="22" customWidth="1"/>
    <col min="6392" max="6392" width="12.44140625" style="22" customWidth="1"/>
    <col min="6393" max="6393" width="17.33203125" style="22" customWidth="1"/>
    <col min="6394" max="6394" width="16.88671875" style="22" customWidth="1"/>
    <col min="6395" max="6395" width="15.88671875" style="22" customWidth="1"/>
    <col min="6396" max="6643" width="9" style="22"/>
    <col min="6644" max="6644" width="63.109375" style="22" customWidth="1"/>
    <col min="6645" max="6645" width="9" style="22"/>
    <col min="6646" max="6646" width="14.109375" style="22" customWidth="1"/>
    <col min="6647" max="6647" width="12.109375" style="22" customWidth="1"/>
    <col min="6648" max="6648" width="12.44140625" style="22" customWidth="1"/>
    <col min="6649" max="6649" width="17.33203125" style="22" customWidth="1"/>
    <col min="6650" max="6650" width="16.88671875" style="22" customWidth="1"/>
    <col min="6651" max="6651" width="15.88671875" style="22" customWidth="1"/>
    <col min="6652" max="6899" width="9" style="22"/>
    <col min="6900" max="6900" width="63.109375" style="22" customWidth="1"/>
    <col min="6901" max="6901" width="9" style="22"/>
    <col min="6902" max="6902" width="14.109375" style="22" customWidth="1"/>
    <col min="6903" max="6903" width="12.109375" style="22" customWidth="1"/>
    <col min="6904" max="6904" width="12.44140625" style="22" customWidth="1"/>
    <col min="6905" max="6905" width="17.33203125" style="22" customWidth="1"/>
    <col min="6906" max="6906" width="16.88671875" style="22" customWidth="1"/>
    <col min="6907" max="6907" width="15.88671875" style="22" customWidth="1"/>
    <col min="6908" max="7155" width="9" style="22"/>
    <col min="7156" max="7156" width="63.109375" style="22" customWidth="1"/>
    <col min="7157" max="7157" width="9" style="22"/>
    <col min="7158" max="7158" width="14.109375" style="22" customWidth="1"/>
    <col min="7159" max="7159" width="12.109375" style="22" customWidth="1"/>
    <col min="7160" max="7160" width="12.44140625" style="22" customWidth="1"/>
    <col min="7161" max="7161" width="17.33203125" style="22" customWidth="1"/>
    <col min="7162" max="7162" width="16.88671875" style="22" customWidth="1"/>
    <col min="7163" max="7163" width="15.88671875" style="22" customWidth="1"/>
    <col min="7164" max="7411" width="9" style="22"/>
    <col min="7412" max="7412" width="63.109375" style="22" customWidth="1"/>
    <col min="7413" max="7413" width="9" style="22"/>
    <col min="7414" max="7414" width="14.109375" style="22" customWidth="1"/>
    <col min="7415" max="7415" width="12.109375" style="22" customWidth="1"/>
    <col min="7416" max="7416" width="12.44140625" style="22" customWidth="1"/>
    <col min="7417" max="7417" width="17.33203125" style="22" customWidth="1"/>
    <col min="7418" max="7418" width="16.88671875" style="22" customWidth="1"/>
    <col min="7419" max="7419" width="15.88671875" style="22" customWidth="1"/>
    <col min="7420" max="7667" width="9" style="22"/>
    <col min="7668" max="7668" width="63.109375" style="22" customWidth="1"/>
    <col min="7669" max="7669" width="9" style="22"/>
    <col min="7670" max="7670" width="14.109375" style="22" customWidth="1"/>
    <col min="7671" max="7671" width="12.109375" style="22" customWidth="1"/>
    <col min="7672" max="7672" width="12.44140625" style="22" customWidth="1"/>
    <col min="7673" max="7673" width="17.33203125" style="22" customWidth="1"/>
    <col min="7674" max="7674" width="16.88671875" style="22" customWidth="1"/>
    <col min="7675" max="7675" width="15.88671875" style="22" customWidth="1"/>
    <col min="7676" max="7923" width="9" style="22"/>
    <col min="7924" max="7924" width="63.109375" style="22" customWidth="1"/>
    <col min="7925" max="7925" width="9" style="22"/>
    <col min="7926" max="7926" width="14.109375" style="22" customWidth="1"/>
    <col min="7927" max="7927" width="12.109375" style="22" customWidth="1"/>
    <col min="7928" max="7928" width="12.44140625" style="22" customWidth="1"/>
    <col min="7929" max="7929" width="17.33203125" style="22" customWidth="1"/>
    <col min="7930" max="7930" width="16.88671875" style="22" customWidth="1"/>
    <col min="7931" max="7931" width="15.88671875" style="22" customWidth="1"/>
    <col min="7932" max="8179" width="9" style="22"/>
    <col min="8180" max="8180" width="63.109375" style="22" customWidth="1"/>
    <col min="8181" max="8181" width="9" style="22"/>
    <col min="8182" max="8182" width="14.109375" style="22" customWidth="1"/>
    <col min="8183" max="8183" width="12.109375" style="22" customWidth="1"/>
    <col min="8184" max="8184" width="12.44140625" style="22" customWidth="1"/>
    <col min="8185" max="8185" width="17.33203125" style="22" customWidth="1"/>
    <col min="8186" max="8186" width="16.88671875" style="22" customWidth="1"/>
    <col min="8187" max="8187" width="15.88671875" style="22" customWidth="1"/>
    <col min="8188" max="8435" width="9" style="22"/>
    <col min="8436" max="8436" width="63.109375" style="22" customWidth="1"/>
    <col min="8437" max="8437" width="9" style="22"/>
    <col min="8438" max="8438" width="14.109375" style="22" customWidth="1"/>
    <col min="8439" max="8439" width="12.109375" style="22" customWidth="1"/>
    <col min="8440" max="8440" width="12.44140625" style="22" customWidth="1"/>
    <col min="8441" max="8441" width="17.33203125" style="22" customWidth="1"/>
    <col min="8442" max="8442" width="16.88671875" style="22" customWidth="1"/>
    <col min="8443" max="8443" width="15.88671875" style="22" customWidth="1"/>
    <col min="8444" max="8691" width="9" style="22"/>
    <col min="8692" max="8692" width="63.109375" style="22" customWidth="1"/>
    <col min="8693" max="8693" width="9" style="22"/>
    <col min="8694" max="8694" width="14.109375" style="22" customWidth="1"/>
    <col min="8695" max="8695" width="12.109375" style="22" customWidth="1"/>
    <col min="8696" max="8696" width="12.44140625" style="22" customWidth="1"/>
    <col min="8697" max="8697" width="17.33203125" style="22" customWidth="1"/>
    <col min="8698" max="8698" width="16.88671875" style="22" customWidth="1"/>
    <col min="8699" max="8699" width="15.88671875" style="22" customWidth="1"/>
    <col min="8700" max="8947" width="9" style="22"/>
    <col min="8948" max="8948" width="63.109375" style="22" customWidth="1"/>
    <col min="8949" max="8949" width="9" style="22"/>
    <col min="8950" max="8950" width="14.109375" style="22" customWidth="1"/>
    <col min="8951" max="8951" width="12.109375" style="22" customWidth="1"/>
    <col min="8952" max="8952" width="12.44140625" style="22" customWidth="1"/>
    <col min="8953" max="8953" width="17.33203125" style="22" customWidth="1"/>
    <col min="8954" max="8954" width="16.88671875" style="22" customWidth="1"/>
    <col min="8955" max="8955" width="15.88671875" style="22" customWidth="1"/>
    <col min="8956" max="9203" width="9" style="22"/>
    <col min="9204" max="9204" width="63.109375" style="22" customWidth="1"/>
    <col min="9205" max="9205" width="9" style="22"/>
    <col min="9206" max="9206" width="14.109375" style="22" customWidth="1"/>
    <col min="9207" max="9207" width="12.109375" style="22" customWidth="1"/>
    <col min="9208" max="9208" width="12.44140625" style="22" customWidth="1"/>
    <col min="9209" max="9209" width="17.33203125" style="22" customWidth="1"/>
    <col min="9210" max="9210" width="16.88671875" style="22" customWidth="1"/>
    <col min="9211" max="9211" width="15.88671875" style="22" customWidth="1"/>
    <col min="9212" max="9459" width="9" style="22"/>
    <col min="9460" max="9460" width="63.109375" style="22" customWidth="1"/>
    <col min="9461" max="9461" width="9" style="22"/>
    <col min="9462" max="9462" width="14.109375" style="22" customWidth="1"/>
    <col min="9463" max="9463" width="12.109375" style="22" customWidth="1"/>
    <col min="9464" max="9464" width="12.44140625" style="22" customWidth="1"/>
    <col min="9465" max="9465" width="17.33203125" style="22" customWidth="1"/>
    <col min="9466" max="9466" width="16.88671875" style="22" customWidth="1"/>
    <col min="9467" max="9467" width="15.88671875" style="22" customWidth="1"/>
    <col min="9468" max="9715" width="9" style="22"/>
    <col min="9716" max="9716" width="63.109375" style="22" customWidth="1"/>
    <col min="9717" max="9717" width="9" style="22"/>
    <col min="9718" max="9718" width="14.109375" style="22" customWidth="1"/>
    <col min="9719" max="9719" width="12.109375" style="22" customWidth="1"/>
    <col min="9720" max="9720" width="12.44140625" style="22" customWidth="1"/>
    <col min="9721" max="9721" width="17.33203125" style="22" customWidth="1"/>
    <col min="9722" max="9722" width="16.88671875" style="22" customWidth="1"/>
    <col min="9723" max="9723" width="15.88671875" style="22" customWidth="1"/>
    <col min="9724" max="9971" width="9" style="22"/>
    <col min="9972" max="9972" width="63.109375" style="22" customWidth="1"/>
    <col min="9973" max="9973" width="9" style="22"/>
    <col min="9974" max="9974" width="14.109375" style="22" customWidth="1"/>
    <col min="9975" max="9975" width="12.109375" style="22" customWidth="1"/>
    <col min="9976" max="9976" width="12.44140625" style="22" customWidth="1"/>
    <col min="9977" max="9977" width="17.33203125" style="22" customWidth="1"/>
    <col min="9978" max="9978" width="16.88671875" style="22" customWidth="1"/>
    <col min="9979" max="9979" width="15.88671875" style="22" customWidth="1"/>
    <col min="9980" max="10227" width="9" style="22"/>
    <col min="10228" max="10228" width="63.109375" style="22" customWidth="1"/>
    <col min="10229" max="10229" width="9" style="22"/>
    <col min="10230" max="10230" width="14.109375" style="22" customWidth="1"/>
    <col min="10231" max="10231" width="12.109375" style="22" customWidth="1"/>
    <col min="10232" max="10232" width="12.44140625" style="22" customWidth="1"/>
    <col min="10233" max="10233" width="17.33203125" style="22" customWidth="1"/>
    <col min="10234" max="10234" width="16.88671875" style="22" customWidth="1"/>
    <col min="10235" max="10235" width="15.88671875" style="22" customWidth="1"/>
    <col min="10236" max="10483" width="9" style="22"/>
    <col min="10484" max="10484" width="63.109375" style="22" customWidth="1"/>
    <col min="10485" max="10485" width="9" style="22"/>
    <col min="10486" max="10486" width="14.109375" style="22" customWidth="1"/>
    <col min="10487" max="10487" width="12.109375" style="22" customWidth="1"/>
    <col min="10488" max="10488" width="12.44140625" style="22" customWidth="1"/>
    <col min="10489" max="10489" width="17.33203125" style="22" customWidth="1"/>
    <col min="10490" max="10490" width="16.88671875" style="22" customWidth="1"/>
    <col min="10491" max="10491" width="15.88671875" style="22" customWidth="1"/>
    <col min="10492" max="10739" width="9" style="22"/>
    <col min="10740" max="10740" width="63.109375" style="22" customWidth="1"/>
    <col min="10741" max="10741" width="9" style="22"/>
    <col min="10742" max="10742" width="14.109375" style="22" customWidth="1"/>
    <col min="10743" max="10743" width="12.109375" style="22" customWidth="1"/>
    <col min="10744" max="10744" width="12.44140625" style="22" customWidth="1"/>
    <col min="10745" max="10745" width="17.33203125" style="22" customWidth="1"/>
    <col min="10746" max="10746" width="16.88671875" style="22" customWidth="1"/>
    <col min="10747" max="10747" width="15.88671875" style="22" customWidth="1"/>
    <col min="10748" max="10995" width="9" style="22"/>
    <col min="10996" max="10996" width="63.109375" style="22" customWidth="1"/>
    <col min="10997" max="10997" width="9" style="22"/>
    <col min="10998" max="10998" width="14.109375" style="22" customWidth="1"/>
    <col min="10999" max="10999" width="12.109375" style="22" customWidth="1"/>
    <col min="11000" max="11000" width="12.44140625" style="22" customWidth="1"/>
    <col min="11001" max="11001" width="17.33203125" style="22" customWidth="1"/>
    <col min="11002" max="11002" width="16.88671875" style="22" customWidth="1"/>
    <col min="11003" max="11003" width="15.88671875" style="22" customWidth="1"/>
    <col min="11004" max="11251" width="9" style="22"/>
    <col min="11252" max="11252" width="63.109375" style="22" customWidth="1"/>
    <col min="11253" max="11253" width="9" style="22"/>
    <col min="11254" max="11254" width="14.109375" style="22" customWidth="1"/>
    <col min="11255" max="11255" width="12.109375" style="22" customWidth="1"/>
    <col min="11256" max="11256" width="12.44140625" style="22" customWidth="1"/>
    <col min="11257" max="11257" width="17.33203125" style="22" customWidth="1"/>
    <col min="11258" max="11258" width="16.88671875" style="22" customWidth="1"/>
    <col min="11259" max="11259" width="15.88671875" style="22" customWidth="1"/>
    <col min="11260" max="11507" width="9" style="22"/>
    <col min="11508" max="11508" width="63.109375" style="22" customWidth="1"/>
    <col min="11509" max="11509" width="9" style="22"/>
    <col min="11510" max="11510" width="14.109375" style="22" customWidth="1"/>
    <col min="11511" max="11511" width="12.109375" style="22" customWidth="1"/>
    <col min="11512" max="11512" width="12.44140625" style="22" customWidth="1"/>
    <col min="11513" max="11513" width="17.33203125" style="22" customWidth="1"/>
    <col min="11514" max="11514" width="16.88671875" style="22" customWidth="1"/>
    <col min="11515" max="11515" width="15.88671875" style="22" customWidth="1"/>
    <col min="11516" max="11763" width="9" style="22"/>
    <col min="11764" max="11764" width="63.109375" style="22" customWidth="1"/>
    <col min="11765" max="11765" width="9" style="22"/>
    <col min="11766" max="11766" width="14.109375" style="22" customWidth="1"/>
    <col min="11767" max="11767" width="12.109375" style="22" customWidth="1"/>
    <col min="11768" max="11768" width="12.44140625" style="22" customWidth="1"/>
    <col min="11769" max="11769" width="17.33203125" style="22" customWidth="1"/>
    <col min="11770" max="11770" width="16.88671875" style="22" customWidth="1"/>
    <col min="11771" max="11771" width="15.88671875" style="22" customWidth="1"/>
    <col min="11772" max="12019" width="9" style="22"/>
    <col min="12020" max="12020" width="63.109375" style="22" customWidth="1"/>
    <col min="12021" max="12021" width="9" style="22"/>
    <col min="12022" max="12022" width="14.109375" style="22" customWidth="1"/>
    <col min="12023" max="12023" width="12.109375" style="22" customWidth="1"/>
    <col min="12024" max="12024" width="12.44140625" style="22" customWidth="1"/>
    <col min="12025" max="12025" width="17.33203125" style="22" customWidth="1"/>
    <col min="12026" max="12026" width="16.88671875" style="22" customWidth="1"/>
    <col min="12027" max="12027" width="15.88671875" style="22" customWidth="1"/>
    <col min="12028" max="12275" width="9" style="22"/>
    <col min="12276" max="12276" width="63.109375" style="22" customWidth="1"/>
    <col min="12277" max="12277" width="9" style="22"/>
    <col min="12278" max="12278" width="14.109375" style="22" customWidth="1"/>
    <col min="12279" max="12279" width="12.109375" style="22" customWidth="1"/>
    <col min="12280" max="12280" width="12.44140625" style="22" customWidth="1"/>
    <col min="12281" max="12281" width="17.33203125" style="22" customWidth="1"/>
    <col min="12282" max="12282" width="16.88671875" style="22" customWidth="1"/>
    <col min="12283" max="12283" width="15.88671875" style="22" customWidth="1"/>
    <col min="12284" max="12531" width="9" style="22"/>
    <col min="12532" max="12532" width="63.109375" style="22" customWidth="1"/>
    <col min="12533" max="12533" width="9" style="22"/>
    <col min="12534" max="12534" width="14.109375" style="22" customWidth="1"/>
    <col min="12535" max="12535" width="12.109375" style="22" customWidth="1"/>
    <col min="12536" max="12536" width="12.44140625" style="22" customWidth="1"/>
    <col min="12537" max="12537" width="17.33203125" style="22" customWidth="1"/>
    <col min="12538" max="12538" width="16.88671875" style="22" customWidth="1"/>
    <col min="12539" max="12539" width="15.88671875" style="22" customWidth="1"/>
    <col min="12540" max="12787" width="9" style="22"/>
    <col min="12788" max="12788" width="63.109375" style="22" customWidth="1"/>
    <col min="12789" max="12789" width="9" style="22"/>
    <col min="12790" max="12790" width="14.109375" style="22" customWidth="1"/>
    <col min="12791" max="12791" width="12.109375" style="22" customWidth="1"/>
    <col min="12792" max="12792" width="12.44140625" style="22" customWidth="1"/>
    <col min="12793" max="12793" width="17.33203125" style="22" customWidth="1"/>
    <col min="12794" max="12794" width="16.88671875" style="22" customWidth="1"/>
    <col min="12795" max="12795" width="15.88671875" style="22" customWidth="1"/>
    <col min="12796" max="13043" width="9" style="22"/>
    <col min="13044" max="13044" width="63.109375" style="22" customWidth="1"/>
    <col min="13045" max="13045" width="9" style="22"/>
    <col min="13046" max="13046" width="14.109375" style="22" customWidth="1"/>
    <col min="13047" max="13047" width="12.109375" style="22" customWidth="1"/>
    <col min="13048" max="13048" width="12.44140625" style="22" customWidth="1"/>
    <col min="13049" max="13049" width="17.33203125" style="22" customWidth="1"/>
    <col min="13050" max="13050" width="16.88671875" style="22" customWidth="1"/>
    <col min="13051" max="13051" width="15.88671875" style="22" customWidth="1"/>
    <col min="13052" max="13299" width="9" style="22"/>
    <col min="13300" max="13300" width="63.109375" style="22" customWidth="1"/>
    <col min="13301" max="13301" width="9" style="22"/>
    <col min="13302" max="13302" width="14.109375" style="22" customWidth="1"/>
    <col min="13303" max="13303" width="12.109375" style="22" customWidth="1"/>
    <col min="13304" max="13304" width="12.44140625" style="22" customWidth="1"/>
    <col min="13305" max="13305" width="17.33203125" style="22" customWidth="1"/>
    <col min="13306" max="13306" width="16.88671875" style="22" customWidth="1"/>
    <col min="13307" max="13307" width="15.88671875" style="22" customWidth="1"/>
    <col min="13308" max="13555" width="9" style="22"/>
    <col min="13556" max="13556" width="63.109375" style="22" customWidth="1"/>
    <col min="13557" max="13557" width="9" style="22"/>
    <col min="13558" max="13558" width="14.109375" style="22" customWidth="1"/>
    <col min="13559" max="13559" width="12.109375" style="22" customWidth="1"/>
    <col min="13560" max="13560" width="12.44140625" style="22" customWidth="1"/>
    <col min="13561" max="13561" width="17.33203125" style="22" customWidth="1"/>
    <col min="13562" max="13562" width="16.88671875" style="22" customWidth="1"/>
    <col min="13563" max="13563" width="15.88671875" style="22" customWidth="1"/>
    <col min="13564" max="13811" width="9" style="22"/>
    <col min="13812" max="13812" width="63.109375" style="22" customWidth="1"/>
    <col min="13813" max="13813" width="9" style="22"/>
    <col min="13814" max="13814" width="14.109375" style="22" customWidth="1"/>
    <col min="13815" max="13815" width="12.109375" style="22" customWidth="1"/>
    <col min="13816" max="13816" width="12.44140625" style="22" customWidth="1"/>
    <col min="13817" max="13817" width="17.33203125" style="22" customWidth="1"/>
    <col min="13818" max="13818" width="16.88671875" style="22" customWidth="1"/>
    <col min="13819" max="13819" width="15.88671875" style="22" customWidth="1"/>
    <col min="13820" max="14067" width="9" style="22"/>
    <col min="14068" max="14068" width="63.109375" style="22" customWidth="1"/>
    <col min="14069" max="14069" width="9" style="22"/>
    <col min="14070" max="14070" width="14.109375" style="22" customWidth="1"/>
    <col min="14071" max="14071" width="12.109375" style="22" customWidth="1"/>
    <col min="14072" max="14072" width="12.44140625" style="22" customWidth="1"/>
    <col min="14073" max="14073" width="17.33203125" style="22" customWidth="1"/>
    <col min="14074" max="14074" width="16.88671875" style="22" customWidth="1"/>
    <col min="14075" max="14075" width="15.88671875" style="22" customWidth="1"/>
    <col min="14076" max="14323" width="9" style="22"/>
    <col min="14324" max="14324" width="63.109375" style="22" customWidth="1"/>
    <col min="14325" max="14325" width="9" style="22"/>
    <col min="14326" max="14326" width="14.109375" style="22" customWidth="1"/>
    <col min="14327" max="14327" width="12.109375" style="22" customWidth="1"/>
    <col min="14328" max="14328" width="12.44140625" style="22" customWidth="1"/>
    <col min="14329" max="14329" width="17.33203125" style="22" customWidth="1"/>
    <col min="14330" max="14330" width="16.88671875" style="22" customWidth="1"/>
    <col min="14331" max="14331" width="15.88671875" style="22" customWidth="1"/>
    <col min="14332" max="14579" width="9" style="22"/>
    <col min="14580" max="14580" width="63.109375" style="22" customWidth="1"/>
    <col min="14581" max="14581" width="9" style="22"/>
    <col min="14582" max="14582" width="14.109375" style="22" customWidth="1"/>
    <col min="14583" max="14583" width="12.109375" style="22" customWidth="1"/>
    <col min="14584" max="14584" width="12.44140625" style="22" customWidth="1"/>
    <col min="14585" max="14585" width="17.33203125" style="22" customWidth="1"/>
    <col min="14586" max="14586" width="16.88671875" style="22" customWidth="1"/>
    <col min="14587" max="14587" width="15.88671875" style="22" customWidth="1"/>
    <col min="14588" max="14835" width="9" style="22"/>
    <col min="14836" max="14836" width="63.109375" style="22" customWidth="1"/>
    <col min="14837" max="14837" width="9" style="22"/>
    <col min="14838" max="14838" width="14.109375" style="22" customWidth="1"/>
    <col min="14839" max="14839" width="12.109375" style="22" customWidth="1"/>
    <col min="14840" max="14840" width="12.44140625" style="22" customWidth="1"/>
    <col min="14841" max="14841" width="17.33203125" style="22" customWidth="1"/>
    <col min="14842" max="14842" width="16.88671875" style="22" customWidth="1"/>
    <col min="14843" max="14843" width="15.88671875" style="22" customWidth="1"/>
    <col min="14844" max="15091" width="9" style="22"/>
    <col min="15092" max="15092" width="63.109375" style="22" customWidth="1"/>
    <col min="15093" max="15093" width="9" style="22"/>
    <col min="15094" max="15094" width="14.109375" style="22" customWidth="1"/>
    <col min="15095" max="15095" width="12.109375" style="22" customWidth="1"/>
    <col min="15096" max="15096" width="12.44140625" style="22" customWidth="1"/>
    <col min="15097" max="15097" width="17.33203125" style="22" customWidth="1"/>
    <col min="15098" max="15098" width="16.88671875" style="22" customWidth="1"/>
    <col min="15099" max="15099" width="15.88671875" style="22" customWidth="1"/>
    <col min="15100" max="15347" width="9" style="22"/>
    <col min="15348" max="15348" width="63.109375" style="22" customWidth="1"/>
    <col min="15349" max="15349" width="9" style="22"/>
    <col min="15350" max="15350" width="14.109375" style="22" customWidth="1"/>
    <col min="15351" max="15351" width="12.109375" style="22" customWidth="1"/>
    <col min="15352" max="15352" width="12.44140625" style="22" customWidth="1"/>
    <col min="15353" max="15353" width="17.33203125" style="22" customWidth="1"/>
    <col min="15354" max="15354" width="16.88671875" style="22" customWidth="1"/>
    <col min="15355" max="15355" width="15.88671875" style="22" customWidth="1"/>
    <col min="15356" max="15603" width="9" style="22"/>
    <col min="15604" max="15604" width="63.109375" style="22" customWidth="1"/>
    <col min="15605" max="15605" width="9" style="22"/>
    <col min="15606" max="15606" width="14.109375" style="22" customWidth="1"/>
    <col min="15607" max="15607" width="12.109375" style="22" customWidth="1"/>
    <col min="15608" max="15608" width="12.44140625" style="22" customWidth="1"/>
    <col min="15609" max="15609" width="17.33203125" style="22" customWidth="1"/>
    <col min="15610" max="15610" width="16.88671875" style="22" customWidth="1"/>
    <col min="15611" max="15611" width="15.88671875" style="22" customWidth="1"/>
    <col min="15612" max="15859" width="9" style="22"/>
    <col min="15860" max="15860" width="63.109375" style="22" customWidth="1"/>
    <col min="15861" max="15861" width="9" style="22"/>
    <col min="15862" max="15862" width="14.109375" style="22" customWidth="1"/>
    <col min="15863" max="15863" width="12.109375" style="22" customWidth="1"/>
    <col min="15864" max="15864" width="12.44140625" style="22" customWidth="1"/>
    <col min="15865" max="15865" width="17.33203125" style="22" customWidth="1"/>
    <col min="15866" max="15866" width="16.88671875" style="22" customWidth="1"/>
    <col min="15867" max="15867" width="15.88671875" style="22" customWidth="1"/>
    <col min="15868" max="16115" width="9" style="22"/>
    <col min="16116" max="16116" width="63.109375" style="22" customWidth="1"/>
    <col min="16117" max="16117" width="9" style="22"/>
    <col min="16118" max="16118" width="14.109375" style="22" customWidth="1"/>
    <col min="16119" max="16119" width="12.109375" style="22" customWidth="1"/>
    <col min="16120" max="16120" width="12.44140625" style="22" customWidth="1"/>
    <col min="16121" max="16121" width="17.33203125" style="22" customWidth="1"/>
    <col min="16122" max="16122" width="16.88671875" style="22" customWidth="1"/>
    <col min="16123" max="16123" width="15.88671875" style="22" customWidth="1"/>
    <col min="16124" max="16374" width="9" style="22"/>
    <col min="16375" max="16384" width="9.109375" style="22" customWidth="1"/>
  </cols>
  <sheetData>
    <row r="1" spans="1:11" s="23" customFormat="1">
      <c r="A1" s="416" t="s">
        <v>3070</v>
      </c>
      <c r="B1" s="23">
        <v>2</v>
      </c>
      <c r="C1" s="23">
        <v>3</v>
      </c>
      <c r="D1" s="23">
        <v>4</v>
      </c>
      <c r="E1" s="24">
        <v>5</v>
      </c>
      <c r="F1" s="24">
        <v>6</v>
      </c>
      <c r="G1" s="23">
        <v>7</v>
      </c>
      <c r="H1" s="23">
        <v>8</v>
      </c>
      <c r="I1" s="23">
        <v>9</v>
      </c>
    </row>
    <row r="2" spans="1:11" s="23" customFormat="1">
      <c r="A2" s="537" t="s">
        <v>0</v>
      </c>
      <c r="B2" s="539" t="s">
        <v>1</v>
      </c>
      <c r="C2" s="541" t="s">
        <v>2</v>
      </c>
      <c r="D2" s="543" t="s">
        <v>3</v>
      </c>
      <c r="E2" s="536" t="s">
        <v>2086</v>
      </c>
      <c r="F2" s="536"/>
      <c r="G2" s="536" t="s">
        <v>4</v>
      </c>
      <c r="H2" s="536"/>
      <c r="I2" s="536" t="s">
        <v>5</v>
      </c>
    </row>
    <row r="3" spans="1:11" s="23" customFormat="1">
      <c r="A3" s="538"/>
      <c r="B3" s="540"/>
      <c r="C3" s="542"/>
      <c r="D3" s="544"/>
      <c r="E3" s="26" t="s">
        <v>6</v>
      </c>
      <c r="F3" s="26" t="s">
        <v>7</v>
      </c>
      <c r="G3" s="26" t="s">
        <v>6</v>
      </c>
      <c r="H3" s="26" t="s">
        <v>8</v>
      </c>
      <c r="I3" s="536"/>
    </row>
    <row r="4" spans="1:11" s="1" customFormat="1">
      <c r="A4" s="27"/>
      <c r="B4" s="28" t="s">
        <v>2083</v>
      </c>
      <c r="C4" s="29"/>
      <c r="D4" s="30"/>
      <c r="E4" s="31"/>
      <c r="F4" s="31"/>
      <c r="G4" s="32"/>
      <c r="H4" s="32"/>
      <c r="I4" s="32"/>
    </row>
    <row r="5" spans="1:11">
      <c r="A5" s="33" t="s">
        <v>2084</v>
      </c>
      <c r="B5" s="34" t="s">
        <v>10</v>
      </c>
      <c r="C5" s="35" t="s">
        <v>9</v>
      </c>
      <c r="D5" s="39">
        <v>3694</v>
      </c>
      <c r="E5" s="37">
        <v>120</v>
      </c>
      <c r="F5" s="37"/>
      <c r="G5" s="38">
        <f t="shared" ref="G5:G11" si="0">PRODUCT(D5:E5)</f>
        <v>443280</v>
      </c>
      <c r="H5" s="38"/>
      <c r="I5" s="38">
        <f>SUM(G5:H5)</f>
        <v>443280</v>
      </c>
    </row>
    <row r="6" spans="1:11">
      <c r="A6" s="33" t="s">
        <v>12</v>
      </c>
      <c r="B6" s="34" t="s">
        <v>11</v>
      </c>
      <c r="C6" s="35" t="s">
        <v>9</v>
      </c>
      <c r="D6" s="39">
        <v>723.63</v>
      </c>
      <c r="E6" s="37">
        <v>120</v>
      </c>
      <c r="F6" s="37"/>
      <c r="G6" s="38">
        <f t="shared" si="0"/>
        <v>86835.6</v>
      </c>
      <c r="H6" s="38"/>
      <c r="I6" s="38">
        <f t="shared" ref="I6:I11" si="1">SUM(G6:H6)</f>
        <v>86835.6</v>
      </c>
    </row>
    <row r="7" spans="1:11">
      <c r="A7" s="33" t="s">
        <v>14</v>
      </c>
      <c r="B7" s="34" t="s">
        <v>13</v>
      </c>
      <c r="C7" s="35" t="s">
        <v>9</v>
      </c>
      <c r="D7" s="39">
        <v>103.23</v>
      </c>
      <c r="E7" s="37">
        <v>500</v>
      </c>
      <c r="F7" s="37"/>
      <c r="G7" s="38">
        <f t="shared" si="0"/>
        <v>51615</v>
      </c>
      <c r="H7" s="38"/>
      <c r="I7" s="38">
        <f t="shared" si="1"/>
        <v>51615</v>
      </c>
    </row>
    <row r="8" spans="1:11">
      <c r="A8" s="33" t="s">
        <v>16</v>
      </c>
      <c r="B8" s="40" t="s">
        <v>15</v>
      </c>
      <c r="C8" s="41" t="s">
        <v>9</v>
      </c>
      <c r="D8" s="42">
        <v>2254.63</v>
      </c>
      <c r="E8" s="37">
        <v>150</v>
      </c>
      <c r="F8" s="37"/>
      <c r="G8" s="38">
        <f t="shared" si="0"/>
        <v>338194.5</v>
      </c>
      <c r="H8" s="38"/>
      <c r="I8" s="38">
        <f t="shared" si="1"/>
        <v>338194.5</v>
      </c>
    </row>
    <row r="9" spans="1:11" ht="27.6">
      <c r="A9" s="33" t="s">
        <v>18</v>
      </c>
      <c r="B9" s="43" t="s">
        <v>17</v>
      </c>
      <c r="C9" s="44" t="s">
        <v>9</v>
      </c>
      <c r="D9" s="45">
        <v>11.55</v>
      </c>
      <c r="E9" s="37">
        <v>150</v>
      </c>
      <c r="F9" s="37"/>
      <c r="G9" s="38">
        <f t="shared" si="0"/>
        <v>1732.5</v>
      </c>
      <c r="H9" s="38"/>
      <c r="I9" s="38">
        <f t="shared" si="1"/>
        <v>1732.5</v>
      </c>
    </row>
    <row r="10" spans="1:11" ht="27.6">
      <c r="A10" s="33" t="s">
        <v>2077</v>
      </c>
      <c r="B10" s="43" t="s">
        <v>19</v>
      </c>
      <c r="C10" s="41" t="s">
        <v>9</v>
      </c>
      <c r="D10" s="42">
        <v>10.78</v>
      </c>
      <c r="E10" s="37">
        <v>150</v>
      </c>
      <c r="F10" s="37"/>
      <c r="G10" s="38">
        <f t="shared" si="0"/>
        <v>1617</v>
      </c>
      <c r="H10" s="38"/>
      <c r="I10" s="38">
        <f t="shared" si="1"/>
        <v>1617</v>
      </c>
    </row>
    <row r="11" spans="1:11">
      <c r="A11" s="33" t="s">
        <v>2087</v>
      </c>
      <c r="B11" s="34" t="s">
        <v>2076</v>
      </c>
      <c r="C11" s="35" t="s">
        <v>9</v>
      </c>
      <c r="D11" s="39">
        <v>675</v>
      </c>
      <c r="E11" s="74">
        <v>120</v>
      </c>
      <c r="F11" s="37"/>
      <c r="G11" s="38">
        <f t="shared" si="0"/>
        <v>81000</v>
      </c>
      <c r="H11" s="38"/>
      <c r="I11" s="38">
        <f t="shared" si="1"/>
        <v>81000</v>
      </c>
    </row>
    <row r="12" spans="1:11">
      <c r="A12" s="27"/>
      <c r="B12" s="427" t="s">
        <v>2085</v>
      </c>
      <c r="C12" s="533" t="s">
        <v>2089</v>
      </c>
      <c r="D12" s="534"/>
      <c r="E12" s="534"/>
      <c r="F12" s="535"/>
      <c r="G12" s="32">
        <f>SUM(G5:G11)</f>
        <v>1004274.6</v>
      </c>
      <c r="H12" s="32">
        <f t="shared" ref="H12:I12" si="2">SUM(H5:H11)</f>
        <v>0</v>
      </c>
      <c r="I12" s="32">
        <f t="shared" si="2"/>
        <v>1004274.6</v>
      </c>
    </row>
    <row r="13" spans="1:11">
      <c r="A13" s="27"/>
      <c r="B13" s="427" t="s">
        <v>2088</v>
      </c>
      <c r="C13" s="530"/>
      <c r="D13" s="531"/>
      <c r="E13" s="531"/>
      <c r="F13" s="532"/>
      <c r="G13" s="32">
        <f>PRODUCT(G12,1/1.2,0.2)</f>
        <v>167379.1</v>
      </c>
      <c r="H13" s="32">
        <f t="shared" ref="H13:I13" si="3">PRODUCT(H12,1/1.2,0.2)</f>
        <v>0</v>
      </c>
      <c r="I13" s="32">
        <f t="shared" si="3"/>
        <v>167379.1</v>
      </c>
    </row>
    <row r="14" spans="1:11" s="1" customFormat="1">
      <c r="A14" s="27"/>
      <c r="B14" s="28" t="s">
        <v>2092</v>
      </c>
      <c r="C14" s="29"/>
      <c r="D14" s="46"/>
      <c r="E14" s="31"/>
      <c r="F14" s="31"/>
      <c r="G14" s="32"/>
      <c r="H14" s="32"/>
      <c r="I14" s="32"/>
      <c r="K14" s="22"/>
    </row>
    <row r="15" spans="1:11" s="1" customFormat="1">
      <c r="A15" s="33" t="s">
        <v>21</v>
      </c>
      <c r="B15" s="47" t="s">
        <v>22</v>
      </c>
      <c r="C15" s="35" t="s">
        <v>20</v>
      </c>
      <c r="D15" s="48">
        <v>402</v>
      </c>
      <c r="E15" s="37">
        <v>150</v>
      </c>
      <c r="F15" s="37"/>
      <c r="G15" s="38">
        <f>PRODUCT(D15:E15)</f>
        <v>60300</v>
      </c>
      <c r="H15" s="38"/>
      <c r="I15" s="38">
        <f t="shared" ref="I15:I21" si="4">SUM(G15:H15)</f>
        <v>60300</v>
      </c>
      <c r="K15" s="22"/>
    </row>
    <row r="16" spans="1:11">
      <c r="A16" s="33" t="s">
        <v>23</v>
      </c>
      <c r="B16" s="34" t="s">
        <v>24</v>
      </c>
      <c r="C16" s="35" t="s">
        <v>25</v>
      </c>
      <c r="D16" s="48">
        <v>8028</v>
      </c>
      <c r="E16" s="37">
        <v>650</v>
      </c>
      <c r="F16" s="37"/>
      <c r="G16" s="38">
        <f>PRODUCT(D16:E16)</f>
        <v>5218200</v>
      </c>
      <c r="H16" s="38"/>
      <c r="I16" s="38">
        <f t="shared" si="4"/>
        <v>5218200</v>
      </c>
    </row>
    <row r="17" spans="1:10">
      <c r="A17" s="33" t="s">
        <v>2093</v>
      </c>
      <c r="B17" s="47" t="s">
        <v>27</v>
      </c>
      <c r="C17" s="35" t="s">
        <v>20</v>
      </c>
      <c r="D17" s="48">
        <v>401</v>
      </c>
      <c r="E17" s="49"/>
      <c r="F17" s="37">
        <v>38000</v>
      </c>
      <c r="G17" s="36"/>
      <c r="H17" s="38">
        <f>D17*F17</f>
        <v>15238000</v>
      </c>
      <c r="I17" s="38">
        <f t="shared" si="4"/>
        <v>15238000</v>
      </c>
    </row>
    <row r="18" spans="1:10">
      <c r="A18" s="33" t="s">
        <v>26</v>
      </c>
      <c r="B18" s="47" t="s">
        <v>2091</v>
      </c>
      <c r="C18" s="35" t="s">
        <v>20</v>
      </c>
      <c r="D18" s="48">
        <v>1</v>
      </c>
      <c r="E18" s="37">
        <v>15240</v>
      </c>
      <c r="F18" s="37"/>
      <c r="G18" s="38">
        <f>PRODUCT(D18:E18)</f>
        <v>15240</v>
      </c>
      <c r="H18" s="38"/>
      <c r="I18" s="38">
        <f t="shared" si="4"/>
        <v>15240</v>
      </c>
    </row>
    <row r="19" spans="1:10">
      <c r="A19" s="33" t="s">
        <v>28</v>
      </c>
      <c r="B19" s="34" t="s">
        <v>29</v>
      </c>
      <c r="C19" s="35" t="s">
        <v>20</v>
      </c>
      <c r="D19" s="48">
        <v>401</v>
      </c>
      <c r="E19" s="37">
        <v>515</v>
      </c>
      <c r="F19" s="37"/>
      <c r="G19" s="38">
        <f t="shared" ref="G19:G21" si="5">PRODUCT(D19:E19)</f>
        <v>206515</v>
      </c>
      <c r="H19" s="38"/>
      <c r="I19" s="38">
        <f t="shared" si="4"/>
        <v>206515</v>
      </c>
    </row>
    <row r="20" spans="1:10">
      <c r="A20" s="33" t="s">
        <v>30</v>
      </c>
      <c r="B20" s="34" t="s">
        <v>31</v>
      </c>
      <c r="C20" s="35" t="s">
        <v>20</v>
      </c>
      <c r="D20" s="48">
        <v>401</v>
      </c>
      <c r="E20" s="37">
        <v>350</v>
      </c>
      <c r="F20" s="37"/>
      <c r="G20" s="38">
        <f t="shared" si="5"/>
        <v>140350</v>
      </c>
      <c r="H20" s="38"/>
      <c r="I20" s="38">
        <f t="shared" si="4"/>
        <v>140350</v>
      </c>
    </row>
    <row r="21" spans="1:10">
      <c r="A21" s="33" t="s">
        <v>2078</v>
      </c>
      <c r="B21" s="34" t="s">
        <v>2079</v>
      </c>
      <c r="C21" s="35" t="s">
        <v>602</v>
      </c>
      <c r="D21" s="48">
        <v>1</v>
      </c>
      <c r="E21" s="37">
        <v>2774200</v>
      </c>
      <c r="F21" s="38"/>
      <c r="G21" s="38">
        <f t="shared" si="5"/>
        <v>2774200</v>
      </c>
      <c r="H21" s="38"/>
      <c r="I21" s="38">
        <f t="shared" si="4"/>
        <v>2774200</v>
      </c>
    </row>
    <row r="22" spans="1:10">
      <c r="A22" s="27"/>
      <c r="B22" s="427" t="s">
        <v>2085</v>
      </c>
      <c r="C22" s="533" t="s">
        <v>2090</v>
      </c>
      <c r="D22" s="534"/>
      <c r="E22" s="534"/>
      <c r="F22" s="535"/>
      <c r="G22" s="32">
        <f>SUM(G15:G21)</f>
        <v>8414805</v>
      </c>
      <c r="H22" s="32">
        <f t="shared" ref="H22:I22" si="6">SUM(H15:H21)</f>
        <v>15238000</v>
      </c>
      <c r="I22" s="32">
        <f t="shared" si="6"/>
        <v>23652805</v>
      </c>
    </row>
    <row r="23" spans="1:10">
      <c r="A23" s="27"/>
      <c r="B23" s="427" t="s">
        <v>2088</v>
      </c>
      <c r="C23" s="530"/>
      <c r="D23" s="531"/>
      <c r="E23" s="531"/>
      <c r="F23" s="532"/>
      <c r="G23" s="32">
        <f>PRODUCT(G22,1/1.2,0.2)</f>
        <v>1402467.5</v>
      </c>
      <c r="H23" s="32">
        <f>PRODUCT(H22,1/1.2,0.2)</f>
        <v>2539666.666666667</v>
      </c>
      <c r="I23" s="32">
        <f>PRODUCT(I22,1/1.2,0.2)</f>
        <v>3942134.1666666674</v>
      </c>
    </row>
    <row r="24" spans="1:10">
      <c r="A24" s="27"/>
      <c r="B24" s="28" t="s">
        <v>2094</v>
      </c>
      <c r="C24" s="29"/>
      <c r="D24" s="46"/>
      <c r="E24" s="31"/>
      <c r="F24" s="31"/>
      <c r="G24" s="32"/>
      <c r="H24" s="32"/>
      <c r="I24" s="32"/>
    </row>
    <row r="25" spans="1:10" s="1" customFormat="1">
      <c r="A25" s="50" t="s">
        <v>32</v>
      </c>
      <c r="B25" s="51" t="s">
        <v>33</v>
      </c>
      <c r="C25" s="52" t="s">
        <v>9</v>
      </c>
      <c r="D25" s="430">
        <v>87</v>
      </c>
      <c r="E25" s="53">
        <v>1100</v>
      </c>
      <c r="F25" s="53"/>
      <c r="G25" s="38">
        <f t="shared" ref="G25" si="7">PRODUCT(D25:E25)</f>
        <v>95700</v>
      </c>
      <c r="H25" s="53"/>
      <c r="I25" s="38">
        <f t="shared" ref="I25:I37" si="8">SUM(G25:H25)</f>
        <v>95700</v>
      </c>
      <c r="J25" s="22"/>
    </row>
    <row r="26" spans="1:10">
      <c r="A26" s="50" t="s">
        <v>34</v>
      </c>
      <c r="B26" s="51" t="s">
        <v>35</v>
      </c>
      <c r="C26" s="52" t="s">
        <v>9</v>
      </c>
      <c r="D26" s="430">
        <f>D25*1.05</f>
        <v>91.350000000000009</v>
      </c>
      <c r="E26" s="53"/>
      <c r="F26" s="53">
        <v>4300</v>
      </c>
      <c r="G26" s="53"/>
      <c r="H26" s="38">
        <f>D26*F26</f>
        <v>392805.00000000006</v>
      </c>
      <c r="I26" s="38">
        <f t="shared" si="8"/>
        <v>392805.00000000006</v>
      </c>
    </row>
    <row r="27" spans="1:10" s="1" customFormat="1">
      <c r="A27" s="33" t="s">
        <v>36</v>
      </c>
      <c r="B27" s="40" t="s">
        <v>37</v>
      </c>
      <c r="C27" s="41" t="s">
        <v>9</v>
      </c>
      <c r="D27" s="431">
        <v>856.5</v>
      </c>
      <c r="E27" s="57">
        <v>1560</v>
      </c>
      <c r="F27" s="57"/>
      <c r="G27" s="57">
        <f t="shared" ref="G27" si="9">D27*E27</f>
        <v>1336140</v>
      </c>
      <c r="H27" s="57"/>
      <c r="I27" s="38">
        <f t="shared" si="8"/>
        <v>1336140</v>
      </c>
    </row>
    <row r="28" spans="1:10">
      <c r="A28" s="33" t="s">
        <v>38</v>
      </c>
      <c r="B28" s="56" t="s">
        <v>39</v>
      </c>
      <c r="C28" s="41" t="s">
        <v>9</v>
      </c>
      <c r="D28" s="431">
        <v>899.32500000000005</v>
      </c>
      <c r="E28" s="57"/>
      <c r="F28" s="57">
        <v>5450</v>
      </c>
      <c r="G28" s="57"/>
      <c r="H28" s="38">
        <f>D28*F28</f>
        <v>4901321.25</v>
      </c>
      <c r="I28" s="38">
        <f t="shared" si="8"/>
        <v>4901321.25</v>
      </c>
    </row>
    <row r="29" spans="1:10">
      <c r="A29" s="33" t="s">
        <v>40</v>
      </c>
      <c r="B29" s="56" t="s">
        <v>41</v>
      </c>
      <c r="C29" s="41" t="s">
        <v>42</v>
      </c>
      <c r="D29" s="431">
        <v>3.8560079999999997</v>
      </c>
      <c r="E29" s="57"/>
      <c r="F29" s="57">
        <v>35800</v>
      </c>
      <c r="G29" s="57"/>
      <c r="H29" s="38">
        <f t="shared" ref="H29:H37" si="10">D29*F29</f>
        <v>138045.0864</v>
      </c>
      <c r="I29" s="38">
        <f t="shared" si="8"/>
        <v>138045.0864</v>
      </c>
    </row>
    <row r="30" spans="1:10">
      <c r="A30" s="33" t="s">
        <v>43</v>
      </c>
      <c r="B30" s="56" t="s">
        <v>44</v>
      </c>
      <c r="C30" s="41" t="s">
        <v>42</v>
      </c>
      <c r="D30" s="431">
        <v>67.266263999999993</v>
      </c>
      <c r="E30" s="57"/>
      <c r="F30" s="57">
        <v>33200</v>
      </c>
      <c r="G30" s="57"/>
      <c r="H30" s="38">
        <f t="shared" si="10"/>
        <v>2233239.9647999997</v>
      </c>
      <c r="I30" s="38">
        <f t="shared" si="8"/>
        <v>2233239.9647999997</v>
      </c>
    </row>
    <row r="31" spans="1:10">
      <c r="A31" s="33" t="s">
        <v>45</v>
      </c>
      <c r="B31" s="56" t="s">
        <v>46</v>
      </c>
      <c r="C31" s="41" t="s">
        <v>42</v>
      </c>
      <c r="D31" s="431">
        <v>5.2824720000000003</v>
      </c>
      <c r="E31" s="57"/>
      <c r="F31" s="57">
        <v>33500</v>
      </c>
      <c r="G31" s="57"/>
      <c r="H31" s="38">
        <f t="shared" si="10"/>
        <v>176962.81200000001</v>
      </c>
      <c r="I31" s="38">
        <f t="shared" si="8"/>
        <v>176962.81200000001</v>
      </c>
    </row>
    <row r="32" spans="1:10">
      <c r="A32" s="33" t="s">
        <v>47</v>
      </c>
      <c r="B32" s="56" t="s">
        <v>48</v>
      </c>
      <c r="C32" s="41" t="s">
        <v>42</v>
      </c>
      <c r="D32" s="431">
        <v>3.6420695999999997</v>
      </c>
      <c r="E32" s="57"/>
      <c r="F32" s="57">
        <v>33500</v>
      </c>
      <c r="G32" s="57"/>
      <c r="H32" s="38">
        <f t="shared" si="10"/>
        <v>122009.33159999999</v>
      </c>
      <c r="I32" s="38">
        <f t="shared" si="8"/>
        <v>122009.33159999999</v>
      </c>
    </row>
    <row r="33" spans="1:9">
      <c r="A33" s="33" t="s">
        <v>49</v>
      </c>
      <c r="B33" s="56" t="s">
        <v>50</v>
      </c>
      <c r="C33" s="41" t="s">
        <v>42</v>
      </c>
      <c r="D33" s="431">
        <v>4.5427200000000001E-2</v>
      </c>
      <c r="E33" s="57"/>
      <c r="F33" s="57">
        <v>35000</v>
      </c>
      <c r="G33" s="57"/>
      <c r="H33" s="38">
        <f t="shared" si="10"/>
        <v>1589.952</v>
      </c>
      <c r="I33" s="38">
        <f t="shared" si="8"/>
        <v>1589.952</v>
      </c>
    </row>
    <row r="34" spans="1:9">
      <c r="A34" s="33" t="s">
        <v>51</v>
      </c>
      <c r="B34" s="56" t="s">
        <v>52</v>
      </c>
      <c r="C34" s="41" t="s">
        <v>42</v>
      </c>
      <c r="D34" s="431">
        <v>1.9968E-3</v>
      </c>
      <c r="E34" s="57"/>
      <c r="F34" s="57">
        <v>39400</v>
      </c>
      <c r="G34" s="57"/>
      <c r="H34" s="38">
        <f t="shared" si="10"/>
        <v>78.673919999999995</v>
      </c>
      <c r="I34" s="38">
        <f t="shared" si="8"/>
        <v>78.673919999999995</v>
      </c>
    </row>
    <row r="35" spans="1:9">
      <c r="A35" s="33" t="s">
        <v>53</v>
      </c>
      <c r="B35" s="56" t="s">
        <v>54</v>
      </c>
      <c r="C35" s="41" t="s">
        <v>42</v>
      </c>
      <c r="D35" s="431">
        <v>2.0966400000000003E-2</v>
      </c>
      <c r="E35" s="57"/>
      <c r="F35" s="57">
        <v>40000</v>
      </c>
      <c r="G35" s="57"/>
      <c r="H35" s="38">
        <f t="shared" si="10"/>
        <v>838.65600000000018</v>
      </c>
      <c r="I35" s="38">
        <f t="shared" si="8"/>
        <v>838.65600000000018</v>
      </c>
    </row>
    <row r="36" spans="1:9">
      <c r="A36" s="33" t="s">
        <v>55</v>
      </c>
      <c r="B36" s="56" t="s">
        <v>56</v>
      </c>
      <c r="C36" s="41" t="s">
        <v>42</v>
      </c>
      <c r="D36" s="431">
        <v>1.6023040800000001</v>
      </c>
      <c r="E36" s="57"/>
      <c r="F36" s="57">
        <v>51600</v>
      </c>
      <c r="G36" s="57"/>
      <c r="H36" s="38">
        <f t="shared" si="10"/>
        <v>82678.890528000004</v>
      </c>
      <c r="I36" s="38">
        <f t="shared" si="8"/>
        <v>82678.890528000004</v>
      </c>
    </row>
    <row r="37" spans="1:9">
      <c r="A37" s="33" t="s">
        <v>57</v>
      </c>
      <c r="B37" s="56" t="s">
        <v>58</v>
      </c>
      <c r="C37" s="41" t="s">
        <v>20</v>
      </c>
      <c r="D37" s="432">
        <v>5996</v>
      </c>
      <c r="E37" s="57"/>
      <c r="F37" s="57">
        <v>13</v>
      </c>
      <c r="G37" s="57"/>
      <c r="H37" s="38">
        <f t="shared" si="10"/>
        <v>77948</v>
      </c>
      <c r="I37" s="38">
        <f t="shared" si="8"/>
        <v>77948</v>
      </c>
    </row>
    <row r="38" spans="1:9">
      <c r="A38" s="33" t="s">
        <v>59</v>
      </c>
      <c r="B38" s="56" t="s">
        <v>60</v>
      </c>
      <c r="C38" s="41" t="s">
        <v>9</v>
      </c>
      <c r="D38" s="431">
        <v>2002.23</v>
      </c>
      <c r="E38" s="58">
        <v>2700</v>
      </c>
      <c r="F38" s="57"/>
      <c r="G38" s="57">
        <f t="shared" ref="G38" si="11">D38*E38</f>
        <v>5406021</v>
      </c>
      <c r="H38" s="57"/>
      <c r="I38" s="38">
        <f t="shared" ref="I38" si="12">SUM(G38:H38)</f>
        <v>5406021</v>
      </c>
    </row>
    <row r="39" spans="1:9">
      <c r="A39" s="33" t="s">
        <v>61</v>
      </c>
      <c r="B39" s="56" t="s">
        <v>39</v>
      </c>
      <c r="C39" s="41" t="s">
        <v>9</v>
      </c>
      <c r="D39" s="431">
        <v>444.12900000000002</v>
      </c>
      <c r="E39" s="58"/>
      <c r="F39" s="57">
        <v>5450</v>
      </c>
      <c r="G39" s="57"/>
      <c r="H39" s="57">
        <f t="shared" ref="H39:H53" si="13">D39*F39</f>
        <v>2420503.0500000003</v>
      </c>
      <c r="I39" s="57">
        <f t="shared" ref="I39:I85" si="14">G39+H39</f>
        <v>2420503.0500000003</v>
      </c>
    </row>
    <row r="40" spans="1:9">
      <c r="A40" s="33" t="s">
        <v>62</v>
      </c>
      <c r="B40" s="56" t="s">
        <v>63</v>
      </c>
      <c r="C40" s="41" t="s">
        <v>9</v>
      </c>
      <c r="D40" s="431">
        <v>333.72149999999999</v>
      </c>
      <c r="E40" s="58"/>
      <c r="F40" s="57">
        <v>5400</v>
      </c>
      <c r="G40" s="57"/>
      <c r="H40" s="57">
        <f t="shared" si="13"/>
        <v>1802096.0999999999</v>
      </c>
      <c r="I40" s="57">
        <f t="shared" si="14"/>
        <v>1802096.0999999999</v>
      </c>
    </row>
    <row r="41" spans="1:9">
      <c r="A41" s="33" t="s">
        <v>64</v>
      </c>
      <c r="B41" s="56" t="s">
        <v>65</v>
      </c>
      <c r="C41" s="41" t="s">
        <v>9</v>
      </c>
      <c r="D41" s="431">
        <v>1320.942</v>
      </c>
      <c r="E41" s="58"/>
      <c r="F41" s="57">
        <v>5300</v>
      </c>
      <c r="G41" s="57"/>
      <c r="H41" s="57">
        <f t="shared" si="13"/>
        <v>7000992.5999999996</v>
      </c>
      <c r="I41" s="57">
        <f t="shared" si="14"/>
        <v>7000992.5999999996</v>
      </c>
    </row>
    <row r="42" spans="1:9" s="1" customFormat="1">
      <c r="A42" s="33" t="s">
        <v>66</v>
      </c>
      <c r="B42" s="56" t="s">
        <v>44</v>
      </c>
      <c r="C42" s="41" t="s">
        <v>42</v>
      </c>
      <c r="D42" s="431">
        <v>19.923072000000001</v>
      </c>
      <c r="E42" s="58"/>
      <c r="F42" s="57">
        <v>33500</v>
      </c>
      <c r="G42" s="57"/>
      <c r="H42" s="57">
        <f t="shared" si="13"/>
        <v>667422.91200000001</v>
      </c>
      <c r="I42" s="57">
        <f t="shared" si="14"/>
        <v>667422.91200000001</v>
      </c>
    </row>
    <row r="43" spans="1:9">
      <c r="A43" s="33" t="s">
        <v>67</v>
      </c>
      <c r="B43" s="56" t="s">
        <v>46</v>
      </c>
      <c r="C43" s="41" t="s">
        <v>42</v>
      </c>
      <c r="D43" s="431">
        <v>58.027000000000001</v>
      </c>
      <c r="E43" s="58"/>
      <c r="F43" s="57">
        <v>33500</v>
      </c>
      <c r="G43" s="57"/>
      <c r="H43" s="57">
        <f t="shared" si="13"/>
        <v>1943904.5</v>
      </c>
      <c r="I43" s="57">
        <f t="shared" si="14"/>
        <v>1943904.5</v>
      </c>
    </row>
    <row r="44" spans="1:9">
      <c r="A44" s="33" t="s">
        <v>68</v>
      </c>
      <c r="B44" s="56" t="s">
        <v>48</v>
      </c>
      <c r="C44" s="41" t="s">
        <v>42</v>
      </c>
      <c r="D44" s="431">
        <v>91.286000000000001</v>
      </c>
      <c r="E44" s="58"/>
      <c r="F44" s="57">
        <v>33500</v>
      </c>
      <c r="G44" s="57"/>
      <c r="H44" s="57">
        <f t="shared" si="13"/>
        <v>3058081</v>
      </c>
      <c r="I44" s="57">
        <f t="shared" si="14"/>
        <v>3058081</v>
      </c>
    </row>
    <row r="45" spans="1:9" s="1" customFormat="1">
      <c r="A45" s="33" t="s">
        <v>69</v>
      </c>
      <c r="B45" s="56" t="s">
        <v>70</v>
      </c>
      <c r="C45" s="41" t="s">
        <v>42</v>
      </c>
      <c r="D45" s="431">
        <f>0.194123488+0.0933</f>
        <v>0.287423488</v>
      </c>
      <c r="E45" s="58"/>
      <c r="F45" s="57">
        <v>35000</v>
      </c>
      <c r="G45" s="57"/>
      <c r="H45" s="57">
        <f t="shared" si="13"/>
        <v>10059.82208</v>
      </c>
      <c r="I45" s="57">
        <f t="shared" si="14"/>
        <v>10059.82208</v>
      </c>
    </row>
    <row r="46" spans="1:9">
      <c r="A46" s="33" t="s">
        <v>71</v>
      </c>
      <c r="B46" s="56" t="s">
        <v>52</v>
      </c>
      <c r="C46" s="41" t="s">
        <v>42</v>
      </c>
      <c r="D46" s="431">
        <v>53.826999999999998</v>
      </c>
      <c r="E46" s="58"/>
      <c r="F46" s="57">
        <v>39400</v>
      </c>
      <c r="G46" s="57"/>
      <c r="H46" s="57">
        <f t="shared" si="13"/>
        <v>2120783.7999999998</v>
      </c>
      <c r="I46" s="57">
        <f t="shared" si="14"/>
        <v>2120783.7999999998</v>
      </c>
    </row>
    <row r="47" spans="1:9">
      <c r="A47" s="33" t="s">
        <v>72</v>
      </c>
      <c r="B47" s="56" t="s">
        <v>73</v>
      </c>
      <c r="C47" s="59" t="s">
        <v>42</v>
      </c>
      <c r="D47" s="433">
        <f>0.046/2</f>
        <v>2.3E-2</v>
      </c>
      <c r="E47" s="57"/>
      <c r="F47" s="57">
        <v>35800</v>
      </c>
      <c r="G47" s="57"/>
      <c r="H47" s="57">
        <f t="shared" si="13"/>
        <v>823.4</v>
      </c>
      <c r="I47" s="57">
        <f t="shared" si="14"/>
        <v>823.4</v>
      </c>
    </row>
    <row r="48" spans="1:9">
      <c r="A48" s="33" t="s">
        <v>74</v>
      </c>
      <c r="B48" s="56" t="s">
        <v>75</v>
      </c>
      <c r="C48" s="41" t="s">
        <v>42</v>
      </c>
      <c r="D48" s="431">
        <v>11.952</v>
      </c>
      <c r="E48" s="58"/>
      <c r="F48" s="57">
        <v>40000</v>
      </c>
      <c r="G48" s="57"/>
      <c r="H48" s="57">
        <f t="shared" si="13"/>
        <v>478080</v>
      </c>
      <c r="I48" s="57">
        <f t="shared" si="14"/>
        <v>478080</v>
      </c>
    </row>
    <row r="49" spans="1:9">
      <c r="A49" s="33" t="s">
        <v>76</v>
      </c>
      <c r="B49" s="56" t="s">
        <v>77</v>
      </c>
      <c r="C49" s="41" t="s">
        <v>42</v>
      </c>
      <c r="D49" s="431">
        <v>5.084352</v>
      </c>
      <c r="E49" s="58"/>
      <c r="F49" s="57">
        <v>78272.479999999996</v>
      </c>
      <c r="G49" s="57"/>
      <c r="H49" s="57">
        <f t="shared" si="13"/>
        <v>397964.84023296001</v>
      </c>
      <c r="I49" s="57">
        <f t="shared" si="14"/>
        <v>397964.84023296001</v>
      </c>
    </row>
    <row r="50" spans="1:9" s="1" customFormat="1">
      <c r="A50" s="33" t="s">
        <v>78</v>
      </c>
      <c r="B50" s="56" t="s">
        <v>56</v>
      </c>
      <c r="C50" s="41" t="s">
        <v>42</v>
      </c>
      <c r="D50" s="431">
        <f>0.02*SUM(D42:D49)</f>
        <v>4.8081969497600001</v>
      </c>
      <c r="E50" s="57"/>
      <c r="F50" s="57">
        <v>51600</v>
      </c>
      <c r="G50" s="57"/>
      <c r="H50" s="57">
        <f t="shared" si="13"/>
        <v>248102.96260761601</v>
      </c>
      <c r="I50" s="57">
        <f t="shared" si="14"/>
        <v>248102.96260761601</v>
      </c>
    </row>
    <row r="51" spans="1:9">
      <c r="A51" s="33" t="s">
        <v>79</v>
      </c>
      <c r="B51" s="43" t="s">
        <v>80</v>
      </c>
      <c r="C51" s="44" t="s">
        <v>42</v>
      </c>
      <c r="D51" s="434">
        <v>2.2464000000000001E-2</v>
      </c>
      <c r="E51" s="57"/>
      <c r="F51" s="57">
        <v>46300</v>
      </c>
      <c r="G51" s="57"/>
      <c r="H51" s="57">
        <f t="shared" si="13"/>
        <v>1040.0832</v>
      </c>
      <c r="I51" s="57">
        <f t="shared" si="14"/>
        <v>1040.0832</v>
      </c>
    </row>
    <row r="52" spans="1:9">
      <c r="A52" s="33" t="s">
        <v>81</v>
      </c>
      <c r="B52" s="43" t="s">
        <v>82</v>
      </c>
      <c r="C52" s="44" t="s">
        <v>42</v>
      </c>
      <c r="D52" s="434">
        <v>8.2367999999999997E-2</v>
      </c>
      <c r="E52" s="57"/>
      <c r="F52" s="57">
        <v>46300</v>
      </c>
      <c r="G52" s="57"/>
      <c r="H52" s="57">
        <f t="shared" si="13"/>
        <v>3813.6383999999998</v>
      </c>
      <c r="I52" s="57">
        <f t="shared" si="14"/>
        <v>3813.6383999999998</v>
      </c>
    </row>
    <row r="53" spans="1:9">
      <c r="A53" s="33" t="s">
        <v>83</v>
      </c>
      <c r="B53" s="43" t="s">
        <v>84</v>
      </c>
      <c r="C53" s="44" t="s">
        <v>42</v>
      </c>
      <c r="D53" s="434">
        <v>1.9975000000000001E-3</v>
      </c>
      <c r="E53" s="57"/>
      <c r="F53" s="57">
        <v>44700</v>
      </c>
      <c r="G53" s="57"/>
      <c r="H53" s="57">
        <f t="shared" si="13"/>
        <v>89.288250000000005</v>
      </c>
      <c r="I53" s="57">
        <f t="shared" si="14"/>
        <v>89.288250000000005</v>
      </c>
    </row>
    <row r="54" spans="1:9">
      <c r="A54" s="33" t="s">
        <v>87</v>
      </c>
      <c r="B54" s="43" t="s">
        <v>85</v>
      </c>
      <c r="C54" s="44" t="s">
        <v>20</v>
      </c>
      <c r="D54" s="434">
        <v>1274</v>
      </c>
      <c r="E54" s="57">
        <v>50</v>
      </c>
      <c r="F54" s="57"/>
      <c r="G54" s="57">
        <f>D54*E54</f>
        <v>63700</v>
      </c>
      <c r="H54" s="57"/>
      <c r="I54" s="57">
        <f t="shared" si="14"/>
        <v>63700</v>
      </c>
    </row>
    <row r="55" spans="1:9">
      <c r="A55" s="33" t="s">
        <v>93</v>
      </c>
      <c r="B55" s="43" t="s">
        <v>86</v>
      </c>
      <c r="C55" s="44" t="s">
        <v>20</v>
      </c>
      <c r="D55" s="434">
        <v>1269</v>
      </c>
      <c r="E55" s="57">
        <v>15</v>
      </c>
      <c r="F55" s="57"/>
      <c r="G55" s="57">
        <f>D55*E55</f>
        <v>19035</v>
      </c>
      <c r="H55" s="57"/>
      <c r="I55" s="57">
        <f t="shared" si="14"/>
        <v>19035</v>
      </c>
    </row>
    <row r="56" spans="1:9">
      <c r="A56" s="33" t="s">
        <v>97</v>
      </c>
      <c r="B56" s="40" t="s">
        <v>88</v>
      </c>
      <c r="C56" s="41" t="s">
        <v>3071</v>
      </c>
      <c r="D56" s="431">
        <v>3495.28</v>
      </c>
      <c r="E56" s="58">
        <v>2700</v>
      </c>
      <c r="F56" s="57"/>
      <c r="G56" s="545">
        <f>PRODUCT(D56,E56)</f>
        <v>9437256</v>
      </c>
      <c r="H56" s="57"/>
      <c r="I56" s="57">
        <f t="shared" si="14"/>
        <v>9437256</v>
      </c>
    </row>
    <row r="57" spans="1:9">
      <c r="A57" s="33" t="s">
        <v>99</v>
      </c>
      <c r="B57" s="56" t="s">
        <v>39</v>
      </c>
      <c r="C57" s="41" t="s">
        <v>9</v>
      </c>
      <c r="D57" s="60">
        <v>15.5085</v>
      </c>
      <c r="E57" s="61"/>
      <c r="F57" s="57">
        <v>5450</v>
      </c>
      <c r="G57" s="57"/>
      <c r="H57" s="57">
        <f>D57*F57</f>
        <v>84521.324999999997</v>
      </c>
      <c r="I57" s="57">
        <f t="shared" si="14"/>
        <v>84521.324999999997</v>
      </c>
    </row>
    <row r="58" spans="1:9">
      <c r="A58" s="33" t="s">
        <v>101</v>
      </c>
      <c r="B58" s="56" t="s">
        <v>65</v>
      </c>
      <c r="C58" s="41" t="s">
        <v>9</v>
      </c>
      <c r="D58" s="48">
        <v>3654.3303999999998</v>
      </c>
      <c r="E58" s="61"/>
      <c r="F58" s="57">
        <v>5300</v>
      </c>
      <c r="G58" s="57"/>
      <c r="H58" s="57">
        <f>D58*F58</f>
        <v>19367951.119999997</v>
      </c>
      <c r="I58" s="57">
        <f t="shared" si="14"/>
        <v>19367951.119999997</v>
      </c>
    </row>
    <row r="59" spans="1:9" s="1" customFormat="1">
      <c r="A59" s="33" t="s">
        <v>103</v>
      </c>
      <c r="B59" s="56" t="s">
        <v>44</v>
      </c>
      <c r="C59" s="44" t="s">
        <v>42</v>
      </c>
      <c r="D59" s="63">
        <v>12.913</v>
      </c>
      <c r="E59" s="61"/>
      <c r="F59" s="57">
        <v>33500</v>
      </c>
      <c r="G59" s="57"/>
      <c r="H59" s="57">
        <f t="shared" ref="H59:H71" si="15">D59*F59</f>
        <v>432585.5</v>
      </c>
      <c r="I59" s="57">
        <f t="shared" si="14"/>
        <v>432585.5</v>
      </c>
    </row>
    <row r="60" spans="1:9">
      <c r="A60" s="33" t="s">
        <v>105</v>
      </c>
      <c r="B60" s="56" t="s">
        <v>46</v>
      </c>
      <c r="C60" s="44" t="s">
        <v>42</v>
      </c>
      <c r="D60" s="63">
        <v>10.77284</v>
      </c>
      <c r="E60" s="61"/>
      <c r="F60" s="57">
        <v>33500</v>
      </c>
      <c r="G60" s="57"/>
      <c r="H60" s="57">
        <f t="shared" si="15"/>
        <v>360890.14</v>
      </c>
      <c r="I60" s="57">
        <f t="shared" si="14"/>
        <v>360890.14</v>
      </c>
    </row>
    <row r="61" spans="1:9">
      <c r="A61" s="33" t="s">
        <v>107</v>
      </c>
      <c r="B61" s="56" t="s">
        <v>48</v>
      </c>
      <c r="C61" s="44" t="s">
        <v>42</v>
      </c>
      <c r="D61" s="63">
        <v>4.7123407999999998</v>
      </c>
      <c r="E61" s="61"/>
      <c r="F61" s="57">
        <v>33500</v>
      </c>
      <c r="G61" s="57"/>
      <c r="H61" s="57">
        <f t="shared" si="15"/>
        <v>157863.41680000001</v>
      </c>
      <c r="I61" s="57">
        <f t="shared" si="14"/>
        <v>157863.41680000001</v>
      </c>
    </row>
    <row r="62" spans="1:9" s="1" customFormat="1">
      <c r="A62" s="33" t="s">
        <v>108</v>
      </c>
      <c r="B62" s="56" t="s">
        <v>70</v>
      </c>
      <c r="C62" s="44" t="s">
        <v>42</v>
      </c>
      <c r="D62" s="63">
        <v>334.40357599999999</v>
      </c>
      <c r="E62" s="61"/>
      <c r="F62" s="57">
        <v>35100</v>
      </c>
      <c r="G62" s="57"/>
      <c r="H62" s="57">
        <f t="shared" si="15"/>
        <v>11737565.5176</v>
      </c>
      <c r="I62" s="57">
        <f t="shared" si="14"/>
        <v>11737565.5176</v>
      </c>
    </row>
    <row r="63" spans="1:9">
      <c r="A63" s="33" t="s">
        <v>110</v>
      </c>
      <c r="B63" s="56" t="s">
        <v>52</v>
      </c>
      <c r="C63" s="44" t="s">
        <v>42</v>
      </c>
      <c r="D63" s="63">
        <v>0.42169400000000001</v>
      </c>
      <c r="E63" s="61"/>
      <c r="F63" s="57">
        <v>39400</v>
      </c>
      <c r="G63" s="57"/>
      <c r="H63" s="57">
        <f t="shared" si="15"/>
        <v>16614.743600000002</v>
      </c>
      <c r="I63" s="57">
        <f t="shared" si="14"/>
        <v>16614.743600000002</v>
      </c>
    </row>
    <row r="64" spans="1:9">
      <c r="A64" s="33" t="s">
        <v>2095</v>
      </c>
      <c r="B64" s="56" t="s">
        <v>73</v>
      </c>
      <c r="C64" s="44" t="s">
        <v>42</v>
      </c>
      <c r="D64" s="63">
        <f>(15.6*4+15.6*5+15.6*6+15.6*6+15.6)/1000*1.04</f>
        <v>0.35692800000000008</v>
      </c>
      <c r="E64" s="61"/>
      <c r="F64" s="57">
        <v>35800</v>
      </c>
      <c r="G64" s="57"/>
      <c r="H64" s="57">
        <f t="shared" si="15"/>
        <v>12778.022400000003</v>
      </c>
      <c r="I64" s="57">
        <f t="shared" si="14"/>
        <v>12778.022400000003</v>
      </c>
    </row>
    <row r="65" spans="1:9">
      <c r="A65" s="33" t="s">
        <v>2096</v>
      </c>
      <c r="B65" s="56" t="s">
        <v>75</v>
      </c>
      <c r="C65" s="44" t="s">
        <v>42</v>
      </c>
      <c r="D65" s="63">
        <v>32.247903999999998</v>
      </c>
      <c r="E65" s="61"/>
      <c r="F65" s="57">
        <v>40000</v>
      </c>
      <c r="G65" s="57"/>
      <c r="H65" s="57">
        <f t="shared" si="15"/>
        <v>1289916.1599999999</v>
      </c>
      <c r="I65" s="57">
        <f t="shared" si="14"/>
        <v>1289916.1599999999</v>
      </c>
    </row>
    <row r="66" spans="1:9">
      <c r="A66" s="33" t="s">
        <v>2097</v>
      </c>
      <c r="B66" s="56" t="s">
        <v>56</v>
      </c>
      <c r="C66" s="41" t="s">
        <v>42</v>
      </c>
      <c r="D66" s="48">
        <f>0.02*(SUM(D59:D65))</f>
        <v>7.9165656559999995</v>
      </c>
      <c r="E66" s="61"/>
      <c r="F66" s="57">
        <v>51600</v>
      </c>
      <c r="G66" s="57"/>
      <c r="H66" s="57">
        <f t="shared" si="15"/>
        <v>408494.78784959996</v>
      </c>
      <c r="I66" s="57">
        <f t="shared" si="14"/>
        <v>408494.78784959996</v>
      </c>
    </row>
    <row r="67" spans="1:9">
      <c r="A67" s="33" t="s">
        <v>2098</v>
      </c>
      <c r="B67" s="43" t="s">
        <v>80</v>
      </c>
      <c r="C67" s="44" t="s">
        <v>42</v>
      </c>
      <c r="D67" s="63">
        <v>0.15981000000000001</v>
      </c>
      <c r="E67" s="61"/>
      <c r="F67" s="57">
        <v>46300</v>
      </c>
      <c r="G67" s="57"/>
      <c r="H67" s="57">
        <f t="shared" si="15"/>
        <v>7399.2030000000004</v>
      </c>
      <c r="I67" s="57">
        <f t="shared" si="14"/>
        <v>7399.2030000000004</v>
      </c>
    </row>
    <row r="68" spans="1:9">
      <c r="A68" s="33" t="s">
        <v>2099</v>
      </c>
      <c r="B68" s="43" t="s">
        <v>82</v>
      </c>
      <c r="C68" s="44" t="s">
        <v>42</v>
      </c>
      <c r="D68" s="63">
        <f>(1*0.471*64)/1000</f>
        <v>3.0143999999999997E-2</v>
      </c>
      <c r="E68" s="61"/>
      <c r="F68" s="57">
        <v>43000</v>
      </c>
      <c r="G68" s="57"/>
      <c r="H68" s="57">
        <f t="shared" si="15"/>
        <v>1296.1919999999998</v>
      </c>
      <c r="I68" s="57">
        <f t="shared" si="14"/>
        <v>1296.1919999999998</v>
      </c>
    </row>
    <row r="69" spans="1:9">
      <c r="A69" s="33" t="s">
        <v>2100</v>
      </c>
      <c r="B69" s="43" t="s">
        <v>89</v>
      </c>
      <c r="C69" s="44" t="s">
        <v>42</v>
      </c>
      <c r="D69" s="66">
        <v>1.3934599999999999</v>
      </c>
      <c r="E69" s="61"/>
      <c r="F69" s="57">
        <v>49067.5</v>
      </c>
      <c r="G69" s="57"/>
      <c r="H69" s="57">
        <f t="shared" si="15"/>
        <v>68373.598549999995</v>
      </c>
      <c r="I69" s="57">
        <f t="shared" si="14"/>
        <v>68373.598549999995</v>
      </c>
    </row>
    <row r="70" spans="1:9">
      <c r="A70" s="33" t="s">
        <v>2101</v>
      </c>
      <c r="B70" s="43" t="s">
        <v>90</v>
      </c>
      <c r="C70" s="44" t="s">
        <v>42</v>
      </c>
      <c r="D70" s="66">
        <v>0.32724999999999999</v>
      </c>
      <c r="E70" s="61"/>
      <c r="F70" s="57">
        <v>49067.5</v>
      </c>
      <c r="G70" s="57"/>
      <c r="H70" s="57">
        <f t="shared" si="15"/>
        <v>16057.339375</v>
      </c>
      <c r="I70" s="57">
        <f t="shared" si="14"/>
        <v>16057.339375</v>
      </c>
    </row>
    <row r="71" spans="1:9">
      <c r="A71" s="33" t="s">
        <v>2102</v>
      </c>
      <c r="B71" s="40" t="s">
        <v>91</v>
      </c>
      <c r="C71" s="41" t="s">
        <v>9</v>
      </c>
      <c r="D71" s="60">
        <v>20.5289</v>
      </c>
      <c r="E71" s="61"/>
      <c r="F71" s="57">
        <v>4458</v>
      </c>
      <c r="G71" s="57"/>
      <c r="H71" s="57">
        <f t="shared" si="15"/>
        <v>91517.836200000005</v>
      </c>
      <c r="I71" s="57">
        <f t="shared" si="14"/>
        <v>91517.836200000005</v>
      </c>
    </row>
    <row r="72" spans="1:9">
      <c r="A72" s="33" t="s">
        <v>112</v>
      </c>
      <c r="B72" s="40" t="s">
        <v>92</v>
      </c>
      <c r="C72" s="41" t="s">
        <v>20</v>
      </c>
      <c r="D72" s="435">
        <v>19409</v>
      </c>
      <c r="E72" s="436">
        <v>15</v>
      </c>
      <c r="F72" s="437"/>
      <c r="G72" s="437">
        <f>D72*E72</f>
        <v>291135</v>
      </c>
      <c r="H72" s="437"/>
      <c r="I72" s="437">
        <f t="shared" si="14"/>
        <v>291135</v>
      </c>
    </row>
    <row r="73" spans="1:9" s="1" customFormat="1">
      <c r="A73" s="33" t="s">
        <v>116</v>
      </c>
      <c r="B73" s="40" t="s">
        <v>94</v>
      </c>
      <c r="C73" s="41" t="s">
        <v>9</v>
      </c>
      <c r="D73" s="435">
        <f>1.34*2</f>
        <v>2.68</v>
      </c>
      <c r="E73" s="436">
        <v>2700</v>
      </c>
      <c r="F73" s="437"/>
      <c r="G73" s="437">
        <f>D73*E73</f>
        <v>7236</v>
      </c>
      <c r="H73" s="437"/>
      <c r="I73" s="437">
        <f t="shared" si="14"/>
        <v>7236</v>
      </c>
    </row>
    <row r="74" spans="1:9">
      <c r="A74" s="33" t="s">
        <v>2103</v>
      </c>
      <c r="B74" s="56" t="s">
        <v>39</v>
      </c>
      <c r="C74" s="41" t="s">
        <v>9</v>
      </c>
      <c r="D74" s="435">
        <f>1.34*2*1.05</f>
        <v>2.8140000000000005</v>
      </c>
      <c r="E74" s="437"/>
      <c r="F74" s="437">
        <v>5450</v>
      </c>
      <c r="G74" s="437"/>
      <c r="H74" s="437">
        <f>D74*F74</f>
        <v>15336.300000000003</v>
      </c>
      <c r="I74" s="437">
        <f t="shared" si="14"/>
        <v>15336.300000000003</v>
      </c>
    </row>
    <row r="75" spans="1:9">
      <c r="A75" s="33" t="s">
        <v>2104</v>
      </c>
      <c r="B75" s="56" t="s">
        <v>48</v>
      </c>
      <c r="C75" s="41" t="s">
        <v>42</v>
      </c>
      <c r="D75" s="438">
        <f>(64.5*2)/1000*1.04</f>
        <v>0.13416</v>
      </c>
      <c r="E75" s="436"/>
      <c r="F75" s="437">
        <v>33500</v>
      </c>
      <c r="G75" s="437"/>
      <c r="H75" s="437">
        <f>D75*F75</f>
        <v>4494.3599999999997</v>
      </c>
      <c r="I75" s="437">
        <f t="shared" si="14"/>
        <v>4494.3599999999997</v>
      </c>
    </row>
    <row r="76" spans="1:9">
      <c r="A76" s="33" t="s">
        <v>2105</v>
      </c>
      <c r="B76" s="56" t="s">
        <v>52</v>
      </c>
      <c r="C76" s="41" t="s">
        <v>42</v>
      </c>
      <c r="D76" s="438">
        <f>(61.3*2)/1000*1.04</f>
        <v>0.12750400000000001</v>
      </c>
      <c r="E76" s="436"/>
      <c r="F76" s="437">
        <v>39400</v>
      </c>
      <c r="G76" s="437"/>
      <c r="H76" s="437">
        <f>D76*F76</f>
        <v>5023.6576000000005</v>
      </c>
      <c r="I76" s="437">
        <f t="shared" si="14"/>
        <v>5023.6576000000005</v>
      </c>
    </row>
    <row r="77" spans="1:9">
      <c r="A77" s="33" t="s">
        <v>2106</v>
      </c>
      <c r="B77" s="56" t="s">
        <v>56</v>
      </c>
      <c r="C77" s="41" t="s">
        <v>42</v>
      </c>
      <c r="D77" s="438">
        <f>0.02*(SUM(D75:D76))</f>
        <v>5.2332799999999999E-3</v>
      </c>
      <c r="E77" s="437"/>
      <c r="F77" s="437">
        <v>51600</v>
      </c>
      <c r="G77" s="437"/>
      <c r="H77" s="437">
        <f>D77*F77</f>
        <v>270.03724799999998</v>
      </c>
      <c r="I77" s="437">
        <f t="shared" si="14"/>
        <v>270.03724799999998</v>
      </c>
    </row>
    <row r="78" spans="1:9">
      <c r="A78" s="33" t="s">
        <v>2107</v>
      </c>
      <c r="B78" s="40" t="s">
        <v>95</v>
      </c>
      <c r="C78" s="41" t="s">
        <v>96</v>
      </c>
      <c r="D78" s="438">
        <f>0.246*2</f>
        <v>0.49199999999999999</v>
      </c>
      <c r="E78" s="436"/>
      <c r="F78" s="437">
        <v>2333.33</v>
      </c>
      <c r="G78" s="437"/>
      <c r="H78" s="437">
        <f>D78*F78</f>
        <v>1147.99836</v>
      </c>
      <c r="I78" s="437">
        <f t="shared" si="14"/>
        <v>1147.99836</v>
      </c>
    </row>
    <row r="79" spans="1:9">
      <c r="A79" s="33" t="s">
        <v>118</v>
      </c>
      <c r="B79" s="40" t="s">
        <v>2108</v>
      </c>
      <c r="C79" s="69" t="s">
        <v>9</v>
      </c>
      <c r="D79" s="439">
        <f>1.32*1.05+4.39*1.05</f>
        <v>5.9954999999999998</v>
      </c>
      <c r="E79" s="58">
        <v>1200</v>
      </c>
      <c r="F79" s="437"/>
      <c r="G79" s="437">
        <f>D79*E79</f>
        <v>7194.5999999999995</v>
      </c>
      <c r="H79" s="437"/>
      <c r="I79" s="437">
        <f t="shared" si="14"/>
        <v>7194.5999999999995</v>
      </c>
    </row>
    <row r="80" spans="1:9">
      <c r="A80" s="33" t="s">
        <v>121</v>
      </c>
      <c r="B80" s="68" t="s">
        <v>102</v>
      </c>
      <c r="C80" s="69" t="s">
        <v>9</v>
      </c>
      <c r="D80" s="439">
        <f>1.32*1.05+4.39*1.05</f>
        <v>5.9954999999999998</v>
      </c>
      <c r="E80" s="58"/>
      <c r="F80" s="57">
        <v>4300</v>
      </c>
      <c r="G80" s="57"/>
      <c r="H80" s="57">
        <f t="shared" ref="H80" si="16">D80*F80</f>
        <v>25780.649999999998</v>
      </c>
      <c r="I80" s="437">
        <f t="shared" si="14"/>
        <v>25780.649999999998</v>
      </c>
    </row>
    <row r="81" spans="1:9">
      <c r="A81" s="33" t="s">
        <v>126</v>
      </c>
      <c r="B81" s="40" t="s">
        <v>98</v>
      </c>
      <c r="C81" s="205" t="s">
        <v>9</v>
      </c>
      <c r="D81" s="227">
        <v>34.92</v>
      </c>
      <c r="E81" s="58">
        <v>2700</v>
      </c>
      <c r="F81" s="57"/>
      <c r="G81" s="437">
        <f>D81*E81</f>
        <v>94284</v>
      </c>
      <c r="H81" s="437"/>
      <c r="I81" s="437">
        <f t="shared" ref="I81" si="17">G81+H81</f>
        <v>94284</v>
      </c>
    </row>
    <row r="82" spans="1:9">
      <c r="A82" s="33" t="s">
        <v>127</v>
      </c>
      <c r="B82" s="68" t="s">
        <v>100</v>
      </c>
      <c r="C82" s="69" t="s">
        <v>9</v>
      </c>
      <c r="D82" s="439">
        <f>11.62*1.05+11.69*1.05+2.82*1.08+3.08*1.05</f>
        <v>30.755100000000002</v>
      </c>
      <c r="E82" s="58"/>
      <c r="F82" s="57">
        <v>5450</v>
      </c>
      <c r="G82" s="57"/>
      <c r="H82" s="57">
        <f t="shared" ref="H82:H87" si="18">D82*F82</f>
        <v>167615.29500000001</v>
      </c>
      <c r="I82" s="57">
        <f t="shared" si="14"/>
        <v>167615.29500000001</v>
      </c>
    </row>
    <row r="83" spans="1:9">
      <c r="A83" s="33" t="s">
        <v>129</v>
      </c>
      <c r="B83" s="68" t="s">
        <v>102</v>
      </c>
      <c r="C83" s="69" t="s">
        <v>9</v>
      </c>
      <c r="D83" s="439">
        <f>1.32*1.05+4.39*1.05</f>
        <v>5.9954999999999998</v>
      </c>
      <c r="E83" s="58"/>
      <c r="F83" s="57">
        <v>4300</v>
      </c>
      <c r="G83" s="57"/>
      <c r="H83" s="57">
        <f t="shared" si="18"/>
        <v>25780.649999999998</v>
      </c>
      <c r="I83" s="57">
        <f t="shared" si="14"/>
        <v>25780.649999999998</v>
      </c>
    </row>
    <row r="84" spans="1:9">
      <c r="A84" s="33" t="s">
        <v>131</v>
      </c>
      <c r="B84" s="70" t="s">
        <v>104</v>
      </c>
      <c r="C84" s="71" t="s">
        <v>42</v>
      </c>
      <c r="D84" s="440">
        <v>3.67</v>
      </c>
      <c r="E84" s="58"/>
      <c r="F84" s="57">
        <v>33500</v>
      </c>
      <c r="G84" s="55"/>
      <c r="H84" s="57">
        <f t="shared" si="18"/>
        <v>122945</v>
      </c>
      <c r="I84" s="57">
        <f t="shared" si="14"/>
        <v>122945</v>
      </c>
    </row>
    <row r="85" spans="1:9">
      <c r="A85" s="33" t="s">
        <v>2109</v>
      </c>
      <c r="B85" s="70" t="s">
        <v>106</v>
      </c>
      <c r="C85" s="71" t="s">
        <v>42</v>
      </c>
      <c r="D85" s="440">
        <v>0.09</v>
      </c>
      <c r="E85" s="58"/>
      <c r="F85" s="57">
        <v>39400</v>
      </c>
      <c r="G85" s="55"/>
      <c r="H85" s="57">
        <f t="shared" si="18"/>
        <v>3546</v>
      </c>
      <c r="I85" s="57">
        <f t="shared" si="14"/>
        <v>3546</v>
      </c>
    </row>
    <row r="86" spans="1:9">
      <c r="A86" s="33" t="s">
        <v>2110</v>
      </c>
      <c r="B86" s="56" t="s">
        <v>56</v>
      </c>
      <c r="C86" s="41" t="s">
        <v>42</v>
      </c>
      <c r="D86" s="48">
        <f>0.02*(SUM(D84:D85))</f>
        <v>7.5200000000000003E-2</v>
      </c>
      <c r="E86" s="57"/>
      <c r="F86" s="57">
        <v>51600</v>
      </c>
      <c r="G86" s="57"/>
      <c r="H86" s="57">
        <f t="shared" si="18"/>
        <v>3880.32</v>
      </c>
      <c r="I86" s="57">
        <f t="shared" ref="I86:I104" si="19">G86+H86</f>
        <v>3880.32</v>
      </c>
    </row>
    <row r="87" spans="1:9">
      <c r="A87" s="33" t="s">
        <v>2111</v>
      </c>
      <c r="B87" s="73" t="s">
        <v>109</v>
      </c>
      <c r="C87" s="69" t="s">
        <v>9</v>
      </c>
      <c r="D87" s="432">
        <f>((1.05+0.78+1.13+0.84+0.84+1.12+3.69+1.43+0.9+1.06+1+0.84+1.16+4.715+1.065)*0.15*0.27)*1.05+(3.31*0.15*0.27)*1.05</f>
        <v>1.0601482500000001</v>
      </c>
      <c r="E87" s="441"/>
      <c r="F87" s="442">
        <v>4458</v>
      </c>
      <c r="G87" s="57"/>
      <c r="H87" s="57">
        <f t="shared" si="18"/>
        <v>4726.1408985000007</v>
      </c>
      <c r="I87" s="57">
        <f t="shared" si="19"/>
        <v>4726.1408985000007</v>
      </c>
    </row>
    <row r="88" spans="1:9">
      <c r="A88" s="33" t="s">
        <v>134</v>
      </c>
      <c r="B88" s="40" t="s">
        <v>2112</v>
      </c>
      <c r="C88" s="41" t="s">
        <v>20</v>
      </c>
      <c r="D88" s="48">
        <v>49</v>
      </c>
      <c r="E88" s="67">
        <v>1100</v>
      </c>
      <c r="F88" s="62"/>
      <c r="G88" s="57">
        <f>D88*E88</f>
        <v>53900</v>
      </c>
      <c r="H88" s="57"/>
      <c r="I88" s="57">
        <f t="shared" si="19"/>
        <v>53900</v>
      </c>
    </row>
    <row r="89" spans="1:9">
      <c r="A89" s="33" t="s">
        <v>136</v>
      </c>
      <c r="B89" s="40" t="s">
        <v>113</v>
      </c>
      <c r="C89" s="41" t="s">
        <v>20</v>
      </c>
      <c r="D89" s="48">
        <v>49</v>
      </c>
      <c r="E89" s="67"/>
      <c r="F89" s="62">
        <v>15800</v>
      </c>
      <c r="G89" s="57"/>
      <c r="H89" s="57">
        <f>D89*F89</f>
        <v>774200</v>
      </c>
      <c r="I89" s="57">
        <f t="shared" si="19"/>
        <v>774200</v>
      </c>
    </row>
    <row r="90" spans="1:9">
      <c r="A90" s="33" t="s">
        <v>137</v>
      </c>
      <c r="B90" s="40" t="s">
        <v>114</v>
      </c>
      <c r="C90" s="41" t="s">
        <v>42</v>
      </c>
      <c r="D90" s="48">
        <f>3.77*1.2*49/1000</f>
        <v>0.22167599999999998</v>
      </c>
      <c r="E90" s="67"/>
      <c r="F90" s="62">
        <v>44100</v>
      </c>
      <c r="G90" s="57"/>
      <c r="H90" s="57">
        <f>D90*F90</f>
        <v>9775.9115999999995</v>
      </c>
      <c r="I90" s="57">
        <f t="shared" si="19"/>
        <v>9775.9115999999995</v>
      </c>
    </row>
    <row r="91" spans="1:9">
      <c r="A91" s="33" t="s">
        <v>2113</v>
      </c>
      <c r="B91" s="40" t="s">
        <v>115</v>
      </c>
      <c r="C91" s="41" t="s">
        <v>20</v>
      </c>
      <c r="D91" s="48">
        <f>2*49</f>
        <v>98</v>
      </c>
      <c r="E91" s="67"/>
      <c r="F91" s="62">
        <v>27.96</v>
      </c>
      <c r="G91" s="57"/>
      <c r="H91" s="57">
        <f>D91*F91</f>
        <v>2740.08</v>
      </c>
      <c r="I91" s="57">
        <f t="shared" si="19"/>
        <v>2740.08</v>
      </c>
    </row>
    <row r="92" spans="1:9">
      <c r="A92" s="443" t="s">
        <v>2114</v>
      </c>
      <c r="B92" s="40" t="s">
        <v>2116</v>
      </c>
      <c r="C92" s="41" t="s">
        <v>42</v>
      </c>
      <c r="D92" s="48">
        <v>2.5</v>
      </c>
      <c r="E92" s="67">
        <v>25000</v>
      </c>
      <c r="F92" s="62"/>
      <c r="G92" s="57">
        <f>D92*E92</f>
        <v>62500</v>
      </c>
      <c r="H92" s="57"/>
      <c r="I92" s="57">
        <f t="shared" si="19"/>
        <v>62500</v>
      </c>
    </row>
    <row r="93" spans="1:9">
      <c r="A93" s="443" t="s">
        <v>2115</v>
      </c>
      <c r="B93" s="40" t="s">
        <v>117</v>
      </c>
      <c r="C93" s="41" t="s">
        <v>42</v>
      </c>
      <c r="D93" s="48">
        <v>2.5</v>
      </c>
      <c r="E93" s="67"/>
      <c r="F93" s="62">
        <v>45000</v>
      </c>
      <c r="G93" s="57"/>
      <c r="H93" s="57">
        <f>D93*F93</f>
        <v>112500</v>
      </c>
      <c r="I93" s="545">
        <f t="shared" si="19"/>
        <v>112500</v>
      </c>
    </row>
    <row r="94" spans="1:9" s="1" customFormat="1">
      <c r="A94" s="33" t="s">
        <v>2117</v>
      </c>
      <c r="B94" s="40" t="s">
        <v>119</v>
      </c>
      <c r="C94" s="41" t="s">
        <v>120</v>
      </c>
      <c r="D94" s="48">
        <v>159.69999999999999</v>
      </c>
      <c r="E94" s="67">
        <v>150</v>
      </c>
      <c r="F94" s="62"/>
      <c r="G94" s="57">
        <f>D94*E94</f>
        <v>23955</v>
      </c>
      <c r="H94" s="57"/>
      <c r="I94" s="57">
        <f t="shared" si="19"/>
        <v>23955</v>
      </c>
    </row>
    <row r="95" spans="1:9">
      <c r="A95" s="33" t="s">
        <v>2118</v>
      </c>
      <c r="B95" s="40" t="s">
        <v>122</v>
      </c>
      <c r="C95" s="41" t="s">
        <v>120</v>
      </c>
      <c r="D95" s="48">
        <v>166.08799999999999</v>
      </c>
      <c r="E95" s="74"/>
      <c r="F95" s="37">
        <v>321</v>
      </c>
      <c r="G95" s="57"/>
      <c r="H95" s="57">
        <f>D95*F95</f>
        <v>53314.248</v>
      </c>
      <c r="I95" s="57">
        <f t="shared" si="19"/>
        <v>53314.248</v>
      </c>
    </row>
    <row r="96" spans="1:9">
      <c r="A96" s="33" t="s">
        <v>2119</v>
      </c>
      <c r="B96" s="40" t="s">
        <v>123</v>
      </c>
      <c r="C96" s="41" t="s">
        <v>20</v>
      </c>
      <c r="D96" s="48">
        <v>160</v>
      </c>
      <c r="E96" s="74"/>
      <c r="F96" s="37">
        <v>47</v>
      </c>
      <c r="G96" s="57"/>
      <c r="H96" s="57">
        <f t="shared" ref="H96:H97" si="20">D96*F96</f>
        <v>7520</v>
      </c>
      <c r="I96" s="57">
        <f t="shared" si="19"/>
        <v>7520</v>
      </c>
    </row>
    <row r="97" spans="1:11">
      <c r="A97" s="33" t="s">
        <v>2120</v>
      </c>
      <c r="B97" s="40" t="s">
        <v>124</v>
      </c>
      <c r="C97" s="41" t="s">
        <v>125</v>
      </c>
      <c r="D97" s="48">
        <v>57.491999999999997</v>
      </c>
      <c r="E97" s="74"/>
      <c r="F97" s="37">
        <v>56</v>
      </c>
      <c r="G97" s="57"/>
      <c r="H97" s="57">
        <f t="shared" si="20"/>
        <v>3219.5519999999997</v>
      </c>
      <c r="I97" s="57">
        <f t="shared" si="19"/>
        <v>3219.5519999999997</v>
      </c>
    </row>
    <row r="98" spans="1:11">
      <c r="A98" s="33" t="s">
        <v>2122</v>
      </c>
      <c r="B98" s="40" t="s">
        <v>2121</v>
      </c>
      <c r="C98" s="80" t="s">
        <v>111</v>
      </c>
      <c r="D98" s="48">
        <f>528+135.1</f>
        <v>663.1</v>
      </c>
      <c r="E98" s="37">
        <v>60</v>
      </c>
      <c r="F98" s="37"/>
      <c r="G98" s="57">
        <f>D98*E98</f>
        <v>39786</v>
      </c>
      <c r="H98" s="57"/>
      <c r="I98" s="57">
        <f t="shared" si="19"/>
        <v>39786</v>
      </c>
    </row>
    <row r="99" spans="1:11">
      <c r="A99" s="33" t="s">
        <v>2123</v>
      </c>
      <c r="B99" s="40" t="s">
        <v>128</v>
      </c>
      <c r="C99" s="41" t="s">
        <v>111</v>
      </c>
      <c r="D99" s="48">
        <v>1646.9639999999999</v>
      </c>
      <c r="E99" s="37"/>
      <c r="F99" s="37">
        <v>209.96</v>
      </c>
      <c r="G99" s="57"/>
      <c r="H99" s="57">
        <f t="shared" ref="H99:H104" si="21">D99*F99</f>
        <v>345796.56144000002</v>
      </c>
      <c r="I99" s="57">
        <f t="shared" si="19"/>
        <v>345796.56144000002</v>
      </c>
    </row>
    <row r="100" spans="1:11">
      <c r="A100" s="33" t="s">
        <v>2124</v>
      </c>
      <c r="B100" s="40" t="s">
        <v>130</v>
      </c>
      <c r="C100" s="41" t="s">
        <v>125</v>
      </c>
      <c r="D100" s="48">
        <f>184.8*1.25</f>
        <v>231</v>
      </c>
      <c r="E100" s="37"/>
      <c r="F100" s="37">
        <v>108.33</v>
      </c>
      <c r="G100" s="57"/>
      <c r="H100" s="57">
        <f t="shared" si="21"/>
        <v>25024.23</v>
      </c>
      <c r="I100" s="57">
        <f t="shared" si="19"/>
        <v>25024.23</v>
      </c>
    </row>
    <row r="101" spans="1:11">
      <c r="A101" s="33" t="s">
        <v>2125</v>
      </c>
      <c r="B101" s="40" t="s">
        <v>132</v>
      </c>
      <c r="C101" s="41" t="s">
        <v>133</v>
      </c>
      <c r="D101" s="48">
        <f>ROUND(2*D98/100,0)</f>
        <v>13</v>
      </c>
      <c r="E101" s="37"/>
      <c r="F101" s="37">
        <v>1095</v>
      </c>
      <c r="G101" s="57"/>
      <c r="H101" s="57">
        <f t="shared" si="21"/>
        <v>14235</v>
      </c>
      <c r="I101" s="57">
        <f t="shared" si="19"/>
        <v>14235</v>
      </c>
    </row>
    <row r="102" spans="1:11" s="1" customFormat="1">
      <c r="A102" s="33" t="s">
        <v>2126</v>
      </c>
      <c r="B102" s="40" t="s">
        <v>135</v>
      </c>
      <c r="C102" s="41" t="s">
        <v>111</v>
      </c>
      <c r="D102" s="48">
        <v>260.624593333333</v>
      </c>
      <c r="E102" s="37">
        <v>200</v>
      </c>
      <c r="F102" s="37"/>
      <c r="G102" s="57">
        <f>D102*E102</f>
        <v>52124.918666666599</v>
      </c>
      <c r="H102" s="57"/>
      <c r="I102" s="57">
        <f t="shared" si="19"/>
        <v>52124.918666666599</v>
      </c>
    </row>
    <row r="103" spans="1:11">
      <c r="A103" s="33" t="s">
        <v>2127</v>
      </c>
      <c r="B103" s="40" t="s">
        <v>91</v>
      </c>
      <c r="C103" s="41" t="s">
        <v>9</v>
      </c>
      <c r="D103" s="48">
        <v>26.844333113333299</v>
      </c>
      <c r="E103" s="37"/>
      <c r="F103" s="37">
        <v>4458</v>
      </c>
      <c r="G103" s="57"/>
      <c r="H103" s="57">
        <f t="shared" si="21"/>
        <v>119672.03701923984</v>
      </c>
      <c r="I103" s="57">
        <f t="shared" si="19"/>
        <v>119672.03701923984</v>
      </c>
    </row>
    <row r="104" spans="1:11">
      <c r="A104" s="33" t="s">
        <v>2128</v>
      </c>
      <c r="B104" s="40" t="s">
        <v>138</v>
      </c>
      <c r="C104" s="41" t="s">
        <v>20</v>
      </c>
      <c r="D104" s="48">
        <v>26</v>
      </c>
      <c r="E104" s="37"/>
      <c r="F104" s="37">
        <v>305</v>
      </c>
      <c r="G104" s="57"/>
      <c r="H104" s="57">
        <f t="shared" si="21"/>
        <v>7930</v>
      </c>
      <c r="I104" s="57">
        <f t="shared" si="19"/>
        <v>7930</v>
      </c>
    </row>
    <row r="105" spans="1:11">
      <c r="A105" s="27"/>
      <c r="B105" s="427" t="s">
        <v>2085</v>
      </c>
      <c r="C105" s="533" t="s">
        <v>2129</v>
      </c>
      <c r="D105" s="534"/>
      <c r="E105" s="534"/>
      <c r="F105" s="535"/>
      <c r="G105" s="32">
        <f>SUM(G25:G104)</f>
        <v>16989967.51866667</v>
      </c>
      <c r="H105" s="32">
        <f t="shared" ref="H105:I105" si="22">SUM(H25:H104)</f>
        <v>64191574.5455589</v>
      </c>
      <c r="I105" s="32">
        <f>SUM(I25:I104)</f>
        <v>81181542.064225569</v>
      </c>
      <c r="K105" s="550"/>
    </row>
    <row r="106" spans="1:11">
      <c r="A106" s="27"/>
      <c r="B106" s="427" t="s">
        <v>2088</v>
      </c>
      <c r="C106" s="530"/>
      <c r="D106" s="531"/>
      <c r="E106" s="531"/>
      <c r="F106" s="532"/>
      <c r="G106" s="32">
        <f>PRODUCT(G105,1/1.2,0.2)</f>
        <v>2831661.2531111119</v>
      </c>
      <c r="H106" s="32">
        <f>PRODUCT(H105,1/1.2,0.2)</f>
        <v>10698595.757593151</v>
      </c>
      <c r="I106" s="32">
        <f>PRODUCT(I105,1/1.2,0.2)</f>
        <v>13530257.010704262</v>
      </c>
    </row>
    <row r="107" spans="1:11">
      <c r="A107" s="27"/>
      <c r="B107" s="28" t="s">
        <v>2130</v>
      </c>
      <c r="C107" s="29"/>
      <c r="D107" s="46"/>
      <c r="E107" s="31"/>
      <c r="F107" s="31"/>
      <c r="G107" s="32"/>
      <c r="H107" s="32"/>
      <c r="I107" s="32"/>
    </row>
    <row r="108" spans="1:11" s="1" customFormat="1">
      <c r="A108" s="33" t="s">
        <v>139</v>
      </c>
      <c r="B108" s="56" t="s">
        <v>140</v>
      </c>
      <c r="C108" s="41" t="s">
        <v>9</v>
      </c>
      <c r="D108" s="81">
        <f>(152.59+132.12*23+159.5)*0.25</f>
        <v>837.71250000000009</v>
      </c>
      <c r="E108" s="37">
        <v>1650</v>
      </c>
      <c r="F108" s="37"/>
      <c r="G108" s="38">
        <f t="shared" ref="G108:G137" si="23">D108*E108</f>
        <v>1382225.6250000002</v>
      </c>
      <c r="H108" s="38"/>
      <c r="I108" s="38">
        <f t="shared" ref="I108:I166" si="24">G108+H108</f>
        <v>1382225.6250000002</v>
      </c>
    </row>
    <row r="109" spans="1:11" s="1" customFormat="1">
      <c r="A109" s="33" t="s">
        <v>142</v>
      </c>
      <c r="B109" s="77" t="s">
        <v>141</v>
      </c>
      <c r="C109" s="78" t="s">
        <v>9</v>
      </c>
      <c r="D109" s="79">
        <f>0.02*0.2*25*74.5</f>
        <v>7.45</v>
      </c>
      <c r="E109" s="37"/>
      <c r="F109" s="37">
        <v>3900</v>
      </c>
      <c r="G109" s="38"/>
      <c r="H109" s="38">
        <f>D109*F109</f>
        <v>29055</v>
      </c>
      <c r="I109" s="38">
        <f t="shared" si="24"/>
        <v>29055</v>
      </c>
    </row>
    <row r="110" spans="1:11">
      <c r="A110" s="33" t="s">
        <v>144</v>
      </c>
      <c r="B110" s="56" t="s">
        <v>143</v>
      </c>
      <c r="C110" s="80" t="s">
        <v>9</v>
      </c>
      <c r="D110" s="81">
        <f>D108*1.01</f>
        <v>846.08962500000007</v>
      </c>
      <c r="E110" s="37"/>
      <c r="F110" s="74">
        <v>3100</v>
      </c>
      <c r="G110" s="38"/>
      <c r="H110" s="38">
        <f t="shared" ref="H110:H166" si="25">D110*F110</f>
        <v>2622877.8375000004</v>
      </c>
      <c r="I110" s="38">
        <f t="shared" si="24"/>
        <v>2622877.8375000004</v>
      </c>
    </row>
    <row r="111" spans="1:11">
      <c r="A111" s="33" t="s">
        <v>147</v>
      </c>
      <c r="B111" s="56" t="s">
        <v>145</v>
      </c>
      <c r="C111" s="41" t="s">
        <v>146</v>
      </c>
      <c r="D111" s="82">
        <f>PRODUCT(D110)</f>
        <v>846.08962500000007</v>
      </c>
      <c r="E111" s="37"/>
      <c r="F111" s="74">
        <v>160</v>
      </c>
      <c r="G111" s="38"/>
      <c r="H111" s="38">
        <f t="shared" si="25"/>
        <v>135374.34000000003</v>
      </c>
      <c r="I111" s="38">
        <f t="shared" si="24"/>
        <v>135374.34000000003</v>
      </c>
    </row>
    <row r="112" spans="1:11">
      <c r="A112" s="33" t="s">
        <v>149</v>
      </c>
      <c r="B112" s="56" t="s">
        <v>148</v>
      </c>
      <c r="C112" s="41" t="s">
        <v>42</v>
      </c>
      <c r="D112" s="81">
        <f>2*0.25*8.5/1000</f>
        <v>4.2500000000000003E-3</v>
      </c>
      <c r="E112" s="37"/>
      <c r="F112" s="74">
        <v>45950</v>
      </c>
      <c r="G112" s="38"/>
      <c r="H112" s="38">
        <f t="shared" si="25"/>
        <v>195.28750000000002</v>
      </c>
      <c r="I112" s="38">
        <f t="shared" si="24"/>
        <v>195.28750000000002</v>
      </c>
    </row>
    <row r="113" spans="1:9">
      <c r="A113" s="33" t="s">
        <v>153</v>
      </c>
      <c r="B113" s="56" t="s">
        <v>150</v>
      </c>
      <c r="C113" s="41" t="s">
        <v>42</v>
      </c>
      <c r="D113" s="81">
        <f>3410.67/1000*1.04</f>
        <v>3.5470968000000003</v>
      </c>
      <c r="E113" s="37"/>
      <c r="F113" s="74">
        <v>40000</v>
      </c>
      <c r="G113" s="38"/>
      <c r="H113" s="38">
        <f t="shared" si="25"/>
        <v>141883.872</v>
      </c>
      <c r="I113" s="38">
        <f t="shared" si="24"/>
        <v>141883.872</v>
      </c>
    </row>
    <row r="114" spans="1:9">
      <c r="A114" s="33" t="s">
        <v>160</v>
      </c>
      <c r="B114" s="56" t="s">
        <v>151</v>
      </c>
      <c r="C114" s="41" t="s">
        <v>20</v>
      </c>
      <c r="D114" s="83">
        <f>ROUND(342.81/1000*1620.75*1.04,0)</f>
        <v>578</v>
      </c>
      <c r="E114" s="84"/>
      <c r="F114" s="74">
        <v>26.5</v>
      </c>
      <c r="G114" s="38"/>
      <c r="H114" s="38">
        <f t="shared" si="25"/>
        <v>15317</v>
      </c>
      <c r="I114" s="38">
        <f t="shared" si="24"/>
        <v>15317</v>
      </c>
    </row>
    <row r="115" spans="1:9">
      <c r="A115" s="33" t="s">
        <v>165</v>
      </c>
      <c r="B115" s="56" t="s">
        <v>104</v>
      </c>
      <c r="C115" s="41" t="s">
        <v>42</v>
      </c>
      <c r="D115" s="81">
        <f>4104.34/1000*1.04</f>
        <v>4.2685136000000004</v>
      </c>
      <c r="E115" s="37"/>
      <c r="F115" s="74">
        <v>34400</v>
      </c>
      <c r="G115" s="38"/>
      <c r="H115" s="38">
        <f t="shared" si="25"/>
        <v>146836.86784000002</v>
      </c>
      <c r="I115" s="38">
        <f t="shared" si="24"/>
        <v>146836.86784000002</v>
      </c>
    </row>
    <row r="116" spans="1:9">
      <c r="A116" s="33" t="s">
        <v>2131</v>
      </c>
      <c r="B116" s="56" t="s">
        <v>152</v>
      </c>
      <c r="C116" s="41" t="s">
        <v>20</v>
      </c>
      <c r="D116" s="81">
        <v>5344</v>
      </c>
      <c r="E116" s="65"/>
      <c r="F116" s="74">
        <v>11.3</v>
      </c>
      <c r="G116" s="38"/>
      <c r="H116" s="38">
        <f t="shared" si="25"/>
        <v>60387.200000000004</v>
      </c>
      <c r="I116" s="38">
        <f t="shared" si="24"/>
        <v>60387.200000000004</v>
      </c>
    </row>
    <row r="117" spans="1:9">
      <c r="A117" s="33" t="s">
        <v>169</v>
      </c>
      <c r="B117" s="56" t="s">
        <v>2132</v>
      </c>
      <c r="C117" s="35" t="s">
        <v>20</v>
      </c>
      <c r="D117" s="85">
        <f>797+52+113+290</f>
        <v>1252</v>
      </c>
      <c r="E117" s="86">
        <v>123</v>
      </c>
      <c r="F117" s="86"/>
      <c r="G117" s="38">
        <f t="shared" ref="G117" si="26">D117*E117</f>
        <v>153996</v>
      </c>
      <c r="H117" s="38"/>
      <c r="I117" s="38">
        <f t="shared" ref="I117" si="27">G117+H117</f>
        <v>153996</v>
      </c>
    </row>
    <row r="118" spans="1:9">
      <c r="A118" s="33" t="s">
        <v>170</v>
      </c>
      <c r="B118" s="47" t="s">
        <v>154</v>
      </c>
      <c r="C118" s="35" t="s">
        <v>42</v>
      </c>
      <c r="D118" s="81">
        <f>(3*0.94*797+3*0.94*52+2*0.94*113+2*0.94*290)*1.05/1000</f>
        <v>3.3094109999999999</v>
      </c>
      <c r="E118" s="86"/>
      <c r="F118" s="86">
        <v>88723</v>
      </c>
      <c r="G118" s="38"/>
      <c r="H118" s="38">
        <f t="shared" si="25"/>
        <v>293620.87215299997</v>
      </c>
      <c r="I118" s="38">
        <f t="shared" si="24"/>
        <v>293620.87215299997</v>
      </c>
    </row>
    <row r="119" spans="1:9">
      <c r="A119" s="33" t="s">
        <v>174</v>
      </c>
      <c r="B119" s="47" t="s">
        <v>155</v>
      </c>
      <c r="C119" s="35" t="s">
        <v>42</v>
      </c>
      <c r="D119" s="81">
        <f>(1*1.7*797+1*1.13*52+1*0.57*113+1*0.44*290)*1.05/1000</f>
        <v>1.6859534999999999</v>
      </c>
      <c r="E119" s="86"/>
      <c r="F119" s="86">
        <v>36300</v>
      </c>
      <c r="G119" s="38"/>
      <c r="H119" s="38">
        <f t="shared" si="25"/>
        <v>61200.112049999996</v>
      </c>
      <c r="I119" s="38">
        <f t="shared" si="24"/>
        <v>61200.112049999996</v>
      </c>
    </row>
    <row r="120" spans="1:9">
      <c r="A120" s="33" t="s">
        <v>181</v>
      </c>
      <c r="B120" s="47" t="s">
        <v>156</v>
      </c>
      <c r="C120" s="35" t="s">
        <v>20</v>
      </c>
      <c r="D120" s="81">
        <f>6*797+6*52+4*113+4*290</f>
        <v>6706</v>
      </c>
      <c r="E120" s="86"/>
      <c r="F120" s="86">
        <v>6.23</v>
      </c>
      <c r="G120" s="38"/>
      <c r="H120" s="38">
        <f t="shared" si="25"/>
        <v>41778.380000000005</v>
      </c>
      <c r="I120" s="38">
        <f t="shared" si="24"/>
        <v>41778.380000000005</v>
      </c>
    </row>
    <row r="121" spans="1:9">
      <c r="A121" s="33" t="s">
        <v>185</v>
      </c>
      <c r="B121" s="47" t="s">
        <v>157</v>
      </c>
      <c r="C121" s="35" t="s">
        <v>125</v>
      </c>
      <c r="D121" s="81">
        <v>73</v>
      </c>
      <c r="E121" s="86"/>
      <c r="F121" s="86">
        <v>593</v>
      </c>
      <c r="G121" s="38"/>
      <c r="H121" s="38">
        <f t="shared" si="25"/>
        <v>43289</v>
      </c>
      <c r="I121" s="38">
        <f t="shared" si="24"/>
        <v>43289</v>
      </c>
    </row>
    <row r="122" spans="1:9">
      <c r="A122" s="33" t="s">
        <v>187</v>
      </c>
      <c r="B122" s="47" t="s">
        <v>158</v>
      </c>
      <c r="C122" s="35" t="s">
        <v>159</v>
      </c>
      <c r="D122" s="81">
        <v>3.59</v>
      </c>
      <c r="E122" s="86"/>
      <c r="F122" s="86">
        <v>97.6</v>
      </c>
      <c r="G122" s="38"/>
      <c r="H122" s="38">
        <f t="shared" si="25"/>
        <v>350.38399999999996</v>
      </c>
      <c r="I122" s="38">
        <f t="shared" si="24"/>
        <v>350.38399999999996</v>
      </c>
    </row>
    <row r="123" spans="1:9">
      <c r="A123" s="33" t="s">
        <v>189</v>
      </c>
      <c r="B123" s="40" t="s">
        <v>2198</v>
      </c>
      <c r="C123" s="41" t="s">
        <v>20</v>
      </c>
      <c r="D123" s="83">
        <f>49+147+85+140+24+32+134+78+8+3</f>
        <v>700</v>
      </c>
      <c r="E123" s="74">
        <v>160</v>
      </c>
      <c r="F123" s="74"/>
      <c r="G123" s="38">
        <f t="shared" si="23"/>
        <v>112000</v>
      </c>
      <c r="H123" s="38"/>
      <c r="I123" s="38">
        <f t="shared" si="24"/>
        <v>112000</v>
      </c>
    </row>
    <row r="124" spans="1:9">
      <c r="A124" s="33" t="s">
        <v>190</v>
      </c>
      <c r="B124" s="56" t="s">
        <v>161</v>
      </c>
      <c r="C124" s="41" t="s">
        <v>42</v>
      </c>
      <c r="D124" s="81">
        <f>(2*10.44*49+2*8.99*147+1*1.04*147+2*11.6*85+1*1.04*140+2*10.15*140+1*1.04*24+2*8.7*24+2*12.47*32+1*1.04*134+2*11.02*134+1*1.04*78+2*13.34*78+2*7.54*8+2*8.7*3)*1.05/1000</f>
        <v>16.219371000000002</v>
      </c>
      <c r="E124" s="86"/>
      <c r="F124" s="444">
        <v>48280.01</v>
      </c>
      <c r="G124" s="38"/>
      <c r="H124" s="38">
        <f t="shared" si="25"/>
        <v>783071.39407371019</v>
      </c>
      <c r="I124" s="38">
        <f t="shared" si="24"/>
        <v>783071.39407371019</v>
      </c>
    </row>
    <row r="125" spans="1:9">
      <c r="A125" s="33" t="s">
        <v>196</v>
      </c>
      <c r="B125" s="56" t="s">
        <v>162</v>
      </c>
      <c r="C125" s="41" t="s">
        <v>20</v>
      </c>
      <c r="D125" s="83">
        <f>2*147+2*140+2*24+2*134+2*78</f>
        <v>1046</v>
      </c>
      <c r="E125" s="86"/>
      <c r="F125" s="444">
        <v>6.95</v>
      </c>
      <c r="G125" s="38"/>
      <c r="H125" s="38">
        <f t="shared" si="25"/>
        <v>7269.7</v>
      </c>
      <c r="I125" s="38">
        <f t="shared" si="24"/>
        <v>7269.7</v>
      </c>
    </row>
    <row r="126" spans="1:9">
      <c r="A126" s="33" t="s">
        <v>2133</v>
      </c>
      <c r="B126" s="56" t="s">
        <v>163</v>
      </c>
      <c r="C126" s="41" t="s">
        <v>125</v>
      </c>
      <c r="D126" s="83">
        <f>D124*2*2.42</f>
        <v>78.501755640000013</v>
      </c>
      <c r="E126" s="86"/>
      <c r="F126" s="445">
        <v>67</v>
      </c>
      <c r="G126" s="38"/>
      <c r="H126" s="38">
        <f t="shared" si="25"/>
        <v>5259.6176278800012</v>
      </c>
      <c r="I126" s="38">
        <f t="shared" si="24"/>
        <v>5259.6176278800012</v>
      </c>
    </row>
    <row r="127" spans="1:9">
      <c r="A127" s="33" t="s">
        <v>198</v>
      </c>
      <c r="B127" s="56" t="s">
        <v>164</v>
      </c>
      <c r="C127" s="41" t="s">
        <v>125</v>
      </c>
      <c r="D127" s="83">
        <f>D124*2*2.15</f>
        <v>69.743295300000014</v>
      </c>
      <c r="E127" s="86"/>
      <c r="F127" s="445">
        <v>77</v>
      </c>
      <c r="G127" s="38"/>
      <c r="H127" s="38">
        <f t="shared" si="25"/>
        <v>5370.2337381000007</v>
      </c>
      <c r="I127" s="38">
        <f t="shared" si="24"/>
        <v>5370.2337381000007</v>
      </c>
    </row>
    <row r="128" spans="1:9">
      <c r="A128" s="33" t="s">
        <v>200</v>
      </c>
      <c r="B128" s="56" t="s">
        <v>2134</v>
      </c>
      <c r="C128" s="41" t="s">
        <v>120</v>
      </c>
      <c r="D128" s="83">
        <f>D129+D130</f>
        <v>6968</v>
      </c>
      <c r="E128" s="86">
        <v>25</v>
      </c>
      <c r="F128" s="86"/>
      <c r="G128" s="38">
        <f t="shared" si="23"/>
        <v>174200</v>
      </c>
      <c r="H128" s="38"/>
      <c r="I128" s="38">
        <f t="shared" si="24"/>
        <v>174200</v>
      </c>
    </row>
    <row r="129" spans="1:9">
      <c r="A129" s="33" t="s">
        <v>202</v>
      </c>
      <c r="B129" s="56" t="s">
        <v>166</v>
      </c>
      <c r="C129" s="41" t="s">
        <v>120</v>
      </c>
      <c r="D129" s="83">
        <f>ROUND(23*2.82*2*25,0)</f>
        <v>3243</v>
      </c>
      <c r="E129" s="37"/>
      <c r="F129" s="37">
        <v>6</v>
      </c>
      <c r="G129" s="38"/>
      <c r="H129" s="38">
        <f t="shared" si="25"/>
        <v>19458</v>
      </c>
      <c r="I129" s="38">
        <f t="shared" si="24"/>
        <v>19458</v>
      </c>
    </row>
    <row r="130" spans="1:9">
      <c r="A130" s="33" t="s">
        <v>204</v>
      </c>
      <c r="B130" s="56" t="s">
        <v>167</v>
      </c>
      <c r="C130" s="41" t="s">
        <v>120</v>
      </c>
      <c r="D130" s="87">
        <f>ROUND(74.5*2*25,0)</f>
        <v>3725</v>
      </c>
      <c r="E130" s="37"/>
      <c r="F130" s="37">
        <v>23.77</v>
      </c>
      <c r="G130" s="38"/>
      <c r="H130" s="38">
        <f t="shared" si="25"/>
        <v>88543.25</v>
      </c>
      <c r="I130" s="38">
        <f t="shared" si="24"/>
        <v>88543.25</v>
      </c>
    </row>
    <row r="131" spans="1:9">
      <c r="A131" s="33" t="s">
        <v>2135</v>
      </c>
      <c r="B131" s="88" t="s">
        <v>168</v>
      </c>
      <c r="C131" s="89" t="s">
        <v>20</v>
      </c>
      <c r="D131" s="90">
        <v>250</v>
      </c>
      <c r="E131" s="91"/>
      <c r="F131" s="92">
        <v>174</v>
      </c>
      <c r="G131" s="38"/>
      <c r="H131" s="38">
        <f t="shared" si="25"/>
        <v>43500</v>
      </c>
      <c r="I131" s="38">
        <f t="shared" si="24"/>
        <v>43500</v>
      </c>
    </row>
    <row r="132" spans="1:9">
      <c r="A132" s="33" t="s">
        <v>206</v>
      </c>
      <c r="B132" s="88" t="s">
        <v>2136</v>
      </c>
      <c r="C132" s="89" t="s">
        <v>9</v>
      </c>
      <c r="D132" s="90">
        <f>32*2.82*0.25*0.05*24</f>
        <v>27.071999999999996</v>
      </c>
      <c r="E132" s="91"/>
      <c r="F132" s="92">
        <v>1365</v>
      </c>
      <c r="G132" s="38"/>
      <c r="H132" s="38">
        <f t="shared" si="25"/>
        <v>36953.279999999992</v>
      </c>
      <c r="I132" s="38">
        <f t="shared" si="24"/>
        <v>36953.279999999992</v>
      </c>
    </row>
    <row r="133" spans="1:9" s="1" customFormat="1">
      <c r="A133" s="33" t="s">
        <v>211</v>
      </c>
      <c r="B133" s="56" t="s">
        <v>2139</v>
      </c>
      <c r="C133" s="41" t="s">
        <v>111</v>
      </c>
      <c r="D133" s="81">
        <f>5.36*1.3*24+32.05*1.3*23</f>
        <v>1125.527</v>
      </c>
      <c r="E133" s="37">
        <v>450</v>
      </c>
      <c r="F133" s="37"/>
      <c r="G133" s="38">
        <f t="shared" si="23"/>
        <v>506487.15</v>
      </c>
      <c r="H133" s="38"/>
      <c r="I133" s="38">
        <f t="shared" si="24"/>
        <v>506487.15</v>
      </c>
    </row>
    <row r="134" spans="1:9">
      <c r="A134" s="33" t="s">
        <v>213</v>
      </c>
      <c r="B134" s="56" t="s">
        <v>171</v>
      </c>
      <c r="C134" s="41" t="s">
        <v>20</v>
      </c>
      <c r="D134" s="83">
        <f>D133/100*5040</f>
        <v>56726.560800000007</v>
      </c>
      <c r="E134" s="37"/>
      <c r="F134" s="37">
        <v>10.3</v>
      </c>
      <c r="G134" s="38"/>
      <c r="H134" s="38">
        <f t="shared" si="25"/>
        <v>584283.57624000008</v>
      </c>
      <c r="I134" s="38">
        <f t="shared" si="24"/>
        <v>584283.57624000008</v>
      </c>
    </row>
    <row r="135" spans="1:9">
      <c r="A135" s="33" t="s">
        <v>214</v>
      </c>
      <c r="B135" s="56" t="s">
        <v>172</v>
      </c>
      <c r="C135" s="41" t="s">
        <v>9</v>
      </c>
      <c r="D135" s="81">
        <f>D133/100*2.3</f>
        <v>25.887121</v>
      </c>
      <c r="E135" s="37"/>
      <c r="F135" s="37">
        <v>3900</v>
      </c>
      <c r="G135" s="38"/>
      <c r="H135" s="38">
        <f t="shared" si="25"/>
        <v>100959.77190000001</v>
      </c>
      <c r="I135" s="38">
        <f t="shared" si="24"/>
        <v>100959.77190000001</v>
      </c>
    </row>
    <row r="136" spans="1:9">
      <c r="A136" s="33" t="s">
        <v>217</v>
      </c>
      <c r="B136" s="56" t="s">
        <v>173</v>
      </c>
      <c r="C136" s="41" t="s">
        <v>42</v>
      </c>
      <c r="D136" s="81">
        <f>(15.09*23+12.62*23+11.39*23+9.96*23+9.96*23+9.96*24)/1000*1.04</f>
        <v>1.6603599999999998</v>
      </c>
      <c r="E136" s="37"/>
      <c r="F136" s="37">
        <v>41965</v>
      </c>
      <c r="G136" s="38"/>
      <c r="H136" s="38">
        <f t="shared" si="25"/>
        <v>69677.007399999988</v>
      </c>
      <c r="I136" s="38">
        <f t="shared" si="24"/>
        <v>69677.007399999988</v>
      </c>
    </row>
    <row r="137" spans="1:9">
      <c r="A137" s="33" t="s">
        <v>229</v>
      </c>
      <c r="B137" s="56" t="s">
        <v>2141</v>
      </c>
      <c r="C137" s="41" t="s">
        <v>42</v>
      </c>
      <c r="D137" s="81">
        <v>11.124755200000001</v>
      </c>
      <c r="E137" s="37">
        <v>25000</v>
      </c>
      <c r="F137" s="37"/>
      <c r="G137" s="38">
        <f t="shared" si="23"/>
        <v>278118.88</v>
      </c>
      <c r="H137" s="38"/>
      <c r="I137" s="38">
        <f t="shared" si="24"/>
        <v>278118.88</v>
      </c>
    </row>
    <row r="138" spans="1:9">
      <c r="A138" s="33" t="s">
        <v>230</v>
      </c>
      <c r="B138" s="56" t="s">
        <v>175</v>
      </c>
      <c r="C138" s="41" t="s">
        <v>42</v>
      </c>
      <c r="D138" s="81">
        <f>(2*2.82*23+1*13.83*23+1*13.34*23+1*3.17*23+1*15.25*23+1*7.28*23+2*2.82*23+1*7.28*23+2*2.82*23+1*7.28*24+2*2.82*24)/1000*1.04</f>
        <v>2.1659975999999999</v>
      </c>
      <c r="E138" s="37"/>
      <c r="F138" s="37">
        <v>44100</v>
      </c>
      <c r="G138" s="38"/>
      <c r="H138" s="38">
        <f t="shared" si="25"/>
        <v>95520.494159999987</v>
      </c>
      <c r="I138" s="38">
        <f t="shared" si="24"/>
        <v>95520.494159999987</v>
      </c>
    </row>
    <row r="139" spans="1:9">
      <c r="A139" s="33" t="s">
        <v>231</v>
      </c>
      <c r="B139" s="56" t="s">
        <v>176</v>
      </c>
      <c r="C139" s="41" t="s">
        <v>42</v>
      </c>
      <c r="D139" s="81">
        <f>(2*0.53*23+1*0.53*23+2*0.53*23+2*0.53*23+2*0.53*24)/1000*1.04</f>
        <v>0.11520080000000001</v>
      </c>
      <c r="E139" s="37"/>
      <c r="F139" s="37">
        <v>40400</v>
      </c>
      <c r="G139" s="38"/>
      <c r="H139" s="38">
        <f t="shared" si="25"/>
        <v>4654.1123200000002</v>
      </c>
      <c r="I139" s="38">
        <f t="shared" si="24"/>
        <v>4654.1123200000002</v>
      </c>
    </row>
    <row r="140" spans="1:9">
      <c r="A140" s="33" t="s">
        <v>233</v>
      </c>
      <c r="B140" s="56" t="s">
        <v>177</v>
      </c>
      <c r="C140" s="41" t="s">
        <v>42</v>
      </c>
      <c r="D140" s="81">
        <f>(1*0.64*23)/1000*1.04</f>
        <v>1.5308800000000001E-2</v>
      </c>
      <c r="E140" s="37"/>
      <c r="F140" s="37">
        <v>40400</v>
      </c>
      <c r="G140" s="38"/>
      <c r="H140" s="38">
        <f t="shared" si="25"/>
        <v>618.47552000000007</v>
      </c>
      <c r="I140" s="38">
        <f t="shared" si="24"/>
        <v>618.47552000000007</v>
      </c>
    </row>
    <row r="141" spans="1:9">
      <c r="A141" s="33" t="s">
        <v>2143</v>
      </c>
      <c r="B141" s="56" t="s">
        <v>178</v>
      </c>
      <c r="C141" s="41" t="s">
        <v>42</v>
      </c>
      <c r="D141" s="81">
        <f>(1*0.55*23)/1000*1.04</f>
        <v>1.3156000000000001E-2</v>
      </c>
      <c r="E141" s="37"/>
      <c r="F141" s="37">
        <v>54600</v>
      </c>
      <c r="G141" s="38"/>
      <c r="H141" s="38">
        <f t="shared" si="25"/>
        <v>718.31760000000008</v>
      </c>
      <c r="I141" s="38">
        <f t="shared" si="24"/>
        <v>718.31760000000008</v>
      </c>
    </row>
    <row r="142" spans="1:9">
      <c r="A142" s="33" t="s">
        <v>2144</v>
      </c>
      <c r="B142" s="56" t="s">
        <v>179</v>
      </c>
      <c r="C142" s="41" t="s">
        <v>42</v>
      </c>
      <c r="D142" s="81">
        <f>(2*0.2*23)/1000*1.04</f>
        <v>9.5680000000000019E-3</v>
      </c>
      <c r="E142" s="37"/>
      <c r="F142" s="37">
        <v>54600</v>
      </c>
      <c r="G142" s="38"/>
      <c r="H142" s="38">
        <f t="shared" si="25"/>
        <v>522.41280000000006</v>
      </c>
      <c r="I142" s="38">
        <f t="shared" si="24"/>
        <v>522.41280000000006</v>
      </c>
    </row>
    <row r="143" spans="1:9">
      <c r="A143" s="33" t="s">
        <v>2145</v>
      </c>
      <c r="B143" s="56" t="s">
        <v>180</v>
      </c>
      <c r="C143" s="41" t="s">
        <v>42</v>
      </c>
      <c r="D143" s="81">
        <f>(1*0.22*23+1*0.22*24)/1000*1.04</f>
        <v>1.07536E-2</v>
      </c>
      <c r="E143" s="37"/>
      <c r="F143" s="37">
        <v>54600</v>
      </c>
      <c r="G143" s="38"/>
      <c r="H143" s="38">
        <f t="shared" si="25"/>
        <v>587.14656000000002</v>
      </c>
      <c r="I143" s="38">
        <f t="shared" si="24"/>
        <v>587.14656000000002</v>
      </c>
    </row>
    <row r="144" spans="1:9">
      <c r="A144" s="33" t="s">
        <v>2146</v>
      </c>
      <c r="B144" s="56" t="s">
        <v>182</v>
      </c>
      <c r="C144" s="41" t="s">
        <v>42</v>
      </c>
      <c r="D144" s="81">
        <f>(5.43*1481)/1000*1.04</f>
        <v>8.3635032000000002</v>
      </c>
      <c r="E144" s="37"/>
      <c r="F144" s="37">
        <v>46000</v>
      </c>
      <c r="G144" s="38"/>
      <c r="H144" s="38">
        <f t="shared" si="25"/>
        <v>384721.14720000001</v>
      </c>
      <c r="I144" s="38">
        <f t="shared" si="24"/>
        <v>384721.14720000001</v>
      </c>
    </row>
    <row r="145" spans="1:9">
      <c r="A145" s="33" t="s">
        <v>2147</v>
      </c>
      <c r="B145" s="56" t="s">
        <v>183</v>
      </c>
      <c r="C145" s="41" t="s">
        <v>42</v>
      </c>
      <c r="D145" s="81">
        <f>(0.23*1481)/1000*1.04</f>
        <v>0.35425519999999999</v>
      </c>
      <c r="E145" s="37"/>
      <c r="F145" s="37">
        <v>40400</v>
      </c>
      <c r="G145" s="38"/>
      <c r="H145" s="38">
        <f t="shared" si="25"/>
        <v>14311.91008</v>
      </c>
      <c r="I145" s="38">
        <f t="shared" si="24"/>
        <v>14311.91008</v>
      </c>
    </row>
    <row r="146" spans="1:9">
      <c r="A146" s="33" t="s">
        <v>2142</v>
      </c>
      <c r="B146" s="56" t="s">
        <v>184</v>
      </c>
      <c r="C146" s="41" t="s">
        <v>42</v>
      </c>
      <c r="D146" s="81">
        <f>(0.05*1481)/1000*1.04</f>
        <v>7.7011999999999997E-2</v>
      </c>
      <c r="E146" s="37"/>
      <c r="F146" s="37">
        <v>54600</v>
      </c>
      <c r="G146" s="38"/>
      <c r="H146" s="38">
        <f t="shared" si="25"/>
        <v>4204.8552</v>
      </c>
      <c r="I146" s="38">
        <f t="shared" si="24"/>
        <v>4204.8552</v>
      </c>
    </row>
    <row r="147" spans="1:9">
      <c r="A147" s="33" t="s">
        <v>2148</v>
      </c>
      <c r="B147" s="56" t="s">
        <v>186</v>
      </c>
      <c r="C147" s="41" t="s">
        <v>20</v>
      </c>
      <c r="D147" s="81">
        <f>4*23+2*23+2*23+2*23+4*23+2*24</f>
        <v>370</v>
      </c>
      <c r="E147" s="37"/>
      <c r="F147" s="37">
        <v>75</v>
      </c>
      <c r="G147" s="38"/>
      <c r="H147" s="38">
        <f t="shared" si="25"/>
        <v>27750</v>
      </c>
      <c r="I147" s="38">
        <f t="shared" si="24"/>
        <v>27750</v>
      </c>
    </row>
    <row r="148" spans="1:9">
      <c r="A148" s="33" t="s">
        <v>2149</v>
      </c>
      <c r="B148" s="56" t="s">
        <v>188</v>
      </c>
      <c r="C148" s="41" t="s">
        <v>20</v>
      </c>
      <c r="D148" s="81">
        <f>2*23+2*23+2*24</f>
        <v>140</v>
      </c>
      <c r="E148" s="37"/>
      <c r="F148" s="37">
        <v>14.15</v>
      </c>
      <c r="G148" s="38"/>
      <c r="H148" s="38">
        <f t="shared" si="25"/>
        <v>1981</v>
      </c>
      <c r="I148" s="38">
        <f t="shared" si="24"/>
        <v>1981</v>
      </c>
    </row>
    <row r="149" spans="1:9" s="1" customFormat="1">
      <c r="A149" s="33" t="s">
        <v>2138</v>
      </c>
      <c r="B149" s="56" t="s">
        <v>2150</v>
      </c>
      <c r="C149" s="41" t="s">
        <v>20</v>
      </c>
      <c r="D149" s="81">
        <v>24</v>
      </c>
      <c r="E149" s="37">
        <v>3723.2</v>
      </c>
      <c r="F149" s="37"/>
      <c r="G149" s="38">
        <f>D149*E149</f>
        <v>89356.799999999988</v>
      </c>
      <c r="H149" s="38"/>
      <c r="I149" s="38">
        <f t="shared" ref="I149" si="28">G149+H149</f>
        <v>89356.799999999988</v>
      </c>
    </row>
    <row r="150" spans="1:9">
      <c r="A150" s="33" t="s">
        <v>2151</v>
      </c>
      <c r="B150" s="56" t="s">
        <v>182</v>
      </c>
      <c r="C150" s="41" t="s">
        <v>42</v>
      </c>
      <c r="D150" s="81">
        <f>(8*4.97*24)/1000*1.04</f>
        <v>0.9924096</v>
      </c>
      <c r="E150" s="37"/>
      <c r="F150" s="37">
        <v>46000</v>
      </c>
      <c r="G150" s="38"/>
      <c r="H150" s="38">
        <f t="shared" si="25"/>
        <v>45650.8416</v>
      </c>
      <c r="I150" s="38">
        <f t="shared" si="24"/>
        <v>45650.8416</v>
      </c>
    </row>
    <row r="151" spans="1:9">
      <c r="A151" s="33" t="s">
        <v>2152</v>
      </c>
      <c r="B151" s="56" t="s">
        <v>191</v>
      </c>
      <c r="C151" s="41" t="s">
        <v>42</v>
      </c>
      <c r="D151" s="81">
        <f>(1*23.27*24)/1000*1.04</f>
        <v>0.58081919999999998</v>
      </c>
      <c r="E151" s="37"/>
      <c r="F151" s="37">
        <v>47200</v>
      </c>
      <c r="G151" s="38"/>
      <c r="H151" s="38">
        <f t="shared" si="25"/>
        <v>27414.666239999999</v>
      </c>
      <c r="I151" s="38">
        <f t="shared" si="24"/>
        <v>27414.666239999999</v>
      </c>
    </row>
    <row r="152" spans="1:9">
      <c r="A152" s="33" t="s">
        <v>2153</v>
      </c>
      <c r="B152" s="56" t="s">
        <v>192</v>
      </c>
      <c r="C152" s="41" t="s">
        <v>42</v>
      </c>
      <c r="D152" s="81">
        <f>(7*1.7*24)/1000*1.04</f>
        <v>0.29702400000000001</v>
      </c>
      <c r="E152" s="37"/>
      <c r="F152" s="37">
        <v>48700</v>
      </c>
      <c r="G152" s="38"/>
      <c r="H152" s="38">
        <f t="shared" si="25"/>
        <v>14465.068800000001</v>
      </c>
      <c r="I152" s="38">
        <f t="shared" si="24"/>
        <v>14465.068800000001</v>
      </c>
    </row>
    <row r="153" spans="1:9">
      <c r="A153" s="33" t="s">
        <v>2154</v>
      </c>
      <c r="B153" s="56" t="s">
        <v>183</v>
      </c>
      <c r="C153" s="41" t="s">
        <v>42</v>
      </c>
      <c r="D153" s="81">
        <f>(8*0.23*24)/1000*1.04</f>
        <v>4.5926400000000006E-2</v>
      </c>
      <c r="E153" s="37"/>
      <c r="F153" s="37">
        <v>40400</v>
      </c>
      <c r="G153" s="38"/>
      <c r="H153" s="38">
        <f t="shared" si="25"/>
        <v>1855.4265600000003</v>
      </c>
      <c r="I153" s="38">
        <f t="shared" si="24"/>
        <v>1855.4265600000003</v>
      </c>
    </row>
    <row r="154" spans="1:9">
      <c r="A154" s="33" t="s">
        <v>2155</v>
      </c>
      <c r="B154" s="56" t="s">
        <v>193</v>
      </c>
      <c r="C154" s="41" t="s">
        <v>42</v>
      </c>
      <c r="D154" s="81">
        <f>(35*1.85*24)/1000*1.04</f>
        <v>1.61616</v>
      </c>
      <c r="E154" s="37"/>
      <c r="F154" s="37">
        <v>56300</v>
      </c>
      <c r="G154" s="38"/>
      <c r="H154" s="38">
        <f t="shared" si="25"/>
        <v>90989.808000000005</v>
      </c>
      <c r="I154" s="38">
        <f t="shared" si="24"/>
        <v>90989.808000000005</v>
      </c>
    </row>
    <row r="155" spans="1:9">
      <c r="A155" s="33" t="s">
        <v>2156</v>
      </c>
      <c r="B155" s="56" t="s">
        <v>194</v>
      </c>
      <c r="C155" s="41" t="s">
        <v>42</v>
      </c>
      <c r="D155" s="81">
        <f>(48*0.57)/1000*1.04</f>
        <v>2.8454400000000001E-2</v>
      </c>
      <c r="E155" s="37"/>
      <c r="F155" s="37">
        <v>40400</v>
      </c>
      <c r="G155" s="38"/>
      <c r="H155" s="38">
        <f t="shared" si="25"/>
        <v>1149.5577600000001</v>
      </c>
      <c r="I155" s="38">
        <f t="shared" si="24"/>
        <v>1149.5577600000001</v>
      </c>
    </row>
    <row r="156" spans="1:9">
      <c r="A156" s="33" t="s">
        <v>2157</v>
      </c>
      <c r="B156" s="56" t="s">
        <v>195</v>
      </c>
      <c r="C156" s="41" t="s">
        <v>42</v>
      </c>
      <c r="D156" s="81">
        <f>(12.96)/1000*1.04</f>
        <v>1.3478400000000001E-2</v>
      </c>
      <c r="E156" s="37"/>
      <c r="F156" s="74">
        <v>36300</v>
      </c>
      <c r="G156" s="38"/>
      <c r="H156" s="38">
        <f t="shared" si="25"/>
        <v>489.26592000000005</v>
      </c>
      <c r="I156" s="38">
        <f t="shared" si="24"/>
        <v>489.26592000000005</v>
      </c>
    </row>
    <row r="157" spans="1:9">
      <c r="A157" s="33" t="s">
        <v>2158</v>
      </c>
      <c r="B157" s="56" t="s">
        <v>197</v>
      </c>
      <c r="C157" s="41" t="s">
        <v>125</v>
      </c>
      <c r="D157" s="81">
        <f>121.68*0.24</f>
        <v>29.203199999999999</v>
      </c>
      <c r="E157" s="37"/>
      <c r="F157" s="37">
        <v>428.95</v>
      </c>
      <c r="G157" s="38"/>
      <c r="H157" s="38">
        <f t="shared" si="25"/>
        <v>12526.71264</v>
      </c>
      <c r="I157" s="38">
        <f t="shared" si="24"/>
        <v>12526.71264</v>
      </c>
    </row>
    <row r="158" spans="1:9">
      <c r="A158" s="33" t="s">
        <v>2159</v>
      </c>
      <c r="B158" s="56" t="s">
        <v>186</v>
      </c>
      <c r="C158" s="41" t="s">
        <v>20</v>
      </c>
      <c r="D158" s="81">
        <v>96</v>
      </c>
      <c r="E158" s="37"/>
      <c r="F158" s="37">
        <v>75</v>
      </c>
      <c r="G158" s="38"/>
      <c r="H158" s="38">
        <f t="shared" si="25"/>
        <v>7200</v>
      </c>
      <c r="I158" s="38">
        <f t="shared" si="24"/>
        <v>7200</v>
      </c>
    </row>
    <row r="159" spans="1:9">
      <c r="A159" s="33" t="s">
        <v>2160</v>
      </c>
      <c r="B159" s="56" t="s">
        <v>199</v>
      </c>
      <c r="C159" s="41" t="s">
        <v>42</v>
      </c>
      <c r="D159" s="81">
        <v>8.1493401599999987E-2</v>
      </c>
      <c r="E159" s="37"/>
      <c r="F159" s="37">
        <v>142000</v>
      </c>
      <c r="G159" s="38"/>
      <c r="H159" s="38">
        <f t="shared" si="25"/>
        <v>11572.063027199998</v>
      </c>
      <c r="I159" s="38">
        <f t="shared" si="24"/>
        <v>11572.063027199998</v>
      </c>
    </row>
    <row r="160" spans="1:9" s="1" customFormat="1">
      <c r="A160" s="33" t="s">
        <v>2137</v>
      </c>
      <c r="B160" s="93" t="s">
        <v>201</v>
      </c>
      <c r="C160" s="94" t="s">
        <v>9</v>
      </c>
      <c r="D160" s="96">
        <f>109*1*0.38+54.2*0.8*0.38</f>
        <v>57.896800000000006</v>
      </c>
      <c r="E160" s="37">
        <v>1850</v>
      </c>
      <c r="F160" s="37"/>
      <c r="G160" s="38">
        <f t="shared" ref="G160:G184" si="29">D160*E160</f>
        <v>107109.08000000002</v>
      </c>
      <c r="H160" s="38"/>
      <c r="I160" s="38">
        <f t="shared" si="24"/>
        <v>107109.08000000002</v>
      </c>
    </row>
    <row r="161" spans="1:9">
      <c r="A161" s="33" t="s">
        <v>2161</v>
      </c>
      <c r="B161" s="93" t="s">
        <v>203</v>
      </c>
      <c r="C161" s="94" t="s">
        <v>20</v>
      </c>
      <c r="D161" s="95">
        <f>394*D160</f>
        <v>22811.339200000002</v>
      </c>
      <c r="E161" s="37"/>
      <c r="F161" s="37">
        <v>10.6</v>
      </c>
      <c r="G161" s="38"/>
      <c r="H161" s="38">
        <f t="shared" si="25"/>
        <v>241800.19552000001</v>
      </c>
      <c r="I161" s="38">
        <f t="shared" si="24"/>
        <v>241800.19552000001</v>
      </c>
    </row>
    <row r="162" spans="1:9">
      <c r="A162" s="33" t="s">
        <v>2162</v>
      </c>
      <c r="B162" s="93" t="s">
        <v>205</v>
      </c>
      <c r="C162" s="94" t="s">
        <v>9</v>
      </c>
      <c r="D162" s="96">
        <f>0.221*D160</f>
        <v>12.795192800000001</v>
      </c>
      <c r="E162" s="37"/>
      <c r="F162" s="74">
        <v>3050</v>
      </c>
      <c r="G162" s="38"/>
      <c r="H162" s="38">
        <f t="shared" si="25"/>
        <v>39025.338040000002</v>
      </c>
      <c r="I162" s="38">
        <f t="shared" si="24"/>
        <v>39025.338040000002</v>
      </c>
    </row>
    <row r="163" spans="1:9">
      <c r="A163" s="33" t="s">
        <v>2163</v>
      </c>
      <c r="B163" s="56" t="s">
        <v>207</v>
      </c>
      <c r="C163" s="41" t="s">
        <v>125</v>
      </c>
      <c r="D163" s="81">
        <f>(32*2*0.38*2+22.5*2*0.38*2)*1.794</f>
        <v>148.61496</v>
      </c>
      <c r="E163" s="37"/>
      <c r="F163" s="37">
        <v>100</v>
      </c>
      <c r="G163" s="38"/>
      <c r="H163" s="38">
        <f t="shared" si="25"/>
        <v>14861.495999999999</v>
      </c>
      <c r="I163" s="38">
        <f t="shared" si="24"/>
        <v>14861.495999999999</v>
      </c>
    </row>
    <row r="164" spans="1:9">
      <c r="A164" s="33" t="s">
        <v>2140</v>
      </c>
      <c r="B164" s="56" t="s">
        <v>208</v>
      </c>
      <c r="C164" s="41" t="s">
        <v>125</v>
      </c>
      <c r="D164" s="81">
        <f>(32*2*0.38+22.5*2*0.38)*5.16</f>
        <v>213.72720000000001</v>
      </c>
      <c r="E164" s="37"/>
      <c r="F164" s="37">
        <v>100</v>
      </c>
      <c r="G164" s="38"/>
      <c r="H164" s="38">
        <f t="shared" si="25"/>
        <v>21372.720000000001</v>
      </c>
      <c r="I164" s="38">
        <f t="shared" si="24"/>
        <v>21372.720000000001</v>
      </c>
    </row>
    <row r="165" spans="1:9">
      <c r="A165" s="33" t="s">
        <v>2164</v>
      </c>
      <c r="B165" s="56" t="s">
        <v>209</v>
      </c>
      <c r="C165" s="41" t="s">
        <v>125</v>
      </c>
      <c r="D165" s="81">
        <f>(32*2+22.5*2)*1.1</f>
        <v>119.9</v>
      </c>
      <c r="E165" s="37"/>
      <c r="F165" s="37">
        <v>649</v>
      </c>
      <c r="G165" s="38"/>
      <c r="H165" s="38">
        <f t="shared" si="25"/>
        <v>77815.100000000006</v>
      </c>
      <c r="I165" s="38">
        <f t="shared" si="24"/>
        <v>77815.100000000006</v>
      </c>
    </row>
    <row r="166" spans="1:9">
      <c r="A166" s="33" t="s">
        <v>2165</v>
      </c>
      <c r="B166" s="56" t="s">
        <v>210</v>
      </c>
      <c r="C166" s="41" t="s">
        <v>42</v>
      </c>
      <c r="D166" s="81">
        <f>(54*0.66)/1000*1.04</f>
        <v>3.7065599999999997E-2</v>
      </c>
      <c r="E166" s="37"/>
      <c r="F166" s="37">
        <v>42500</v>
      </c>
      <c r="G166" s="38"/>
      <c r="H166" s="38">
        <f t="shared" si="25"/>
        <v>1575.2879999999998</v>
      </c>
      <c r="I166" s="38">
        <f t="shared" si="24"/>
        <v>1575.2879999999998</v>
      </c>
    </row>
    <row r="167" spans="1:9" s="1" customFormat="1">
      <c r="A167" s="33" t="s">
        <v>2166</v>
      </c>
      <c r="B167" s="40" t="s">
        <v>212</v>
      </c>
      <c r="C167" s="41" t="s">
        <v>9</v>
      </c>
      <c r="D167" s="81">
        <v>28.495249999999999</v>
      </c>
      <c r="E167" s="37">
        <v>1650</v>
      </c>
      <c r="F167" s="37"/>
      <c r="G167" s="38">
        <f t="shared" ref="G167" si="30">D167*E167</f>
        <v>47017.162499999999</v>
      </c>
      <c r="H167" s="38"/>
      <c r="I167" s="38">
        <f t="shared" ref="I167" si="31">G167+H167</f>
        <v>47017.162499999999</v>
      </c>
    </row>
    <row r="168" spans="1:9">
      <c r="A168" s="33" t="s">
        <v>2168</v>
      </c>
      <c r="B168" s="56" t="s">
        <v>143</v>
      </c>
      <c r="C168" s="80" t="s">
        <v>9</v>
      </c>
      <c r="D168" s="81">
        <v>29.920012500000002</v>
      </c>
      <c r="E168" s="37"/>
      <c r="F168" s="37">
        <v>3100</v>
      </c>
      <c r="G168" s="38"/>
      <c r="H168" s="38">
        <f t="shared" ref="H168:H187" si="32">D168*F168</f>
        <v>92752.038750000007</v>
      </c>
      <c r="I168" s="38">
        <f t="shared" ref="I168:I187" si="33">G168+H168</f>
        <v>92752.038750000007</v>
      </c>
    </row>
    <row r="169" spans="1:9">
      <c r="A169" s="33" t="s">
        <v>2169</v>
      </c>
      <c r="B169" s="56" t="s">
        <v>145</v>
      </c>
      <c r="C169" s="41" t="s">
        <v>146</v>
      </c>
      <c r="D169" s="81">
        <f>ROUND(D167*1.6/25,0.1)</f>
        <v>2</v>
      </c>
      <c r="E169" s="37"/>
      <c r="F169" s="74">
        <v>240</v>
      </c>
      <c r="G169" s="38"/>
      <c r="H169" s="38">
        <f t="shared" si="32"/>
        <v>480</v>
      </c>
      <c r="I169" s="38">
        <f t="shared" si="33"/>
        <v>480</v>
      </c>
    </row>
    <row r="170" spans="1:9">
      <c r="A170" s="33" t="s">
        <v>2173</v>
      </c>
      <c r="B170" s="56" t="s">
        <v>218</v>
      </c>
      <c r="C170" s="41" t="s">
        <v>20</v>
      </c>
      <c r="D170" s="81">
        <v>6</v>
      </c>
      <c r="E170" s="37"/>
      <c r="F170" s="74">
        <v>500</v>
      </c>
      <c r="G170" s="38"/>
      <c r="H170" s="38">
        <f t="shared" si="32"/>
        <v>3000</v>
      </c>
      <c r="I170" s="38">
        <f t="shared" si="33"/>
        <v>3000</v>
      </c>
    </row>
    <row r="171" spans="1:9">
      <c r="A171" s="33" t="s">
        <v>2174</v>
      </c>
      <c r="B171" s="56" t="s">
        <v>219</v>
      </c>
      <c r="C171" s="41" t="s">
        <v>9</v>
      </c>
      <c r="D171" s="81">
        <f>0.2*0.2*0.01*6*1.05</f>
        <v>2.5200000000000005E-3</v>
      </c>
      <c r="E171" s="37"/>
      <c r="F171" s="74">
        <v>3100</v>
      </c>
      <c r="G171" s="38"/>
      <c r="H171" s="38">
        <f t="shared" si="32"/>
        <v>7.8120000000000021</v>
      </c>
      <c r="I171" s="38">
        <f t="shared" si="33"/>
        <v>7.8120000000000021</v>
      </c>
    </row>
    <row r="172" spans="1:9">
      <c r="A172" s="33" t="s">
        <v>2175</v>
      </c>
      <c r="B172" s="56" t="s">
        <v>220</v>
      </c>
      <c r="C172" s="41" t="s">
        <v>42</v>
      </c>
      <c r="D172" s="81">
        <f>327/1000*1.04</f>
        <v>0.34008000000000005</v>
      </c>
      <c r="E172" s="37"/>
      <c r="F172" s="74">
        <v>59600</v>
      </c>
      <c r="G172" s="38"/>
      <c r="H172" s="38">
        <f>D172*F172</f>
        <v>20268.768000000004</v>
      </c>
      <c r="I172" s="38">
        <f>G172+H172</f>
        <v>20268.768000000004</v>
      </c>
    </row>
    <row r="173" spans="1:9">
      <c r="A173" s="33" t="s">
        <v>2167</v>
      </c>
      <c r="B173" s="56" t="s">
        <v>221</v>
      </c>
      <c r="C173" s="41" t="s">
        <v>42</v>
      </c>
      <c r="D173" s="81">
        <f>110.33/1000*1.04</f>
        <v>0.1147432</v>
      </c>
      <c r="E173" s="37"/>
      <c r="F173" s="74">
        <v>60600</v>
      </c>
      <c r="G173" s="38"/>
      <c r="H173" s="38">
        <f t="shared" si="32"/>
        <v>6953.4379200000003</v>
      </c>
      <c r="I173" s="38">
        <f t="shared" si="33"/>
        <v>6953.4379200000003</v>
      </c>
    </row>
    <row r="174" spans="1:9">
      <c r="A174" s="33" t="s">
        <v>2176</v>
      </c>
      <c r="B174" s="56" t="s">
        <v>222</v>
      </c>
      <c r="C174" s="41" t="s">
        <v>42</v>
      </c>
      <c r="D174" s="81">
        <f>(1*36.71+4*58.88)/1000*1.04</f>
        <v>0.28311920000000002</v>
      </c>
      <c r="E174" s="37"/>
      <c r="F174" s="74">
        <v>65200</v>
      </c>
      <c r="G174" s="38"/>
      <c r="H174" s="38">
        <f t="shared" si="32"/>
        <v>18459.37184</v>
      </c>
      <c r="I174" s="38">
        <f t="shared" si="33"/>
        <v>18459.37184</v>
      </c>
    </row>
    <row r="175" spans="1:9">
      <c r="A175" s="33" t="s">
        <v>2177</v>
      </c>
      <c r="B175" s="56" t="s">
        <v>223</v>
      </c>
      <c r="C175" s="41" t="s">
        <v>42</v>
      </c>
      <c r="D175" s="81">
        <f>(8*124.32+1*100.56)/1000*1.04</f>
        <v>1.1389247999999998</v>
      </c>
      <c r="E175" s="37"/>
      <c r="F175" s="74">
        <v>75600</v>
      </c>
      <c r="G175" s="38"/>
      <c r="H175" s="38">
        <f t="shared" si="32"/>
        <v>86102.714879999985</v>
      </c>
      <c r="I175" s="38">
        <f t="shared" si="33"/>
        <v>86102.714879999985</v>
      </c>
    </row>
    <row r="176" spans="1:9">
      <c r="A176" s="33" t="s">
        <v>2178</v>
      </c>
      <c r="B176" s="56" t="s">
        <v>224</v>
      </c>
      <c r="C176" s="41" t="s">
        <v>42</v>
      </c>
      <c r="D176" s="81">
        <f>(26*0.8)/1000*1.04</f>
        <v>2.1631999999999998E-2</v>
      </c>
      <c r="E176" s="37"/>
      <c r="F176" s="74">
        <v>40500</v>
      </c>
      <c r="G176" s="38"/>
      <c r="H176" s="38">
        <f t="shared" si="32"/>
        <v>876.09599999999989</v>
      </c>
      <c r="I176" s="38">
        <f t="shared" si="33"/>
        <v>876.09599999999989</v>
      </c>
    </row>
    <row r="177" spans="1:9">
      <c r="A177" s="33" t="s">
        <v>2179</v>
      </c>
      <c r="B177" s="56" t="s">
        <v>225</v>
      </c>
      <c r="C177" s="41" t="s">
        <v>125</v>
      </c>
      <c r="D177" s="81">
        <v>14.770323776000001</v>
      </c>
      <c r="E177" s="37"/>
      <c r="F177" s="74">
        <v>67</v>
      </c>
      <c r="G177" s="38"/>
      <c r="H177" s="38">
        <f t="shared" si="32"/>
        <v>989.61169299200014</v>
      </c>
      <c r="I177" s="38">
        <f t="shared" si="33"/>
        <v>989.61169299200014</v>
      </c>
    </row>
    <row r="178" spans="1:9">
      <c r="A178" s="33" t="s">
        <v>2180</v>
      </c>
      <c r="B178" s="56" t="s">
        <v>226</v>
      </c>
      <c r="C178" s="41" t="s">
        <v>125</v>
      </c>
      <c r="D178" s="81">
        <v>12.795884608000001</v>
      </c>
      <c r="E178" s="37"/>
      <c r="F178" s="74">
        <v>77</v>
      </c>
      <c r="G178" s="38"/>
      <c r="H178" s="38">
        <f t="shared" si="32"/>
        <v>985.28311481600008</v>
      </c>
      <c r="I178" s="38">
        <f t="shared" si="33"/>
        <v>985.28311481600008</v>
      </c>
    </row>
    <row r="179" spans="1:9">
      <c r="A179" s="33" t="s">
        <v>2181</v>
      </c>
      <c r="B179" s="56" t="s">
        <v>227</v>
      </c>
      <c r="C179" s="41" t="s">
        <v>125</v>
      </c>
      <c r="D179" s="81">
        <f>((1*36.71+4*58.88)/18.4*0.2+(8*124.32+1*100.56)/24*0.24)*1.46</f>
        <v>20.308923739130432</v>
      </c>
      <c r="E179" s="37"/>
      <c r="F179" s="74">
        <v>284</v>
      </c>
      <c r="G179" s="38"/>
      <c r="H179" s="38">
        <f t="shared" si="32"/>
        <v>5767.734341913043</v>
      </c>
      <c r="I179" s="38">
        <f t="shared" si="33"/>
        <v>5767.734341913043</v>
      </c>
    </row>
    <row r="180" spans="1:9">
      <c r="A180" s="33" t="s">
        <v>2182</v>
      </c>
      <c r="B180" s="56" t="s">
        <v>228</v>
      </c>
      <c r="C180" s="41" t="s">
        <v>111</v>
      </c>
      <c r="D180" s="81">
        <f>68.27</f>
        <v>68.27</v>
      </c>
      <c r="E180" s="37"/>
      <c r="F180" s="74">
        <v>829</v>
      </c>
      <c r="G180" s="38"/>
      <c r="H180" s="38">
        <f t="shared" si="32"/>
        <v>56595.829999999994</v>
      </c>
      <c r="I180" s="38">
        <f t="shared" si="33"/>
        <v>56595.829999999994</v>
      </c>
    </row>
    <row r="181" spans="1:9">
      <c r="A181" s="33" t="s">
        <v>2170</v>
      </c>
      <c r="B181" s="56" t="s">
        <v>215</v>
      </c>
      <c r="C181" s="41" t="s">
        <v>111</v>
      </c>
      <c r="D181" s="81">
        <v>133.65</v>
      </c>
      <c r="E181" s="37">
        <v>850</v>
      </c>
      <c r="F181" s="74"/>
      <c r="G181" s="38">
        <f>D181*E181</f>
        <v>113602.5</v>
      </c>
      <c r="H181" s="38"/>
      <c r="I181" s="38">
        <f>G181+H181</f>
        <v>113602.5</v>
      </c>
    </row>
    <row r="182" spans="1:9">
      <c r="A182" s="33" t="s">
        <v>2171</v>
      </c>
      <c r="B182" s="56" t="s">
        <v>216</v>
      </c>
      <c r="C182" s="41" t="s">
        <v>20</v>
      </c>
      <c r="D182" s="81">
        <f>ROUND(153*D181,0)</f>
        <v>20448</v>
      </c>
      <c r="E182" s="37"/>
      <c r="F182" s="74">
        <v>15.6</v>
      </c>
      <c r="G182" s="38"/>
      <c r="H182" s="38">
        <f>D182*F182</f>
        <v>318988.79999999999</v>
      </c>
      <c r="I182" s="38">
        <f>G182+H182</f>
        <v>318988.79999999999</v>
      </c>
    </row>
    <row r="183" spans="1:9">
      <c r="A183" s="33" t="s">
        <v>2172</v>
      </c>
      <c r="B183" s="56" t="s">
        <v>172</v>
      </c>
      <c r="C183" s="41" t="s">
        <v>9</v>
      </c>
      <c r="D183" s="81">
        <f>ROUND(0.241*D181,2)</f>
        <v>32.21</v>
      </c>
      <c r="E183" s="37"/>
      <c r="F183" s="37">
        <v>3900</v>
      </c>
      <c r="G183" s="38"/>
      <c r="H183" s="38">
        <f>D183*F183</f>
        <v>125619</v>
      </c>
      <c r="I183" s="38">
        <f>G183+H183</f>
        <v>125619</v>
      </c>
    </row>
    <row r="184" spans="1:9" s="1" customFormat="1">
      <c r="A184" s="33" t="s">
        <v>2183</v>
      </c>
      <c r="B184" s="56" t="s">
        <v>2184</v>
      </c>
      <c r="C184" s="41" t="s">
        <v>9</v>
      </c>
      <c r="D184" s="81">
        <f>(1.226+0.504+0.686)</f>
        <v>2.4159999999999999</v>
      </c>
      <c r="E184" s="37">
        <v>2800</v>
      </c>
      <c r="F184" s="41"/>
      <c r="G184" s="38">
        <f t="shared" si="29"/>
        <v>6764.8</v>
      </c>
      <c r="H184" s="38"/>
      <c r="I184" s="38">
        <f t="shared" si="33"/>
        <v>6764.8</v>
      </c>
    </row>
    <row r="185" spans="1:9">
      <c r="A185" s="33" t="s">
        <v>2185</v>
      </c>
      <c r="B185" s="56" t="s">
        <v>104</v>
      </c>
      <c r="C185" s="41" t="s">
        <v>42</v>
      </c>
      <c r="D185" s="81">
        <f>(89.01+37.15+49.16)/1000*1.04</f>
        <v>0.18233280000000002</v>
      </c>
      <c r="E185" s="37"/>
      <c r="F185" s="37">
        <v>34400</v>
      </c>
      <c r="G185" s="38"/>
      <c r="H185" s="38">
        <f t="shared" si="32"/>
        <v>6272.2483200000006</v>
      </c>
      <c r="I185" s="38">
        <f t="shared" si="33"/>
        <v>6272.2483200000006</v>
      </c>
    </row>
    <row r="186" spans="1:9">
      <c r="A186" s="33" t="s">
        <v>2186</v>
      </c>
      <c r="B186" s="56" t="s">
        <v>232</v>
      </c>
      <c r="C186" s="41" t="s">
        <v>42</v>
      </c>
      <c r="D186" s="81">
        <f>(30.06+11.52+16.38)/1000*1.04</f>
        <v>6.0278399999999989E-2</v>
      </c>
      <c r="E186" s="37"/>
      <c r="F186" s="37">
        <v>45000</v>
      </c>
      <c r="G186" s="38"/>
      <c r="H186" s="38">
        <f t="shared" si="32"/>
        <v>2712.5279999999993</v>
      </c>
      <c r="I186" s="38">
        <f t="shared" si="33"/>
        <v>2712.5279999999993</v>
      </c>
    </row>
    <row r="187" spans="1:9">
      <c r="A187" s="33" t="s">
        <v>2187</v>
      </c>
      <c r="B187" s="56" t="s">
        <v>234</v>
      </c>
      <c r="C187" s="41" t="s">
        <v>9</v>
      </c>
      <c r="D187" s="81">
        <f>(1.226+0.504+0.686)*1.05</f>
        <v>2.5367999999999999</v>
      </c>
      <c r="E187" s="37"/>
      <c r="F187" s="74">
        <v>4200</v>
      </c>
      <c r="G187" s="38"/>
      <c r="H187" s="38">
        <f t="shared" si="32"/>
        <v>10654.56</v>
      </c>
      <c r="I187" s="38">
        <f t="shared" si="33"/>
        <v>10654.56</v>
      </c>
    </row>
    <row r="188" spans="1:9">
      <c r="A188" s="27"/>
      <c r="B188" s="427" t="s">
        <v>2085</v>
      </c>
      <c r="C188" s="533" t="s">
        <v>2188</v>
      </c>
      <c r="D188" s="534"/>
      <c r="E188" s="534"/>
      <c r="F188" s="535"/>
      <c r="G188" s="32">
        <f>SUM(G108:G187)</f>
        <v>2970877.9975000001</v>
      </c>
      <c r="H188" s="32">
        <f t="shared" ref="H188:I188" si="34">SUM(H108:H187)</f>
        <v>7239351.2384296115</v>
      </c>
      <c r="I188" s="32">
        <f t="shared" si="34"/>
        <v>10210229.23592962</v>
      </c>
    </row>
    <row r="189" spans="1:9">
      <c r="A189" s="27"/>
      <c r="B189" s="427" t="s">
        <v>2088</v>
      </c>
      <c r="C189" s="530"/>
      <c r="D189" s="531"/>
      <c r="E189" s="531"/>
      <c r="F189" s="532"/>
      <c r="G189" s="32">
        <f>PRODUCT(G188,1/1.2,0.2)</f>
        <v>495146.3329166667</v>
      </c>
      <c r="H189" s="32">
        <f>PRODUCT(H188,1/1.2,0.2)</f>
        <v>1206558.5397382686</v>
      </c>
      <c r="I189" s="32">
        <f>PRODUCT(I188,1/1.2,0.2)</f>
        <v>1701704.872654937</v>
      </c>
    </row>
    <row r="190" spans="1:9">
      <c r="A190" s="27"/>
      <c r="B190" s="28" t="s">
        <v>2189</v>
      </c>
      <c r="C190" s="29"/>
      <c r="D190" s="76"/>
      <c r="E190" s="31"/>
      <c r="F190" s="31"/>
      <c r="G190" s="32"/>
      <c r="H190" s="32"/>
      <c r="I190" s="32"/>
    </row>
    <row r="191" spans="1:9" s="1" customFormat="1">
      <c r="A191" s="33" t="s">
        <v>235</v>
      </c>
      <c r="B191" s="56" t="s">
        <v>2190</v>
      </c>
      <c r="C191" s="41" t="s">
        <v>111</v>
      </c>
      <c r="D191" s="450">
        <f>241.06+236.72*12+256.57*10</f>
        <v>5647.4</v>
      </c>
      <c r="E191" s="74">
        <v>450</v>
      </c>
      <c r="F191" s="37"/>
      <c r="G191" s="38">
        <f t="shared" ref="G191:G253" si="35">D191*E191</f>
        <v>2541330</v>
      </c>
      <c r="H191" s="38"/>
      <c r="I191" s="38">
        <f t="shared" ref="I191:I254" si="36">G191+H191</f>
        <v>2541330</v>
      </c>
    </row>
    <row r="192" spans="1:9">
      <c r="A192" s="33" t="s">
        <v>236</v>
      </c>
      <c r="B192" s="88" t="s">
        <v>2191</v>
      </c>
      <c r="C192" s="80" t="s">
        <v>20</v>
      </c>
      <c r="D192" s="83">
        <f>D191*13</f>
        <v>73416.2</v>
      </c>
      <c r="E192" s="37"/>
      <c r="F192" s="37">
        <v>65</v>
      </c>
      <c r="G192" s="38"/>
      <c r="H192" s="38">
        <f t="shared" ref="H192:H254" si="37">D192*F192</f>
        <v>4772053</v>
      </c>
      <c r="I192" s="38">
        <f t="shared" si="36"/>
        <v>4772053</v>
      </c>
    </row>
    <row r="193" spans="1:9">
      <c r="A193" s="33" t="s">
        <v>238</v>
      </c>
      <c r="B193" s="56" t="s">
        <v>239</v>
      </c>
      <c r="C193" s="80" t="s">
        <v>9</v>
      </c>
      <c r="D193" s="81">
        <f>D191*0.025</f>
        <v>141.185</v>
      </c>
      <c r="E193" s="37"/>
      <c r="F193" s="37">
        <v>3900</v>
      </c>
      <c r="G193" s="38"/>
      <c r="H193" s="38">
        <f t="shared" si="37"/>
        <v>550621.5</v>
      </c>
      <c r="I193" s="38">
        <f t="shared" si="36"/>
        <v>550621.5</v>
      </c>
    </row>
    <row r="194" spans="1:9">
      <c r="A194" s="33" t="s">
        <v>240</v>
      </c>
      <c r="B194" s="56" t="s">
        <v>151</v>
      </c>
      <c r="C194" s="80" t="s">
        <v>20</v>
      </c>
      <c r="D194" s="83">
        <f>ROUND(D191/1.2*1.04,0)</f>
        <v>4894</v>
      </c>
      <c r="E194" s="84"/>
      <c r="F194" s="446">
        <v>26.5</v>
      </c>
      <c r="G194" s="38"/>
      <c r="H194" s="38">
        <f t="shared" si="37"/>
        <v>129691</v>
      </c>
      <c r="I194" s="38">
        <f t="shared" si="36"/>
        <v>129691</v>
      </c>
    </row>
    <row r="195" spans="1:9">
      <c r="A195" s="33" t="s">
        <v>241</v>
      </c>
      <c r="B195" s="56" t="s">
        <v>242</v>
      </c>
      <c r="C195" s="80" t="s">
        <v>42</v>
      </c>
      <c r="D195" s="81">
        <v>3.7</v>
      </c>
      <c r="E195" s="37"/>
      <c r="F195" s="37">
        <v>38000</v>
      </c>
      <c r="G195" s="38"/>
      <c r="H195" s="38">
        <f t="shared" si="37"/>
        <v>140600</v>
      </c>
      <c r="I195" s="38">
        <f t="shared" si="36"/>
        <v>140600</v>
      </c>
    </row>
    <row r="196" spans="1:9" s="1" customFormat="1">
      <c r="A196" s="33" t="s">
        <v>243</v>
      </c>
      <c r="B196" s="56" t="s">
        <v>2192</v>
      </c>
      <c r="C196" s="41" t="s">
        <v>111</v>
      </c>
      <c r="D196" s="451">
        <f>27.48+198.72+50.86+50.86*12+50.86*10+39.05-1.31*23</f>
        <v>1404.8999999999999</v>
      </c>
      <c r="E196" s="37">
        <v>350</v>
      </c>
      <c r="F196" s="37"/>
      <c r="G196" s="38">
        <f>D196*E196</f>
        <v>491714.99999999994</v>
      </c>
      <c r="H196" s="38"/>
      <c r="I196" s="38">
        <f t="shared" si="36"/>
        <v>491714.99999999994</v>
      </c>
    </row>
    <row r="197" spans="1:9" s="1" customFormat="1">
      <c r="A197" s="33" t="s">
        <v>244</v>
      </c>
      <c r="B197" s="88" t="s">
        <v>237</v>
      </c>
      <c r="C197" s="89" t="s">
        <v>20</v>
      </c>
      <c r="D197" s="90">
        <f>ROUND(D196*13,0)</f>
        <v>18264</v>
      </c>
      <c r="E197" s="91"/>
      <c r="F197" s="97">
        <v>35</v>
      </c>
      <c r="G197" s="38">
        <f t="shared" si="35"/>
        <v>0</v>
      </c>
      <c r="H197" s="38">
        <f t="shared" si="37"/>
        <v>639240</v>
      </c>
      <c r="I197" s="38">
        <f t="shared" si="36"/>
        <v>639240</v>
      </c>
    </row>
    <row r="198" spans="1:9" s="1" customFormat="1">
      <c r="A198" s="33" t="s">
        <v>245</v>
      </c>
      <c r="B198" s="88" t="s">
        <v>2193</v>
      </c>
      <c r="C198" s="89" t="s">
        <v>9</v>
      </c>
      <c r="D198" s="90">
        <f>D196*0.09*0.3</f>
        <v>37.932299999999998</v>
      </c>
      <c r="E198" s="447"/>
      <c r="F198" s="448">
        <f>3255+650</f>
        <v>3905</v>
      </c>
      <c r="G198" s="38">
        <f t="shared" si="35"/>
        <v>0</v>
      </c>
      <c r="H198" s="38">
        <f t="shared" si="37"/>
        <v>148125.63149999999</v>
      </c>
      <c r="I198" s="38">
        <f t="shared" si="36"/>
        <v>148125.63149999999</v>
      </c>
    </row>
    <row r="199" spans="1:9">
      <c r="A199" s="33" t="s">
        <v>247</v>
      </c>
      <c r="B199" s="56" t="s">
        <v>151</v>
      </c>
      <c r="C199" s="80" t="s">
        <v>1596</v>
      </c>
      <c r="D199" s="83">
        <f>ROUND(D196/1.2*1.04,0)</f>
        <v>1218</v>
      </c>
      <c r="E199" s="154"/>
      <c r="F199" s="446">
        <v>26.5</v>
      </c>
      <c r="G199" s="38"/>
      <c r="H199" s="38">
        <f t="shared" si="37"/>
        <v>32277</v>
      </c>
      <c r="I199" s="38">
        <f t="shared" si="36"/>
        <v>32277</v>
      </c>
    </row>
    <row r="200" spans="1:9">
      <c r="A200" s="33" t="s">
        <v>249</v>
      </c>
      <c r="B200" s="56" t="s">
        <v>248</v>
      </c>
      <c r="C200" s="41" t="s">
        <v>120</v>
      </c>
      <c r="D200" s="83">
        <f>D201+D202</f>
        <v>13121</v>
      </c>
      <c r="E200" s="452">
        <v>25</v>
      </c>
      <c r="F200" s="86"/>
      <c r="G200" s="38">
        <f t="shared" si="35"/>
        <v>328025</v>
      </c>
      <c r="H200" s="38"/>
      <c r="I200" s="38">
        <f t="shared" si="36"/>
        <v>328025</v>
      </c>
    </row>
    <row r="201" spans="1:9">
      <c r="A201" s="33" t="s">
        <v>251</v>
      </c>
      <c r="B201" s="56" t="s">
        <v>166</v>
      </c>
      <c r="C201" s="41" t="s">
        <v>120</v>
      </c>
      <c r="D201" s="83">
        <f>ROUND((4*2*2.2+33*2*2.86+57*2*2.82+56*2*2.82*22+11*2*1.88),0)</f>
        <v>7518</v>
      </c>
      <c r="E201" s="74"/>
      <c r="F201" s="74">
        <v>6</v>
      </c>
      <c r="G201" s="38"/>
      <c r="H201" s="38">
        <f t="shared" si="37"/>
        <v>45108</v>
      </c>
      <c r="I201" s="38">
        <f t="shared" si="36"/>
        <v>45108</v>
      </c>
    </row>
    <row r="202" spans="1:9">
      <c r="A202" s="33" t="s">
        <v>253</v>
      </c>
      <c r="B202" s="56" t="s">
        <v>167</v>
      </c>
      <c r="C202" s="41" t="s">
        <v>120</v>
      </c>
      <c r="D202" s="83">
        <f>ROUND((13.48+70.48+115.55+114.005*12+121.045*10+23.52)*2,0)</f>
        <v>5603</v>
      </c>
      <c r="E202" s="74"/>
      <c r="F202" s="74">
        <v>23.77</v>
      </c>
      <c r="G202" s="38"/>
      <c r="H202" s="38">
        <f t="shared" si="37"/>
        <v>133183.31</v>
      </c>
      <c r="I202" s="38">
        <f t="shared" si="36"/>
        <v>133183.31</v>
      </c>
    </row>
    <row r="203" spans="1:9">
      <c r="A203" s="33" t="s">
        <v>2194</v>
      </c>
      <c r="B203" s="88" t="s">
        <v>168</v>
      </c>
      <c r="C203" s="89" t="s">
        <v>20</v>
      </c>
      <c r="D203" s="90">
        <f>20*25</f>
        <v>500</v>
      </c>
      <c r="E203" s="447"/>
      <c r="F203" s="449">
        <v>174</v>
      </c>
      <c r="G203" s="38"/>
      <c r="H203" s="38">
        <f t="shared" si="37"/>
        <v>87000</v>
      </c>
      <c r="I203" s="38">
        <f t="shared" si="36"/>
        <v>87000</v>
      </c>
    </row>
    <row r="204" spans="1:9">
      <c r="A204" s="33" t="s">
        <v>2195</v>
      </c>
      <c r="B204" s="56" t="s">
        <v>239</v>
      </c>
      <c r="C204" s="89" t="s">
        <v>9</v>
      </c>
      <c r="D204" s="90">
        <f>7518*0.03*0.02+5603*0.05*0.02</f>
        <v>10.113800000000001</v>
      </c>
      <c r="E204" s="91"/>
      <c r="F204" s="92">
        <v>1365</v>
      </c>
      <c r="G204" s="38"/>
      <c r="H204" s="38">
        <f t="shared" si="37"/>
        <v>13805.337000000001</v>
      </c>
      <c r="I204" s="38">
        <f t="shared" si="36"/>
        <v>13805.337000000001</v>
      </c>
    </row>
    <row r="205" spans="1:9" s="1" customFormat="1">
      <c r="A205" s="33" t="s">
        <v>254</v>
      </c>
      <c r="B205" s="40" t="s">
        <v>250</v>
      </c>
      <c r="C205" s="41" t="s">
        <v>111</v>
      </c>
      <c r="D205" s="81">
        <f>4.5188+10.01*23+4.9538</f>
        <v>239.70259999999999</v>
      </c>
      <c r="E205" s="37">
        <v>450</v>
      </c>
      <c r="F205" s="37"/>
      <c r="G205" s="38">
        <f t="shared" si="35"/>
        <v>107866.17</v>
      </c>
      <c r="H205" s="38"/>
      <c r="I205" s="38">
        <f t="shared" si="36"/>
        <v>107866.17</v>
      </c>
    </row>
    <row r="206" spans="1:9">
      <c r="A206" s="33" t="s">
        <v>255</v>
      </c>
      <c r="B206" s="56" t="s">
        <v>252</v>
      </c>
      <c r="C206" s="41" t="s">
        <v>20</v>
      </c>
      <c r="D206" s="81">
        <f>ROUND(51*D205,0)</f>
        <v>12225</v>
      </c>
      <c r="E206" s="37"/>
      <c r="F206" s="37">
        <v>10.3</v>
      </c>
      <c r="G206" s="38"/>
      <c r="H206" s="38">
        <f t="shared" si="37"/>
        <v>125917.50000000001</v>
      </c>
      <c r="I206" s="38">
        <f t="shared" si="36"/>
        <v>125917.50000000001</v>
      </c>
    </row>
    <row r="207" spans="1:9">
      <c r="A207" s="33" t="s">
        <v>256</v>
      </c>
      <c r="B207" s="56" t="s">
        <v>172</v>
      </c>
      <c r="C207" s="41" t="s">
        <v>9</v>
      </c>
      <c r="D207" s="81">
        <f>ROUND(0.241*D205,2)</f>
        <v>57.77</v>
      </c>
      <c r="E207" s="37"/>
      <c r="F207" s="37">
        <v>3900</v>
      </c>
      <c r="G207" s="38"/>
      <c r="H207" s="38">
        <f t="shared" si="37"/>
        <v>225303</v>
      </c>
      <c r="I207" s="38">
        <f t="shared" si="36"/>
        <v>225303</v>
      </c>
    </row>
    <row r="208" spans="1:9" s="1" customFormat="1">
      <c r="A208" s="33" t="s">
        <v>257</v>
      </c>
      <c r="B208" s="40" t="s">
        <v>2196</v>
      </c>
      <c r="C208" s="41" t="s">
        <v>111</v>
      </c>
      <c r="D208" s="81">
        <f>4.68+2.9422</f>
        <v>7.6221999999999994</v>
      </c>
      <c r="E208" s="37">
        <v>450</v>
      </c>
      <c r="F208" s="37"/>
      <c r="G208" s="38">
        <f t="shared" si="35"/>
        <v>3429.99</v>
      </c>
      <c r="H208" s="38"/>
      <c r="I208" s="38">
        <f t="shared" si="36"/>
        <v>3429.99</v>
      </c>
    </row>
    <row r="209" spans="1:9">
      <c r="A209" s="33" t="s">
        <v>258</v>
      </c>
      <c r="B209" s="56" t="s">
        <v>216</v>
      </c>
      <c r="C209" s="41" t="s">
        <v>20</v>
      </c>
      <c r="D209" s="81">
        <f>ROUND(153*D208,0)</f>
        <v>1166</v>
      </c>
      <c r="E209" s="37"/>
      <c r="F209" s="37">
        <v>15.6</v>
      </c>
      <c r="G209" s="38">
        <f t="shared" si="35"/>
        <v>0</v>
      </c>
      <c r="H209" s="38">
        <f t="shared" si="37"/>
        <v>18189.599999999999</v>
      </c>
      <c r="I209" s="38">
        <f t="shared" si="36"/>
        <v>18189.599999999999</v>
      </c>
    </row>
    <row r="210" spans="1:9">
      <c r="A210" s="33" t="s">
        <v>260</v>
      </c>
      <c r="B210" s="56" t="s">
        <v>172</v>
      </c>
      <c r="C210" s="41" t="s">
        <v>9</v>
      </c>
      <c r="D210" s="81">
        <f>ROUND(0.241*D208,2)</f>
        <v>1.84</v>
      </c>
      <c r="E210" s="37"/>
      <c r="F210" s="37">
        <v>3900</v>
      </c>
      <c r="G210" s="38">
        <f t="shared" si="35"/>
        <v>0</v>
      </c>
      <c r="H210" s="38">
        <f t="shared" si="37"/>
        <v>7176</v>
      </c>
      <c r="I210" s="38">
        <f t="shared" si="36"/>
        <v>7176</v>
      </c>
    </row>
    <row r="211" spans="1:9" s="1" customFormat="1">
      <c r="A211" s="33" t="s">
        <v>266</v>
      </c>
      <c r="B211" s="40" t="s">
        <v>2197</v>
      </c>
      <c r="C211" s="41" t="s">
        <v>20</v>
      </c>
      <c r="D211" s="83">
        <f>159+117+24+46+46+2</f>
        <v>394</v>
      </c>
      <c r="E211" s="74">
        <v>160</v>
      </c>
      <c r="F211" s="74"/>
      <c r="G211" s="38">
        <f t="shared" si="35"/>
        <v>63040</v>
      </c>
      <c r="H211" s="38"/>
      <c r="I211" s="38">
        <f t="shared" si="36"/>
        <v>63040</v>
      </c>
    </row>
    <row r="212" spans="1:9">
      <c r="A212" s="33" t="s">
        <v>258</v>
      </c>
      <c r="B212" s="40" t="s">
        <v>259</v>
      </c>
      <c r="C212" s="41" t="s">
        <v>42</v>
      </c>
      <c r="D212" s="81">
        <f>(1*0.96*117+1*0.96*46+1*0.96*2)*1.05/1000</f>
        <v>0.16632</v>
      </c>
      <c r="E212" s="86"/>
      <c r="F212" s="86">
        <v>48280.01</v>
      </c>
      <c r="G212" s="38"/>
      <c r="H212" s="38">
        <f t="shared" si="37"/>
        <v>8029.9312632000001</v>
      </c>
      <c r="I212" s="38">
        <f t="shared" si="36"/>
        <v>8029.9312632000001</v>
      </c>
    </row>
    <row r="213" spans="1:9">
      <c r="A213" s="33" t="s">
        <v>260</v>
      </c>
      <c r="B213" s="56" t="s">
        <v>161</v>
      </c>
      <c r="C213" s="41" t="s">
        <v>42</v>
      </c>
      <c r="D213" s="81">
        <f>(2*8.12*159+2*6.96*117+2*10.15*24+2*10.44*46+2*4.64*46+2*5.22*2)*1.05/1000</f>
        <v>6.4115519999999995</v>
      </c>
      <c r="E213" s="86"/>
      <c r="F213" s="86">
        <v>48280.01</v>
      </c>
      <c r="G213" s="38"/>
      <c r="H213" s="38">
        <f t="shared" si="37"/>
        <v>309549.79467551998</v>
      </c>
      <c r="I213" s="38">
        <f t="shared" si="36"/>
        <v>309549.79467551998</v>
      </c>
    </row>
    <row r="214" spans="1:9">
      <c r="A214" s="33" t="s">
        <v>261</v>
      </c>
      <c r="B214" s="56" t="s">
        <v>262</v>
      </c>
      <c r="C214" s="41" t="s">
        <v>42</v>
      </c>
      <c r="D214" s="81">
        <f>(3*0.29*159+3*0.29*117+3*0.29*24+4*0.29*46+2*0.29*46+2*0.29*2)*1.05/1000</f>
        <v>0.35931000000000007</v>
      </c>
      <c r="E214" s="86"/>
      <c r="F214" s="86">
        <v>54600</v>
      </c>
      <c r="G214" s="38"/>
      <c r="H214" s="38">
        <f t="shared" si="37"/>
        <v>19618.326000000005</v>
      </c>
      <c r="I214" s="38">
        <f t="shared" si="36"/>
        <v>19618.326000000005</v>
      </c>
    </row>
    <row r="215" spans="1:9">
      <c r="A215" s="33" t="s">
        <v>263</v>
      </c>
      <c r="B215" s="56" t="s">
        <v>162</v>
      </c>
      <c r="C215" s="41" t="s">
        <v>20</v>
      </c>
      <c r="D215" s="83">
        <f>2*117+2*46+2*2</f>
        <v>330</v>
      </c>
      <c r="E215" s="86"/>
      <c r="F215" s="86">
        <v>4.96</v>
      </c>
      <c r="G215" s="38"/>
      <c r="H215" s="38">
        <f t="shared" si="37"/>
        <v>1636.8</v>
      </c>
      <c r="I215" s="38">
        <f t="shared" si="36"/>
        <v>1636.8</v>
      </c>
    </row>
    <row r="216" spans="1:9">
      <c r="A216" s="33" t="s">
        <v>264</v>
      </c>
      <c r="B216" s="56" t="s">
        <v>163</v>
      </c>
      <c r="C216" s="41" t="s">
        <v>125</v>
      </c>
      <c r="D216" s="83">
        <f>(D212+D213+D214)*2*2.42</f>
        <v>33.575960879999997</v>
      </c>
      <c r="E216" s="86"/>
      <c r="F216" s="37">
        <v>65</v>
      </c>
      <c r="G216" s="38"/>
      <c r="H216" s="38">
        <f t="shared" si="37"/>
        <v>2182.4374571999997</v>
      </c>
      <c r="I216" s="38">
        <f t="shared" si="36"/>
        <v>2182.4374571999997</v>
      </c>
    </row>
    <row r="217" spans="1:9">
      <c r="A217" s="33" t="s">
        <v>265</v>
      </c>
      <c r="B217" s="56" t="s">
        <v>164</v>
      </c>
      <c r="C217" s="41" t="s">
        <v>125</v>
      </c>
      <c r="D217" s="83">
        <f>(D212+D213+D214)*2*2.13</f>
        <v>29.552395319999995</v>
      </c>
      <c r="E217" s="86"/>
      <c r="F217" s="37">
        <v>88.45</v>
      </c>
      <c r="G217" s="38"/>
      <c r="H217" s="38">
        <f t="shared" si="37"/>
        <v>2613.9093660539997</v>
      </c>
      <c r="I217" s="38">
        <f t="shared" si="36"/>
        <v>2613.9093660539997</v>
      </c>
    </row>
    <row r="218" spans="1:9" s="1" customFormat="1">
      <c r="A218" s="33" t="s">
        <v>271</v>
      </c>
      <c r="B218" s="40" t="s">
        <v>2199</v>
      </c>
      <c r="C218" s="35" t="s">
        <v>20</v>
      </c>
      <c r="D218" s="85">
        <f>310+92+71+46+24+207+46+162+138</f>
        <v>1096</v>
      </c>
      <c r="E218" s="86">
        <v>30</v>
      </c>
      <c r="F218" s="86"/>
      <c r="G218" s="38">
        <f t="shared" si="35"/>
        <v>32880</v>
      </c>
      <c r="H218" s="38"/>
      <c r="I218" s="38">
        <f t="shared" si="36"/>
        <v>32880</v>
      </c>
    </row>
    <row r="219" spans="1:9">
      <c r="A219" s="33" t="s">
        <v>272</v>
      </c>
      <c r="B219" s="47" t="s">
        <v>267</v>
      </c>
      <c r="C219" s="35" t="s">
        <v>9</v>
      </c>
      <c r="D219" s="81">
        <f>(0.08*0.08*1.1*310+0.08*0.08*1.2*92+0.08*0.08*1*71+0.08*0.08*1.35*46+0.08*0.08*1.3*24+0.08*0.08*6.62*207+0.08*0.08*6.52*46+0.08*0.08*6.62*162+0.08*0.08*0.9*138)*1.06</f>
        <v>23.625958400000002</v>
      </c>
      <c r="E219" s="86"/>
      <c r="F219" s="86">
        <v>11000</v>
      </c>
      <c r="G219" s="38"/>
      <c r="H219" s="38">
        <f t="shared" si="37"/>
        <v>259885.54240000001</v>
      </c>
      <c r="I219" s="38">
        <f t="shared" si="36"/>
        <v>259885.54240000001</v>
      </c>
    </row>
    <row r="220" spans="1:9">
      <c r="A220" s="33" t="s">
        <v>274</v>
      </c>
      <c r="B220" s="47" t="s">
        <v>259</v>
      </c>
      <c r="C220" s="35" t="s">
        <v>42</v>
      </c>
      <c r="D220" s="81">
        <f>(46+162+138)*0.38/1000</f>
        <v>0.13147999999999999</v>
      </c>
      <c r="E220" s="86"/>
      <c r="F220" s="86">
        <v>48280.01</v>
      </c>
      <c r="G220" s="38"/>
      <c r="H220" s="38">
        <f t="shared" si="37"/>
        <v>6347.8557148</v>
      </c>
      <c r="I220" s="38">
        <f t="shared" si="36"/>
        <v>6347.8557148</v>
      </c>
    </row>
    <row r="221" spans="1:9">
      <c r="A221" s="33" t="s">
        <v>275</v>
      </c>
      <c r="B221" s="56" t="s">
        <v>268</v>
      </c>
      <c r="C221" s="41" t="s">
        <v>20</v>
      </c>
      <c r="D221" s="83">
        <f>(46+162+138)*2</f>
        <v>692</v>
      </c>
      <c r="E221" s="86"/>
      <c r="F221" s="86">
        <v>4.96</v>
      </c>
      <c r="G221" s="38"/>
      <c r="H221" s="38">
        <f t="shared" si="37"/>
        <v>3432.32</v>
      </c>
      <c r="I221" s="38">
        <f t="shared" si="36"/>
        <v>3432.32</v>
      </c>
    </row>
    <row r="222" spans="1:9">
      <c r="A222" s="33" t="s">
        <v>2200</v>
      </c>
      <c r="B222" s="47" t="s">
        <v>269</v>
      </c>
      <c r="C222" s="35" t="s">
        <v>20</v>
      </c>
      <c r="D222" s="81">
        <v>19</v>
      </c>
      <c r="E222" s="86"/>
      <c r="F222" s="86">
        <v>477</v>
      </c>
      <c r="G222" s="38"/>
      <c r="H222" s="38">
        <f t="shared" si="37"/>
        <v>9063</v>
      </c>
      <c r="I222" s="38">
        <f t="shared" si="36"/>
        <v>9063</v>
      </c>
    </row>
    <row r="223" spans="1:9">
      <c r="A223" s="33" t="s">
        <v>2201</v>
      </c>
      <c r="B223" s="47" t="s">
        <v>270</v>
      </c>
      <c r="C223" s="35" t="s">
        <v>20</v>
      </c>
      <c r="D223" s="81">
        <v>19</v>
      </c>
      <c r="E223" s="86"/>
      <c r="F223" s="86">
        <v>47</v>
      </c>
      <c r="G223" s="38"/>
      <c r="H223" s="38">
        <f t="shared" si="37"/>
        <v>893</v>
      </c>
      <c r="I223" s="38">
        <f t="shared" si="36"/>
        <v>893</v>
      </c>
    </row>
    <row r="224" spans="1:9" s="1" customFormat="1" ht="27.6">
      <c r="A224" s="33" t="s">
        <v>277</v>
      </c>
      <c r="B224" s="47" t="s">
        <v>2202</v>
      </c>
      <c r="C224" s="35" t="s">
        <v>111</v>
      </c>
      <c r="D224" s="81">
        <f>5450.33</f>
        <v>5450.33</v>
      </c>
      <c r="E224" s="86">
        <v>350</v>
      </c>
      <c r="F224" s="86"/>
      <c r="G224" s="38">
        <f t="shared" si="35"/>
        <v>1907615.5</v>
      </c>
      <c r="H224" s="38"/>
      <c r="I224" s="38">
        <f t="shared" si="36"/>
        <v>1907615.5</v>
      </c>
    </row>
    <row r="225" spans="1:9">
      <c r="A225" s="33" t="s">
        <v>279</v>
      </c>
      <c r="B225" s="56" t="s">
        <v>273</v>
      </c>
      <c r="C225" s="80" t="s">
        <v>20</v>
      </c>
      <c r="D225" s="83">
        <f>D224*13</f>
        <v>70854.289999999994</v>
      </c>
      <c r="E225" s="37"/>
      <c r="F225" s="37">
        <v>37</v>
      </c>
      <c r="G225" s="38"/>
      <c r="H225" s="38">
        <f t="shared" si="37"/>
        <v>2621608.73</v>
      </c>
      <c r="I225" s="38">
        <f t="shared" si="36"/>
        <v>2621608.73</v>
      </c>
    </row>
    <row r="226" spans="1:9">
      <c r="A226" s="33" t="s">
        <v>279</v>
      </c>
      <c r="B226" s="56" t="s">
        <v>239</v>
      </c>
      <c r="C226" s="80" t="s">
        <v>9</v>
      </c>
      <c r="D226" s="81">
        <f>D224*0.025</f>
        <v>136.25825</v>
      </c>
      <c r="E226" s="37"/>
      <c r="F226" s="37">
        <v>3900</v>
      </c>
      <c r="G226" s="38"/>
      <c r="H226" s="38">
        <f t="shared" si="37"/>
        <v>531407.17500000005</v>
      </c>
      <c r="I226" s="38">
        <f t="shared" si="36"/>
        <v>531407.17500000005</v>
      </c>
    </row>
    <row r="227" spans="1:9">
      <c r="A227" s="33" t="s">
        <v>279</v>
      </c>
      <c r="B227" s="56" t="s">
        <v>276</v>
      </c>
      <c r="C227" s="80" t="s">
        <v>20</v>
      </c>
      <c r="D227" s="83">
        <f>ROUND(D224/1.2*1.04,0)</f>
        <v>4724</v>
      </c>
      <c r="E227" s="84"/>
      <c r="F227" s="446">
        <v>26.5</v>
      </c>
      <c r="G227" s="98"/>
      <c r="H227" s="98">
        <f t="shared" si="37"/>
        <v>125186</v>
      </c>
      <c r="I227" s="98">
        <f t="shared" si="36"/>
        <v>125186</v>
      </c>
    </row>
    <row r="228" spans="1:9" customFormat="1">
      <c r="A228" s="99" t="s">
        <v>281</v>
      </c>
      <c r="B228" s="453" t="s">
        <v>278</v>
      </c>
      <c r="C228" s="454" t="s">
        <v>111</v>
      </c>
      <c r="D228" s="105">
        <v>193.76</v>
      </c>
      <c r="E228" s="141">
        <v>350</v>
      </c>
      <c r="F228" s="141"/>
      <c r="G228" s="104">
        <f t="shared" si="35"/>
        <v>67816</v>
      </c>
      <c r="H228" s="104"/>
      <c r="I228" s="104">
        <f t="shared" si="36"/>
        <v>67816</v>
      </c>
    </row>
    <row r="229" spans="1:9" customFormat="1" ht="27.6">
      <c r="A229" s="99" t="s">
        <v>282</v>
      </c>
      <c r="B229" s="100" t="s">
        <v>280</v>
      </c>
      <c r="C229" s="101" t="s">
        <v>20</v>
      </c>
      <c r="D229" s="102">
        <f>D228*13</f>
        <v>2518.88</v>
      </c>
      <c r="E229" s="103"/>
      <c r="F229" s="103">
        <v>37</v>
      </c>
      <c r="G229" s="104"/>
      <c r="H229" s="104">
        <f t="shared" si="37"/>
        <v>93198.56</v>
      </c>
      <c r="I229" s="104">
        <f t="shared" si="36"/>
        <v>93198.56</v>
      </c>
    </row>
    <row r="230" spans="1:9" customFormat="1">
      <c r="A230" s="99" t="s">
        <v>283</v>
      </c>
      <c r="B230" s="100" t="s">
        <v>239</v>
      </c>
      <c r="C230" s="101" t="s">
        <v>9</v>
      </c>
      <c r="D230" s="105">
        <f>D228*0.025</f>
        <v>4.8440000000000003</v>
      </c>
      <c r="E230" s="103"/>
      <c r="F230" s="103">
        <v>3900</v>
      </c>
      <c r="G230" s="104"/>
      <c r="H230" s="104">
        <f t="shared" si="37"/>
        <v>18891.600000000002</v>
      </c>
      <c r="I230" s="104">
        <f t="shared" si="36"/>
        <v>18891.600000000002</v>
      </c>
    </row>
    <row r="231" spans="1:9" customFormat="1">
      <c r="A231" s="99" t="s">
        <v>284</v>
      </c>
      <c r="B231" s="100" t="s">
        <v>276</v>
      </c>
      <c r="C231" s="80" t="s">
        <v>20</v>
      </c>
      <c r="D231" s="83">
        <f>ROUND(D228/1.2*1.04,0)</f>
        <v>168</v>
      </c>
      <c r="E231" s="84"/>
      <c r="F231" s="446">
        <v>26.5</v>
      </c>
      <c r="G231" s="104"/>
      <c r="H231" s="104">
        <f t="shared" si="37"/>
        <v>4452</v>
      </c>
      <c r="I231" s="104">
        <f t="shared" si="36"/>
        <v>4452</v>
      </c>
    </row>
    <row r="232" spans="1:9">
      <c r="A232" s="33" t="s">
        <v>285</v>
      </c>
      <c r="B232" s="56" t="s">
        <v>286</v>
      </c>
      <c r="C232" s="80" t="s">
        <v>111</v>
      </c>
      <c r="D232" s="81">
        <f>((5.27+1.88+1.835)*2.86-0.55*1.3*2-0.4*0.45-0.3*0.6)+((5.675+2.8+0.34)*2.82*23-0.95*1.01*2*23-0.6*0.5*23-0.55*1.3*23)</f>
        <v>528.16599999999994</v>
      </c>
      <c r="E232" s="37">
        <v>350</v>
      </c>
      <c r="F232" s="106"/>
      <c r="G232" s="98">
        <f t="shared" si="35"/>
        <v>184858.09999999998</v>
      </c>
      <c r="H232" s="98"/>
      <c r="I232" s="98">
        <f t="shared" si="36"/>
        <v>184858.09999999998</v>
      </c>
    </row>
    <row r="233" spans="1:9">
      <c r="A233" s="33" t="s">
        <v>287</v>
      </c>
      <c r="B233" s="88" t="s">
        <v>273</v>
      </c>
      <c r="C233" s="89" t="s">
        <v>20</v>
      </c>
      <c r="D233" s="90">
        <f>ROUND(D232*13,0)</f>
        <v>6866</v>
      </c>
      <c r="E233" s="37"/>
      <c r="F233" s="106">
        <v>37</v>
      </c>
      <c r="G233" s="98"/>
      <c r="H233" s="98">
        <f t="shared" si="37"/>
        <v>254042</v>
      </c>
      <c r="I233" s="98">
        <f t="shared" si="36"/>
        <v>254042</v>
      </c>
    </row>
    <row r="234" spans="1:9">
      <c r="A234" s="33" t="s">
        <v>288</v>
      </c>
      <c r="B234" s="88" t="s">
        <v>246</v>
      </c>
      <c r="C234" s="89" t="s">
        <v>9</v>
      </c>
      <c r="D234" s="90">
        <f>D232*0.09*0.3</f>
        <v>14.260481999999998</v>
      </c>
      <c r="E234" s="37"/>
      <c r="F234" s="106">
        <v>3905</v>
      </c>
      <c r="G234" s="98"/>
      <c r="H234" s="98">
        <f t="shared" si="37"/>
        <v>55687.182209999992</v>
      </c>
      <c r="I234" s="98">
        <f t="shared" si="36"/>
        <v>55687.182209999992</v>
      </c>
    </row>
    <row r="235" spans="1:9" customFormat="1">
      <c r="A235" s="33" t="s">
        <v>289</v>
      </c>
      <c r="B235" s="56" t="s">
        <v>276</v>
      </c>
      <c r="C235" s="80" t="s">
        <v>20</v>
      </c>
      <c r="D235" s="83">
        <f>ROUND(D232/1.2*1.04,0)</f>
        <v>458</v>
      </c>
      <c r="E235" s="84"/>
      <c r="F235" s="446">
        <v>26.5</v>
      </c>
      <c r="G235" s="104"/>
      <c r="H235" s="104">
        <f t="shared" si="37"/>
        <v>12137</v>
      </c>
      <c r="I235" s="104">
        <f t="shared" si="36"/>
        <v>12137</v>
      </c>
    </row>
    <row r="236" spans="1:9" s="1" customFormat="1" ht="27.6">
      <c r="A236" s="33" t="s">
        <v>290</v>
      </c>
      <c r="B236" s="88" t="s">
        <v>291</v>
      </c>
      <c r="C236" s="89" t="s">
        <v>111</v>
      </c>
      <c r="D236" s="90">
        <f>(0.75*4+0.29*4)*2.86</f>
        <v>11.897600000000001</v>
      </c>
      <c r="E236" s="37">
        <v>400</v>
      </c>
      <c r="F236" s="106"/>
      <c r="G236" s="98">
        <f t="shared" si="35"/>
        <v>4759.04</v>
      </c>
      <c r="H236" s="98"/>
      <c r="I236" s="98">
        <f t="shared" si="36"/>
        <v>4759.04</v>
      </c>
    </row>
    <row r="237" spans="1:9">
      <c r="A237" s="33" t="s">
        <v>292</v>
      </c>
      <c r="B237" s="47" t="s">
        <v>293</v>
      </c>
      <c r="C237" s="35" t="s">
        <v>111</v>
      </c>
      <c r="D237" s="107">
        <f>D236*1.04</f>
        <v>12.373504000000001</v>
      </c>
      <c r="E237" s="59"/>
      <c r="F237" s="59">
        <v>110</v>
      </c>
      <c r="G237" s="108"/>
      <c r="H237" s="108">
        <f>F237*D237</f>
        <v>1361.0854400000001</v>
      </c>
      <c r="I237" s="108">
        <f t="shared" si="36"/>
        <v>1361.0854400000001</v>
      </c>
    </row>
    <row r="238" spans="1:9">
      <c r="A238" s="33" t="s">
        <v>294</v>
      </c>
      <c r="B238" s="109" t="s">
        <v>295</v>
      </c>
      <c r="C238" s="110" t="s">
        <v>25</v>
      </c>
      <c r="D238" s="111">
        <f>D236*0.7</f>
        <v>8.3283199999999997</v>
      </c>
      <c r="E238" s="59"/>
      <c r="F238" s="59">
        <v>18</v>
      </c>
      <c r="G238" s="108"/>
      <c r="H238" s="108">
        <f>F238*D238</f>
        <v>149.90976000000001</v>
      </c>
      <c r="I238" s="108">
        <f t="shared" si="36"/>
        <v>149.90976000000001</v>
      </c>
    </row>
    <row r="239" spans="1:9">
      <c r="A239" s="33" t="s">
        <v>296</v>
      </c>
      <c r="B239" s="49" t="s">
        <v>297</v>
      </c>
      <c r="C239" s="110" t="s">
        <v>25</v>
      </c>
      <c r="D239" s="111">
        <f>D236*2</f>
        <v>23.795200000000001</v>
      </c>
      <c r="E239" s="59"/>
      <c r="F239" s="59">
        <v>30</v>
      </c>
      <c r="G239" s="108"/>
      <c r="H239" s="108">
        <f>F239*D239</f>
        <v>713.85599999999999</v>
      </c>
      <c r="I239" s="108">
        <f t="shared" si="36"/>
        <v>713.85599999999999</v>
      </c>
    </row>
    <row r="240" spans="1:9">
      <c r="A240" s="33" t="s">
        <v>298</v>
      </c>
      <c r="B240" s="109" t="s">
        <v>299</v>
      </c>
      <c r="C240" s="110" t="s">
        <v>20</v>
      </c>
      <c r="D240" s="111">
        <f>D236*44</f>
        <v>523.49440000000004</v>
      </c>
      <c r="E240" s="59"/>
      <c r="F240" s="59">
        <v>7</v>
      </c>
      <c r="G240" s="108"/>
      <c r="H240" s="108">
        <f>F240*D240</f>
        <v>3664.4608000000003</v>
      </c>
      <c r="I240" s="108">
        <f t="shared" si="36"/>
        <v>3664.4608000000003</v>
      </c>
    </row>
    <row r="241" spans="1:9" s="1" customFormat="1">
      <c r="A241" s="33" t="s">
        <v>300</v>
      </c>
      <c r="B241" s="56" t="s">
        <v>2203</v>
      </c>
      <c r="C241" s="41" t="s">
        <v>42</v>
      </c>
      <c r="D241" s="81">
        <f>SUM(D242:D243)</f>
        <v>0.53171040000000003</v>
      </c>
      <c r="E241" s="37">
        <v>25000</v>
      </c>
      <c r="F241" s="75"/>
      <c r="G241" s="98">
        <f t="shared" ref="G241" si="38">D241*E241</f>
        <v>13292.76</v>
      </c>
      <c r="H241" s="98"/>
      <c r="I241" s="98">
        <f t="shared" ref="I241" si="39">G241+H241</f>
        <v>13292.76</v>
      </c>
    </row>
    <row r="242" spans="1:9">
      <c r="A242" s="33" t="s">
        <v>301</v>
      </c>
      <c r="B242" s="56" t="s">
        <v>302</v>
      </c>
      <c r="C242" s="41" t="s">
        <v>42</v>
      </c>
      <c r="D242" s="81">
        <f>(1*153.13+4*12.01)*2/1000*1.04</f>
        <v>0.41843359999999996</v>
      </c>
      <c r="E242" s="37"/>
      <c r="F242" s="37">
        <v>54600</v>
      </c>
      <c r="G242" s="38"/>
      <c r="H242" s="38">
        <f t="shared" si="37"/>
        <v>22846.474559999999</v>
      </c>
      <c r="I242" s="38">
        <f t="shared" si="36"/>
        <v>22846.474559999999</v>
      </c>
    </row>
    <row r="243" spans="1:9">
      <c r="A243" s="33" t="s">
        <v>306</v>
      </c>
      <c r="B243" s="56" t="s">
        <v>303</v>
      </c>
      <c r="C243" s="41" t="s">
        <v>42</v>
      </c>
      <c r="D243" s="81">
        <f>(2*8.97+4*9.13)*2/1000*1.04</f>
        <v>0.11327680000000002</v>
      </c>
      <c r="E243" s="37"/>
      <c r="F243" s="37">
        <v>46800</v>
      </c>
      <c r="G243" s="38"/>
      <c r="H243" s="38">
        <f t="shared" si="37"/>
        <v>5301.3542400000015</v>
      </c>
      <c r="I243" s="38">
        <f t="shared" si="36"/>
        <v>5301.3542400000015</v>
      </c>
    </row>
    <row r="244" spans="1:9">
      <c r="A244" s="33" t="s">
        <v>2204</v>
      </c>
      <c r="B244" s="56" t="s">
        <v>304</v>
      </c>
      <c r="C244" s="41" t="s">
        <v>125</v>
      </c>
      <c r="D244" s="81">
        <f>3.89*2*D241</f>
        <v>4.1367069120000002</v>
      </c>
      <c r="E244" s="37"/>
      <c r="F244" s="74">
        <v>67</v>
      </c>
      <c r="G244" s="38"/>
      <c r="H244" s="38">
        <f t="shared" si="37"/>
        <v>277.15936310400002</v>
      </c>
      <c r="I244" s="38">
        <f t="shared" si="36"/>
        <v>277.15936310400002</v>
      </c>
    </row>
    <row r="245" spans="1:9">
      <c r="A245" s="33" t="s">
        <v>2205</v>
      </c>
      <c r="B245" s="56" t="s">
        <v>305</v>
      </c>
      <c r="C245" s="41" t="s">
        <v>125</v>
      </c>
      <c r="D245" s="81">
        <f>3.37*2*D241</f>
        <v>3.5837280960000002</v>
      </c>
      <c r="E245" s="37"/>
      <c r="F245" s="74">
        <v>77</v>
      </c>
      <c r="G245" s="38"/>
      <c r="H245" s="38">
        <f t="shared" si="37"/>
        <v>275.94706339200002</v>
      </c>
      <c r="I245" s="38">
        <f t="shared" si="36"/>
        <v>275.94706339200002</v>
      </c>
    </row>
    <row r="246" spans="1:9">
      <c r="A246" s="33" t="s">
        <v>308</v>
      </c>
      <c r="B246" s="56" t="s">
        <v>2206</v>
      </c>
      <c r="C246" s="41" t="s">
        <v>9</v>
      </c>
      <c r="D246" s="81">
        <f>(0.25*0.25*0.504)*4*2</f>
        <v>0.252</v>
      </c>
      <c r="E246" s="37">
        <v>450</v>
      </c>
      <c r="F246" s="37"/>
      <c r="G246" s="38">
        <f t="shared" si="35"/>
        <v>113.4</v>
      </c>
      <c r="H246" s="38"/>
      <c r="I246" s="38">
        <f t="shared" si="36"/>
        <v>113.4</v>
      </c>
    </row>
    <row r="247" spans="1:9">
      <c r="A247" s="33" t="s">
        <v>311</v>
      </c>
      <c r="B247" s="56" t="s">
        <v>307</v>
      </c>
      <c r="C247" s="41" t="s">
        <v>20</v>
      </c>
      <c r="D247" s="81">
        <f>ROUND(394*D246,0.1)</f>
        <v>99</v>
      </c>
      <c r="E247" s="37"/>
      <c r="F247" s="37">
        <v>15.6</v>
      </c>
      <c r="G247" s="38"/>
      <c r="H247" s="38">
        <f t="shared" si="37"/>
        <v>1544.3999999999999</v>
      </c>
      <c r="I247" s="38">
        <f t="shared" si="36"/>
        <v>1544.3999999999999</v>
      </c>
    </row>
    <row r="248" spans="1:9">
      <c r="A248" s="33" t="s">
        <v>313</v>
      </c>
      <c r="B248" s="56" t="s">
        <v>172</v>
      </c>
      <c r="C248" s="41" t="s">
        <v>9</v>
      </c>
      <c r="D248" s="81">
        <f>0.283*D246</f>
        <v>7.1315999999999991E-2</v>
      </c>
      <c r="E248" s="37"/>
      <c r="F248" s="37">
        <v>3900</v>
      </c>
      <c r="G248" s="38"/>
      <c r="H248" s="38">
        <f t="shared" si="37"/>
        <v>278.13239999999996</v>
      </c>
      <c r="I248" s="38">
        <f t="shared" si="36"/>
        <v>278.13239999999996</v>
      </c>
    </row>
    <row r="249" spans="1:9" s="1" customFormat="1">
      <c r="A249" s="33" t="s">
        <v>320</v>
      </c>
      <c r="B249" s="40" t="s">
        <v>309</v>
      </c>
      <c r="C249" s="41" t="s">
        <v>310</v>
      </c>
      <c r="D249" s="81">
        <f>38.4</f>
        <v>38.4</v>
      </c>
      <c r="E249" s="37">
        <v>2500</v>
      </c>
      <c r="F249" s="37"/>
      <c r="G249" s="38">
        <f t="shared" si="35"/>
        <v>96000</v>
      </c>
      <c r="H249" s="38"/>
      <c r="I249" s="38">
        <f t="shared" si="36"/>
        <v>96000</v>
      </c>
    </row>
    <row r="250" spans="1:9">
      <c r="A250" s="33" t="s">
        <v>2207</v>
      </c>
      <c r="B250" s="56" t="s">
        <v>312</v>
      </c>
      <c r="C250" s="41" t="s">
        <v>25</v>
      </c>
      <c r="D250" s="81">
        <f>D249</f>
        <v>38.4</v>
      </c>
      <c r="E250" s="37"/>
      <c r="F250" s="37">
        <v>2300</v>
      </c>
      <c r="G250" s="38"/>
      <c r="H250" s="38">
        <f t="shared" si="37"/>
        <v>88320</v>
      </c>
      <c r="I250" s="38">
        <f t="shared" si="36"/>
        <v>88320</v>
      </c>
    </row>
    <row r="251" spans="1:9">
      <c r="A251" s="33" t="s">
        <v>2208</v>
      </c>
      <c r="B251" s="56" t="s">
        <v>314</v>
      </c>
      <c r="C251" s="41" t="s">
        <v>20</v>
      </c>
      <c r="D251" s="81">
        <v>4</v>
      </c>
      <c r="E251" s="37"/>
      <c r="F251" s="37">
        <v>15000</v>
      </c>
      <c r="G251" s="38"/>
      <c r="H251" s="38">
        <f t="shared" si="37"/>
        <v>60000</v>
      </c>
      <c r="I251" s="38">
        <f t="shared" si="36"/>
        <v>60000</v>
      </c>
    </row>
    <row r="252" spans="1:9">
      <c r="A252" s="33" t="s">
        <v>2209</v>
      </c>
      <c r="B252" s="56" t="s">
        <v>315</v>
      </c>
      <c r="C252" s="41" t="s">
        <v>20</v>
      </c>
      <c r="D252" s="81">
        <v>31</v>
      </c>
      <c r="E252" s="37"/>
      <c r="F252" s="37">
        <v>700</v>
      </c>
      <c r="G252" s="38"/>
      <c r="H252" s="38">
        <f t="shared" si="37"/>
        <v>21700</v>
      </c>
      <c r="I252" s="38">
        <f t="shared" si="36"/>
        <v>21700</v>
      </c>
    </row>
    <row r="253" spans="1:9" s="1" customFormat="1">
      <c r="A253" s="33" t="s">
        <v>2210</v>
      </c>
      <c r="B253" s="56" t="s">
        <v>316</v>
      </c>
      <c r="C253" s="41" t="s">
        <v>9</v>
      </c>
      <c r="D253" s="81">
        <f>(0.9*1.1+0.9*1.1+1.2*1.6)*0.2</f>
        <v>0.78000000000000014</v>
      </c>
      <c r="E253" s="37">
        <v>1560</v>
      </c>
      <c r="F253" s="37"/>
      <c r="G253" s="38">
        <f t="shared" si="35"/>
        <v>1216.8000000000002</v>
      </c>
      <c r="H253" s="38"/>
      <c r="I253" s="38">
        <f t="shared" si="36"/>
        <v>1216.8000000000002</v>
      </c>
    </row>
    <row r="254" spans="1:9">
      <c r="A254" s="33" t="s">
        <v>2211</v>
      </c>
      <c r="B254" s="40" t="s">
        <v>234</v>
      </c>
      <c r="C254" s="41" t="s">
        <v>9</v>
      </c>
      <c r="D254" s="81">
        <f>D253*1.05</f>
        <v>0.81900000000000017</v>
      </c>
      <c r="E254" s="37"/>
      <c r="F254" s="74">
        <v>4200</v>
      </c>
      <c r="G254" s="38"/>
      <c r="H254" s="38">
        <f t="shared" si="37"/>
        <v>3439.8000000000006</v>
      </c>
      <c r="I254" s="38">
        <f t="shared" si="36"/>
        <v>3439.8000000000006</v>
      </c>
    </row>
    <row r="255" spans="1:9">
      <c r="A255" s="33" t="s">
        <v>2210</v>
      </c>
      <c r="B255" s="56" t="s">
        <v>2212</v>
      </c>
      <c r="C255" s="41" t="s">
        <v>42</v>
      </c>
      <c r="D255" s="81">
        <f>SUM(D256:D259)</f>
        <v>0.14898</v>
      </c>
      <c r="E255" s="37">
        <v>25000</v>
      </c>
      <c r="F255" s="37"/>
      <c r="G255" s="38">
        <f t="shared" ref="G255" si="40">D255*E255</f>
        <v>3724.5</v>
      </c>
      <c r="H255" s="38"/>
      <c r="I255" s="38">
        <f t="shared" ref="I255:I261" si="41">G255+H255</f>
        <v>3724.5</v>
      </c>
    </row>
    <row r="256" spans="1:9">
      <c r="A256" s="33" t="s">
        <v>2211</v>
      </c>
      <c r="B256" s="56" t="s">
        <v>161</v>
      </c>
      <c r="C256" s="41" t="s">
        <v>42</v>
      </c>
      <c r="D256" s="81">
        <f>(3*4.12+1*3.25+1*1.62+1*0.87)*5/1000*1.04</f>
        <v>9.4119999999999995E-2</v>
      </c>
      <c r="E256" s="37"/>
      <c r="F256" s="37">
        <v>48280.01</v>
      </c>
      <c r="G256" s="38"/>
      <c r="H256" s="38">
        <f t="shared" ref="H256:H261" si="42">D256*F256</f>
        <v>4544.1145411999996</v>
      </c>
      <c r="I256" s="38">
        <f t="shared" si="41"/>
        <v>4544.1145411999996</v>
      </c>
    </row>
    <row r="257" spans="1:9">
      <c r="A257" s="33" t="s">
        <v>2213</v>
      </c>
      <c r="B257" s="56" t="s">
        <v>317</v>
      </c>
      <c r="C257" s="41" t="s">
        <v>42</v>
      </c>
      <c r="D257" s="81">
        <f>(1*0.65+4*0.06)*5/1000*1.04</f>
        <v>4.6280000000000002E-3</v>
      </c>
      <c r="E257" s="37"/>
      <c r="F257" s="37">
        <v>44500</v>
      </c>
      <c r="G257" s="38"/>
      <c r="H257" s="38">
        <f t="shared" si="42"/>
        <v>205.946</v>
      </c>
      <c r="I257" s="38">
        <f t="shared" si="41"/>
        <v>205.946</v>
      </c>
    </row>
    <row r="258" spans="1:9">
      <c r="A258" s="33" t="s">
        <v>2214</v>
      </c>
      <c r="B258" s="56" t="s">
        <v>318</v>
      </c>
      <c r="C258" s="41" t="s">
        <v>42</v>
      </c>
      <c r="D258" s="81">
        <f>9.04*5/1000*1.04</f>
        <v>4.7008000000000001E-2</v>
      </c>
      <c r="E258" s="37"/>
      <c r="F258" s="37">
        <v>46160</v>
      </c>
      <c r="G258" s="38"/>
      <c r="H258" s="38">
        <f t="shared" si="42"/>
        <v>2169.8892799999999</v>
      </c>
      <c r="I258" s="38">
        <f t="shared" si="41"/>
        <v>2169.8892799999999</v>
      </c>
    </row>
    <row r="259" spans="1:9">
      <c r="A259" s="33" t="s">
        <v>2215</v>
      </c>
      <c r="B259" s="56" t="s">
        <v>319</v>
      </c>
      <c r="C259" s="41" t="s">
        <v>42</v>
      </c>
      <c r="D259" s="81">
        <f>(2*0.31)*5/1000*1.04</f>
        <v>3.2239999999999999E-3</v>
      </c>
      <c r="E259" s="37"/>
      <c r="F259" s="37">
        <v>36300</v>
      </c>
      <c r="G259" s="38"/>
      <c r="H259" s="38">
        <f t="shared" si="42"/>
        <v>117.0312</v>
      </c>
      <c r="I259" s="38">
        <f t="shared" si="41"/>
        <v>117.0312</v>
      </c>
    </row>
    <row r="260" spans="1:9">
      <c r="A260" s="33" t="s">
        <v>2216</v>
      </c>
      <c r="B260" s="56" t="s">
        <v>225</v>
      </c>
      <c r="C260" s="41" t="s">
        <v>125</v>
      </c>
      <c r="D260" s="81">
        <f>3.89*2*D255</f>
        <v>1.1590644000000001</v>
      </c>
      <c r="E260" s="37"/>
      <c r="F260" s="74">
        <v>67</v>
      </c>
      <c r="G260" s="38"/>
      <c r="H260" s="38">
        <f t="shared" si="42"/>
        <v>77.657314800000009</v>
      </c>
      <c r="I260" s="38">
        <f t="shared" si="41"/>
        <v>77.657314800000009</v>
      </c>
    </row>
    <row r="261" spans="1:9">
      <c r="A261" s="33" t="s">
        <v>2217</v>
      </c>
      <c r="B261" s="56" t="s">
        <v>226</v>
      </c>
      <c r="C261" s="41" t="s">
        <v>125</v>
      </c>
      <c r="D261" s="81">
        <f>3.37*2*D255</f>
        <v>1.0041252000000001</v>
      </c>
      <c r="E261" s="37"/>
      <c r="F261" s="74">
        <v>77</v>
      </c>
      <c r="G261" s="38"/>
      <c r="H261" s="38">
        <f t="shared" si="42"/>
        <v>77.317640400000002</v>
      </c>
      <c r="I261" s="38">
        <f t="shared" si="41"/>
        <v>77.317640400000002</v>
      </c>
    </row>
    <row r="262" spans="1:9" ht="27.6">
      <c r="A262" s="33" t="s">
        <v>2218</v>
      </c>
      <c r="B262" s="56" t="s">
        <v>321</v>
      </c>
      <c r="C262" s="41" t="s">
        <v>1438</v>
      </c>
      <c r="D262" s="81">
        <v>1</v>
      </c>
      <c r="E262" s="37">
        <v>36900</v>
      </c>
      <c r="F262" s="75"/>
      <c r="G262" s="38">
        <f t="shared" ref="G262" si="43">D262*E262</f>
        <v>36900</v>
      </c>
      <c r="H262" s="38"/>
      <c r="I262" s="38">
        <f t="shared" ref="I262" si="44">G262+H262</f>
        <v>36900</v>
      </c>
    </row>
    <row r="263" spans="1:9">
      <c r="A263" s="27"/>
      <c r="B263" s="427" t="s">
        <v>2085</v>
      </c>
      <c r="C263" s="533" t="s">
        <v>2223</v>
      </c>
      <c r="D263" s="534"/>
      <c r="E263" s="534"/>
      <c r="F263" s="535"/>
      <c r="G263" s="32">
        <f>SUM(G191:G262)</f>
        <v>5884582.2599999998</v>
      </c>
      <c r="H263" s="32">
        <f t="shared" ref="H263:I263" si="45">SUM(H191:H262)</f>
        <v>11625218.578189675</v>
      </c>
      <c r="I263" s="32">
        <f t="shared" si="45"/>
        <v>17509800.838189658</v>
      </c>
    </row>
    <row r="264" spans="1:9">
      <c r="A264" s="27"/>
      <c r="B264" s="427" t="s">
        <v>2088</v>
      </c>
      <c r="C264" s="530"/>
      <c r="D264" s="531"/>
      <c r="E264" s="531"/>
      <c r="F264" s="532"/>
      <c r="G264" s="32">
        <f>PRODUCT(G263,1/1.2,0.2)</f>
        <v>980763.71</v>
      </c>
      <c r="H264" s="32">
        <f>PRODUCT(H263,1/1.2,0.2)</f>
        <v>1937536.4296982791</v>
      </c>
      <c r="I264" s="32">
        <f>PRODUCT(I263,1/1.2,0.2)</f>
        <v>2918300.1396982763</v>
      </c>
    </row>
    <row r="265" spans="1:9" s="2" customFormat="1">
      <c r="A265" s="112"/>
      <c r="B265" s="113" t="s">
        <v>2219</v>
      </c>
      <c r="C265" s="114"/>
      <c r="D265" s="115"/>
      <c r="E265" s="116"/>
      <c r="F265" s="117"/>
      <c r="G265" s="118"/>
      <c r="H265" s="118"/>
      <c r="I265" s="118"/>
    </row>
    <row r="266" spans="1:9" s="2" customFormat="1">
      <c r="A266" s="119" t="s">
        <v>322</v>
      </c>
      <c r="B266" s="129" t="s">
        <v>323</v>
      </c>
      <c r="C266" s="121" t="s">
        <v>111</v>
      </c>
      <c r="D266" s="127">
        <f>501.34+733.6+49.59+18.5328+215.34+130.66+9.46+321.31+54.38+276.11+577.95+148.85+29.52+471.5</f>
        <v>3538.1427999999996</v>
      </c>
      <c r="E266" s="457">
        <v>550</v>
      </c>
      <c r="F266" s="124"/>
      <c r="G266" s="455">
        <f>PRODUCT(D266:E266)</f>
        <v>1945978.5399999998</v>
      </c>
      <c r="H266" s="456"/>
      <c r="I266" s="456">
        <f>SUM(G266:H266)</f>
        <v>1945978.5399999998</v>
      </c>
    </row>
    <row r="267" spans="1:9" s="2" customFormat="1" ht="15.6">
      <c r="A267" s="119" t="s">
        <v>324</v>
      </c>
      <c r="B267" s="120" t="s">
        <v>325</v>
      </c>
      <c r="C267" s="121" t="s">
        <v>326</v>
      </c>
      <c r="D267" s="122">
        <f>PRODUCT(D266,0.15,1/10)</f>
        <v>53.072141999999999</v>
      </c>
      <c r="E267" s="123"/>
      <c r="F267" s="124">
        <v>485</v>
      </c>
      <c r="G267" s="125"/>
      <c r="H267" s="126">
        <f>PRODUCT(D267,F267)</f>
        <v>25739.988870000001</v>
      </c>
      <c r="I267" s="152">
        <f t="shared" ref="I267:I299" si="46">G267+H267</f>
        <v>25739.988870000001</v>
      </c>
    </row>
    <row r="268" spans="1:9" s="2" customFormat="1" ht="15.6">
      <c r="A268" s="119" t="s">
        <v>327</v>
      </c>
      <c r="B268" s="120" t="s">
        <v>328</v>
      </c>
      <c r="C268" s="121" t="s">
        <v>329</v>
      </c>
      <c r="D268" s="127">
        <f>PRODUCT(D266,0.15,1.1)</f>
        <v>583.79356200000007</v>
      </c>
      <c r="E268" s="128"/>
      <c r="F268" s="124">
        <v>3650</v>
      </c>
      <c r="G268" s="125"/>
      <c r="H268" s="126">
        <f t="shared" ref="H268:H275" si="47">PRODUCT(D268,F268)</f>
        <v>2130846.5013000001</v>
      </c>
      <c r="I268" s="152">
        <f t="shared" si="46"/>
        <v>2130846.5013000001</v>
      </c>
    </row>
    <row r="269" spans="1:9" s="2" customFormat="1" ht="15.6">
      <c r="A269" s="119" t="s">
        <v>330</v>
      </c>
      <c r="B269" s="129" t="s">
        <v>331</v>
      </c>
      <c r="C269" s="121" t="s">
        <v>332</v>
      </c>
      <c r="D269" s="122">
        <f>PRODUCT(D266,6)</f>
        <v>21228.856799999998</v>
      </c>
      <c r="E269" s="128"/>
      <c r="F269" s="124">
        <v>9.5</v>
      </c>
      <c r="G269" s="125"/>
      <c r="H269" s="126">
        <f t="shared" si="47"/>
        <v>201674.13959999997</v>
      </c>
      <c r="I269" s="152">
        <f t="shared" si="46"/>
        <v>201674.13959999997</v>
      </c>
    </row>
    <row r="270" spans="1:9" s="2" customFormat="1">
      <c r="A270" s="119" t="s">
        <v>333</v>
      </c>
      <c r="B270" s="129" t="s">
        <v>334</v>
      </c>
      <c r="C270" s="121" t="s">
        <v>335</v>
      </c>
      <c r="D270" s="122">
        <f>PRODUCT(D266,1.1,1/50)</f>
        <v>77.839141599999991</v>
      </c>
      <c r="E270" s="128"/>
      <c r="F270" s="124">
        <v>1875</v>
      </c>
      <c r="G270" s="125"/>
      <c r="H270" s="126">
        <f t="shared" si="47"/>
        <v>145948.39049999998</v>
      </c>
      <c r="I270" s="152">
        <f t="shared" si="46"/>
        <v>145948.39049999998</v>
      </c>
    </row>
    <row r="271" spans="1:9" s="2" customFormat="1" ht="15.6">
      <c r="A271" s="119" t="s">
        <v>336</v>
      </c>
      <c r="B271" s="130" t="s">
        <v>337</v>
      </c>
      <c r="C271" s="131" t="s">
        <v>338</v>
      </c>
      <c r="D271" s="122">
        <f>PRODUCT(D266,8,1/25)</f>
        <v>1132.205696</v>
      </c>
      <c r="E271" s="128"/>
      <c r="F271" s="132">
        <v>360</v>
      </c>
      <c r="G271" s="125"/>
      <c r="H271" s="126">
        <f t="shared" si="47"/>
        <v>407594.05056</v>
      </c>
      <c r="I271" s="152">
        <f t="shared" si="46"/>
        <v>407594.05056</v>
      </c>
    </row>
    <row r="272" spans="1:9" s="2" customFormat="1" ht="15.6">
      <c r="A272" s="119" t="s">
        <v>339</v>
      </c>
      <c r="B272" s="133" t="s">
        <v>340</v>
      </c>
      <c r="C272" s="121" t="s">
        <v>338</v>
      </c>
      <c r="D272" s="122">
        <f>PRODUCT(D266,6,1/25)</f>
        <v>849.15427199999988</v>
      </c>
      <c r="E272" s="128"/>
      <c r="F272" s="124">
        <v>410</v>
      </c>
      <c r="G272" s="125"/>
      <c r="H272" s="126">
        <f t="shared" si="47"/>
        <v>348153.25151999993</v>
      </c>
      <c r="I272" s="152">
        <f t="shared" si="46"/>
        <v>348153.25151999993</v>
      </c>
    </row>
    <row r="273" spans="1:9" s="2" customFormat="1" ht="15.6">
      <c r="A273" s="119" t="s">
        <v>341</v>
      </c>
      <c r="B273" s="120" t="s">
        <v>342</v>
      </c>
      <c r="C273" s="121" t="s">
        <v>326</v>
      </c>
      <c r="D273" s="122">
        <f>PRODUCT(D266,0.15,1/10)</f>
        <v>53.072141999999999</v>
      </c>
      <c r="E273" s="128"/>
      <c r="F273" s="124">
        <v>786</v>
      </c>
      <c r="G273" s="125"/>
      <c r="H273" s="126">
        <f t="shared" si="47"/>
        <v>41714.703611999998</v>
      </c>
      <c r="I273" s="152">
        <f t="shared" si="46"/>
        <v>41714.703611999998</v>
      </c>
    </row>
    <row r="274" spans="1:9" s="2" customFormat="1" ht="31.2">
      <c r="A274" s="119" t="s">
        <v>343</v>
      </c>
      <c r="B274" s="120" t="s">
        <v>344</v>
      </c>
      <c r="C274" s="121" t="s">
        <v>338</v>
      </c>
      <c r="D274" s="122">
        <f>PRODUCT(D266,3,1/25)</f>
        <v>424.57713599999994</v>
      </c>
      <c r="E274" s="123"/>
      <c r="F274" s="124">
        <v>584</v>
      </c>
      <c r="G274" s="125"/>
      <c r="H274" s="126">
        <f t="shared" si="47"/>
        <v>247953.04742399996</v>
      </c>
      <c r="I274" s="152">
        <f t="shared" si="46"/>
        <v>247953.04742399996</v>
      </c>
    </row>
    <row r="275" spans="1:9" s="2" customFormat="1">
      <c r="A275" s="119" t="s">
        <v>345</v>
      </c>
      <c r="B275" s="129" t="s">
        <v>346</v>
      </c>
      <c r="C275" s="121" t="s">
        <v>347</v>
      </c>
      <c r="D275" s="127">
        <f>ROUND((72.06*2+66.74*2+22.8+22.3+6.6+4.29)/2.5,0)</f>
        <v>133</v>
      </c>
      <c r="E275" s="128"/>
      <c r="F275" s="124">
        <v>44</v>
      </c>
      <c r="G275" s="125"/>
      <c r="H275" s="126">
        <f t="shared" si="47"/>
        <v>5852</v>
      </c>
      <c r="I275" s="152">
        <f t="shared" si="46"/>
        <v>5852</v>
      </c>
    </row>
    <row r="276" spans="1:9" s="2" customFormat="1">
      <c r="A276" s="119" t="s">
        <v>348</v>
      </c>
      <c r="B276" s="129" t="s">
        <v>349</v>
      </c>
      <c r="C276" s="121" t="s">
        <v>111</v>
      </c>
      <c r="D276" s="127">
        <f>102.14+15.62+280.65</f>
        <v>398.40999999999997</v>
      </c>
      <c r="E276" s="124">
        <v>400</v>
      </c>
      <c r="F276" s="124"/>
      <c r="G276" s="455">
        <f>PRODUCT(D276:E276)</f>
        <v>159364</v>
      </c>
      <c r="H276" s="126"/>
      <c r="I276" s="456">
        <f>SUM(G276:H276)</f>
        <v>159364</v>
      </c>
    </row>
    <row r="277" spans="1:9" s="2" customFormat="1" ht="15.6">
      <c r="A277" s="119" t="s">
        <v>350</v>
      </c>
      <c r="B277" s="120" t="s">
        <v>325</v>
      </c>
      <c r="C277" s="121" t="s">
        <v>326</v>
      </c>
      <c r="D277" s="122">
        <f>PRODUCT(D276,0.15,1/10)</f>
        <v>5.9761499999999996</v>
      </c>
      <c r="E277" s="134"/>
      <c r="F277" s="124">
        <v>485</v>
      </c>
      <c r="G277" s="125"/>
      <c r="H277" s="126">
        <f>PRODUCT(D277,F277)</f>
        <v>2898.4327499999999</v>
      </c>
      <c r="I277" s="152">
        <f t="shared" si="46"/>
        <v>2898.4327499999999</v>
      </c>
    </row>
    <row r="278" spans="1:9" s="2" customFormat="1" ht="15.6">
      <c r="A278" s="119" t="s">
        <v>351</v>
      </c>
      <c r="B278" s="120" t="s">
        <v>328</v>
      </c>
      <c r="C278" s="121" t="s">
        <v>329</v>
      </c>
      <c r="D278" s="127">
        <f>PRODUCT(D276,0.1,1.1)</f>
        <v>43.825100000000006</v>
      </c>
      <c r="E278" s="135"/>
      <c r="F278" s="124">
        <v>3650</v>
      </c>
      <c r="G278" s="125"/>
      <c r="H278" s="126">
        <f t="shared" ref="H278:H285" si="48">PRODUCT(D278,F278)</f>
        <v>159961.61500000002</v>
      </c>
      <c r="I278" s="152">
        <f t="shared" si="46"/>
        <v>159961.61500000002</v>
      </c>
    </row>
    <row r="279" spans="1:9" s="2" customFormat="1" ht="15.6">
      <c r="A279" s="119" t="s">
        <v>352</v>
      </c>
      <c r="B279" s="129" t="s">
        <v>331</v>
      </c>
      <c r="C279" s="121" t="s">
        <v>332</v>
      </c>
      <c r="D279" s="122">
        <f>PRODUCT(D276,6)</f>
        <v>2390.46</v>
      </c>
      <c r="E279" s="135"/>
      <c r="F279" s="124">
        <v>9.5</v>
      </c>
      <c r="G279" s="125"/>
      <c r="H279" s="126">
        <f t="shared" si="48"/>
        <v>22709.37</v>
      </c>
      <c r="I279" s="152">
        <f t="shared" si="46"/>
        <v>22709.37</v>
      </c>
    </row>
    <row r="280" spans="1:9" s="2" customFormat="1">
      <c r="A280" s="119" t="s">
        <v>353</v>
      </c>
      <c r="B280" s="129" t="s">
        <v>334</v>
      </c>
      <c r="C280" s="121" t="s">
        <v>335</v>
      </c>
      <c r="D280" s="122">
        <f>PRODUCT(D276,1.1,1/50)</f>
        <v>8.7650199999999998</v>
      </c>
      <c r="E280" s="135"/>
      <c r="F280" s="124">
        <v>1875</v>
      </c>
      <c r="G280" s="125"/>
      <c r="H280" s="126">
        <f t="shared" si="48"/>
        <v>16434.412499999999</v>
      </c>
      <c r="I280" s="152">
        <f t="shared" si="46"/>
        <v>16434.412499999999</v>
      </c>
    </row>
    <row r="281" spans="1:9" s="2" customFormat="1" ht="15.6">
      <c r="A281" s="119" t="s">
        <v>354</v>
      </c>
      <c r="B281" s="130" t="s">
        <v>337</v>
      </c>
      <c r="C281" s="131" t="s">
        <v>338</v>
      </c>
      <c r="D281" s="122">
        <f>PRODUCT(D276,8,1/25)</f>
        <v>127.49119999999999</v>
      </c>
      <c r="E281" s="135"/>
      <c r="F281" s="132">
        <v>360</v>
      </c>
      <c r="G281" s="125"/>
      <c r="H281" s="126">
        <f t="shared" si="48"/>
        <v>45896.831999999995</v>
      </c>
      <c r="I281" s="152">
        <f t="shared" si="46"/>
        <v>45896.831999999995</v>
      </c>
    </row>
    <row r="282" spans="1:9" s="2" customFormat="1" ht="15.6">
      <c r="A282" s="119" t="s">
        <v>355</v>
      </c>
      <c r="B282" s="133" t="s">
        <v>340</v>
      </c>
      <c r="C282" s="121" t="s">
        <v>338</v>
      </c>
      <c r="D282" s="122">
        <f>PRODUCT(D276,6,1/25)</f>
        <v>95.618400000000008</v>
      </c>
      <c r="E282" s="135"/>
      <c r="F282" s="124">
        <v>410</v>
      </c>
      <c r="G282" s="125"/>
      <c r="H282" s="126">
        <f t="shared" si="48"/>
        <v>39203.544000000002</v>
      </c>
      <c r="I282" s="152">
        <f t="shared" si="46"/>
        <v>39203.544000000002</v>
      </c>
    </row>
    <row r="283" spans="1:9" s="2" customFormat="1" ht="15.6">
      <c r="A283" s="119" t="s">
        <v>356</v>
      </c>
      <c r="B283" s="120" t="s">
        <v>342</v>
      </c>
      <c r="C283" s="121" t="s">
        <v>326</v>
      </c>
      <c r="D283" s="122">
        <f>PRODUCT(D276,0.15,1/10)</f>
        <v>5.9761499999999996</v>
      </c>
      <c r="E283" s="135"/>
      <c r="F283" s="124">
        <v>786</v>
      </c>
      <c r="G283" s="125"/>
      <c r="H283" s="126">
        <f t="shared" si="48"/>
        <v>4697.2538999999997</v>
      </c>
      <c r="I283" s="152">
        <f t="shared" si="46"/>
        <v>4697.2538999999997</v>
      </c>
    </row>
    <row r="284" spans="1:9" s="2" customFormat="1" ht="31.2">
      <c r="A284" s="119" t="s">
        <v>357</v>
      </c>
      <c r="B284" s="120" t="s">
        <v>344</v>
      </c>
      <c r="C284" s="121" t="s">
        <v>338</v>
      </c>
      <c r="D284" s="122">
        <f>PRODUCT(D276,3,1/25)</f>
        <v>47.809200000000004</v>
      </c>
      <c r="E284" s="135"/>
      <c r="F284" s="124">
        <v>584</v>
      </c>
      <c r="G284" s="125"/>
      <c r="H284" s="126">
        <f t="shared" si="48"/>
        <v>27920.572800000002</v>
      </c>
      <c r="I284" s="152">
        <f t="shared" si="46"/>
        <v>27920.572800000002</v>
      </c>
    </row>
    <row r="285" spans="1:9" s="2" customFormat="1">
      <c r="A285" s="119" t="s">
        <v>358</v>
      </c>
      <c r="B285" s="129" t="s">
        <v>346</v>
      </c>
      <c r="C285" s="121" t="s">
        <v>347</v>
      </c>
      <c r="D285" s="127">
        <f>ROUND((19.22*2+10.98*2+3.52+4.915*9+3.98*2+0.935)/2.5,0)</f>
        <v>47</v>
      </c>
      <c r="E285" s="123"/>
      <c r="F285" s="124">
        <v>44</v>
      </c>
      <c r="G285" s="125"/>
      <c r="H285" s="126">
        <f t="shared" si="48"/>
        <v>2068</v>
      </c>
      <c r="I285" s="152">
        <f t="shared" si="46"/>
        <v>2068</v>
      </c>
    </row>
    <row r="286" spans="1:9" s="2" customFormat="1">
      <c r="A286" s="119" t="s">
        <v>359</v>
      </c>
      <c r="B286" s="129" t="s">
        <v>360</v>
      </c>
      <c r="C286" s="121" t="s">
        <v>111</v>
      </c>
      <c r="D286" s="127">
        <f>201.08+163.7922+6.19+251.92+225.94+234.94</f>
        <v>1083.8622</v>
      </c>
      <c r="E286" s="124">
        <v>450</v>
      </c>
      <c r="F286" s="124"/>
      <c r="G286" s="455">
        <f>PRODUCT(D286:E286)</f>
        <v>487737.99</v>
      </c>
      <c r="H286" s="126"/>
      <c r="I286" s="456">
        <f>SUM(G286:H286)</f>
        <v>487737.99</v>
      </c>
    </row>
    <row r="287" spans="1:9" s="2" customFormat="1" ht="15.6">
      <c r="A287" s="119" t="s">
        <v>361</v>
      </c>
      <c r="B287" s="120" t="s">
        <v>362</v>
      </c>
      <c r="C287" s="121" t="s">
        <v>326</v>
      </c>
      <c r="D287" s="122">
        <f>PRODUCT(D286,0.15,1/10)</f>
        <v>16.257933000000001</v>
      </c>
      <c r="E287" s="136"/>
      <c r="F287" s="124">
        <v>786</v>
      </c>
      <c r="G287" s="125"/>
      <c r="H287" s="126">
        <f>PRODUCT(D287,F287)</f>
        <v>12778.735338</v>
      </c>
      <c r="I287" s="153">
        <f t="shared" si="46"/>
        <v>12778.735338</v>
      </c>
    </row>
    <row r="288" spans="1:9" s="2" customFormat="1">
      <c r="A288" s="119" t="s">
        <v>363</v>
      </c>
      <c r="B288" s="129" t="s">
        <v>334</v>
      </c>
      <c r="C288" s="121" t="s">
        <v>335</v>
      </c>
      <c r="D288" s="122">
        <f>PRODUCT(D286,1.1,1/50)</f>
        <v>23.844968400000003</v>
      </c>
      <c r="E288" s="137"/>
      <c r="F288" s="124">
        <v>1875</v>
      </c>
      <c r="G288" s="125"/>
      <c r="H288" s="126">
        <f>PRODUCT(D288,F288)</f>
        <v>44709.315750000002</v>
      </c>
      <c r="I288" s="153">
        <f t="shared" si="46"/>
        <v>44709.315750000002</v>
      </c>
    </row>
    <row r="289" spans="1:9" s="2" customFormat="1" ht="15.6">
      <c r="A289" s="119" t="s">
        <v>364</v>
      </c>
      <c r="B289" s="133" t="s">
        <v>340</v>
      </c>
      <c r="C289" s="121" t="s">
        <v>338</v>
      </c>
      <c r="D289" s="122">
        <f>PRODUCT(D286,6,1/25)</f>
        <v>260.12692800000002</v>
      </c>
      <c r="E289" s="137"/>
      <c r="F289" s="124">
        <v>410</v>
      </c>
      <c r="G289" s="125"/>
      <c r="H289" s="126">
        <f>PRODUCT(D289,F289)</f>
        <v>106652.04048000001</v>
      </c>
      <c r="I289" s="153">
        <f t="shared" si="46"/>
        <v>106652.04048000001</v>
      </c>
    </row>
    <row r="290" spans="1:9" s="2" customFormat="1" ht="15.6">
      <c r="A290" s="119" t="s">
        <v>365</v>
      </c>
      <c r="B290" s="120" t="s">
        <v>366</v>
      </c>
      <c r="C290" s="121" t="s">
        <v>326</v>
      </c>
      <c r="D290" s="122">
        <f>PRODUCT(D286,0.15,1/10)</f>
        <v>16.257933000000001</v>
      </c>
      <c r="E290" s="136"/>
      <c r="F290" s="124">
        <v>786</v>
      </c>
      <c r="G290" s="125"/>
      <c r="H290" s="126">
        <f>PRODUCT(D290,F290)</f>
        <v>12778.735338</v>
      </c>
      <c r="I290" s="153">
        <f t="shared" si="46"/>
        <v>12778.735338</v>
      </c>
    </row>
    <row r="291" spans="1:9" s="2" customFormat="1" ht="31.2">
      <c r="A291" s="119" t="s">
        <v>367</v>
      </c>
      <c r="B291" s="120" t="s">
        <v>344</v>
      </c>
      <c r="C291" s="121" t="s">
        <v>338</v>
      </c>
      <c r="D291" s="122">
        <f>PRODUCT(D286,3,1/25)</f>
        <v>130.06346400000001</v>
      </c>
      <c r="E291" s="137"/>
      <c r="F291" s="124">
        <v>584</v>
      </c>
      <c r="G291" s="125"/>
      <c r="H291" s="126">
        <f>PRODUCT(D291,F291)</f>
        <v>75957.062976000001</v>
      </c>
      <c r="I291" s="153">
        <f t="shared" si="46"/>
        <v>75957.062976000001</v>
      </c>
    </row>
    <row r="292" spans="1:9" s="2" customFormat="1">
      <c r="A292" s="119" t="s">
        <v>368</v>
      </c>
      <c r="B292" s="129" t="s">
        <v>369</v>
      </c>
      <c r="C292" s="121" t="s">
        <v>111</v>
      </c>
      <c r="D292" s="122">
        <f>160.41+125.44+222.15</f>
        <v>508</v>
      </c>
      <c r="E292" s="124">
        <v>450</v>
      </c>
      <c r="F292" s="124"/>
      <c r="G292" s="455">
        <f>PRODUCT(D292:E292)</f>
        <v>228600</v>
      </c>
      <c r="H292" s="126"/>
      <c r="I292" s="456">
        <f>SUM(G292:H292)</f>
        <v>228600</v>
      </c>
    </row>
    <row r="293" spans="1:9" s="2" customFormat="1">
      <c r="A293" s="119" t="s">
        <v>370</v>
      </c>
      <c r="B293" s="129" t="s">
        <v>334</v>
      </c>
      <c r="C293" s="121" t="s">
        <v>335</v>
      </c>
      <c r="D293" s="122">
        <f>PRODUCT(D292,1.1,1/50)</f>
        <v>11.176000000000002</v>
      </c>
      <c r="E293" s="137"/>
      <c r="F293" s="124">
        <v>1875</v>
      </c>
      <c r="G293" s="125"/>
      <c r="H293" s="126">
        <f t="shared" ref="H293:H299" si="49">PRODUCT(D293,F293)</f>
        <v>20955.000000000004</v>
      </c>
      <c r="I293" s="152">
        <f t="shared" si="46"/>
        <v>20955.000000000004</v>
      </c>
    </row>
    <row r="294" spans="1:9" s="2" customFormat="1" ht="15.6">
      <c r="A294" s="119" t="s">
        <v>371</v>
      </c>
      <c r="B294" s="133" t="s">
        <v>340</v>
      </c>
      <c r="C294" s="121" t="s">
        <v>338</v>
      </c>
      <c r="D294" s="122">
        <f>PRODUCT(D292,6,1/25)</f>
        <v>121.92</v>
      </c>
      <c r="E294" s="137"/>
      <c r="F294" s="124">
        <v>410</v>
      </c>
      <c r="G294" s="125"/>
      <c r="H294" s="126">
        <f t="shared" si="49"/>
        <v>49987.199999999997</v>
      </c>
      <c r="I294" s="152">
        <f t="shared" si="46"/>
        <v>49987.199999999997</v>
      </c>
    </row>
    <row r="295" spans="1:9" s="2" customFormat="1" ht="15.6">
      <c r="A295" s="119" t="s">
        <v>372</v>
      </c>
      <c r="B295" s="120" t="s">
        <v>366</v>
      </c>
      <c r="C295" s="121" t="s">
        <v>326</v>
      </c>
      <c r="D295" s="122">
        <f>PRODUCT(D292,0.15,1/10)</f>
        <v>7.620000000000001</v>
      </c>
      <c r="E295" s="136"/>
      <c r="F295" s="124">
        <v>786</v>
      </c>
      <c r="G295" s="125"/>
      <c r="H295" s="126">
        <f t="shared" si="49"/>
        <v>5989.3200000000006</v>
      </c>
      <c r="I295" s="152">
        <f t="shared" si="46"/>
        <v>5989.3200000000006</v>
      </c>
    </row>
    <row r="296" spans="1:9" s="2" customFormat="1" ht="31.2">
      <c r="A296" s="119" t="s">
        <v>373</v>
      </c>
      <c r="B296" s="120" t="s">
        <v>344</v>
      </c>
      <c r="C296" s="121" t="s">
        <v>338</v>
      </c>
      <c r="D296" s="122">
        <f>PRODUCT(D292,3,1/25)</f>
        <v>60.96</v>
      </c>
      <c r="E296" s="137"/>
      <c r="F296" s="124">
        <v>584</v>
      </c>
      <c r="G296" s="125"/>
      <c r="H296" s="126">
        <f t="shared" si="49"/>
        <v>35600.639999999999</v>
      </c>
      <c r="I296" s="152">
        <f t="shared" si="46"/>
        <v>35600.639999999999</v>
      </c>
    </row>
    <row r="297" spans="1:9" s="2" customFormat="1">
      <c r="A297" s="119" t="s">
        <v>374</v>
      </c>
      <c r="B297" s="129" t="s">
        <v>346</v>
      </c>
      <c r="C297" s="121" t="s">
        <v>347</v>
      </c>
      <c r="D297" s="127">
        <f>ROUND(((0.8*3*5)+(1.5*6*23+1.3*2*23+1.77*2*8*23)+(1*2*3+2.1*2+1.79*2*2)+(1.485*2*23+1.485*23+1.13+0.62+1.485*4*23+1.13*4)+(2.42*2*9*23+2.44*2+1.65*24+1.65*5+2.05*3*23+2.29*2*2+2.45*2*2)+(1.24*2+1.35*2*24+1.35*2*23+1.04*2*2+2.1*2+2.79*2+2.76*2*23+2.79*2*23+1.79*2+1.85*2))/2.5,0)</f>
        <v>1126</v>
      </c>
      <c r="E297" s="128"/>
      <c r="F297" s="124">
        <v>44</v>
      </c>
      <c r="G297" s="125"/>
      <c r="H297" s="126">
        <f t="shared" si="49"/>
        <v>49544</v>
      </c>
      <c r="I297" s="152">
        <f t="shared" si="46"/>
        <v>49544</v>
      </c>
    </row>
    <row r="298" spans="1:9" s="2" customFormat="1">
      <c r="A298" s="119" t="s">
        <v>375</v>
      </c>
      <c r="B298" s="129" t="s">
        <v>376</v>
      </c>
      <c r="C298" s="121" t="s">
        <v>347</v>
      </c>
      <c r="D298" s="127">
        <f>ROUND(((1.5*6*23+1.3*2*23+0.8*5)+(5.58*2*23+8.4*23+6.77*23))/2.5,0)</f>
        <v>351</v>
      </c>
      <c r="E298" s="128"/>
      <c r="F298" s="124">
        <v>125</v>
      </c>
      <c r="G298" s="125"/>
      <c r="H298" s="126">
        <f t="shared" si="49"/>
        <v>43875</v>
      </c>
      <c r="I298" s="152">
        <f t="shared" si="46"/>
        <v>43875</v>
      </c>
    </row>
    <row r="299" spans="1:9" s="2" customFormat="1">
      <c r="A299" s="119" t="s">
        <v>377</v>
      </c>
      <c r="B299" s="129" t="s">
        <v>378</v>
      </c>
      <c r="C299" s="121" t="s">
        <v>347</v>
      </c>
      <c r="D299" s="138">
        <f>((0.8*4*5+1.3*2*2*23+1.77*2*8*23+1.5*2*6*23)+(2.44*2+1.65*2+2.42*2*9*23+1.65*2*6*23+2.05*2*3*23+2.74*2+1.45*2*2+2.44*2))/2.5</f>
        <v>1186.1920000000002</v>
      </c>
      <c r="E299" s="128"/>
      <c r="F299" s="124">
        <v>100</v>
      </c>
      <c r="G299" s="125"/>
      <c r="H299" s="126">
        <f t="shared" si="49"/>
        <v>118619.20000000003</v>
      </c>
      <c r="I299" s="152">
        <f t="shared" si="46"/>
        <v>118619.20000000003</v>
      </c>
    </row>
    <row r="300" spans="1:9" s="3" customFormat="1">
      <c r="A300" s="119" t="s">
        <v>379</v>
      </c>
      <c r="B300" s="129" t="s">
        <v>380</v>
      </c>
      <c r="C300" s="121" t="s">
        <v>381</v>
      </c>
      <c r="D300" s="127">
        <v>5471.99</v>
      </c>
      <c r="E300" s="124">
        <v>140</v>
      </c>
      <c r="F300" s="124"/>
      <c r="G300" s="455">
        <f>PRODUCT(D300:E300)</f>
        <v>766078.6</v>
      </c>
      <c r="H300" s="126"/>
      <c r="I300" s="456">
        <f>SUM(G300:H300)</f>
        <v>766078.6</v>
      </c>
    </row>
    <row r="301" spans="1:9" s="2" customFormat="1" ht="15.6">
      <c r="A301" s="119" t="s">
        <v>382</v>
      </c>
      <c r="B301" s="100" t="s">
        <v>383</v>
      </c>
      <c r="C301" s="139" t="s">
        <v>20</v>
      </c>
      <c r="D301" s="139">
        <f>ROUND((0.4*(49.59+215.34+102.14+163.79+15.62+9.46+6.19+61.04+54.38+234.94+29.52+225.94+21.8+21.8))/15,0)</f>
        <v>32</v>
      </c>
      <c r="E301" s="140"/>
      <c r="F301" s="141">
        <v>3190</v>
      </c>
      <c r="G301" s="125"/>
      <c r="H301" s="126">
        <f>PRODUCT(D301,F301)</f>
        <v>102080</v>
      </c>
      <c r="I301" s="152">
        <f t="shared" ref="I301:I307" si="50">G301+H301</f>
        <v>102080</v>
      </c>
    </row>
    <row r="302" spans="1:9" s="2" customFormat="1" ht="15.6">
      <c r="A302" s="119" t="s">
        <v>384</v>
      </c>
      <c r="B302" s="100" t="s">
        <v>385</v>
      </c>
      <c r="C302" s="139" t="s">
        <v>20</v>
      </c>
      <c r="D302" s="139">
        <f>ROUND((0.4*(501.34+733.6+201.08+18.53+130.66+26.87+41.77+321.31+276.11+55.39+42.16+577.95+251.92+471.5+97.25+63.46+280.65))/15,0)</f>
        <v>109</v>
      </c>
      <c r="E302" s="140"/>
      <c r="F302" s="141">
        <v>3150</v>
      </c>
      <c r="G302" s="125"/>
      <c r="H302" s="126">
        <f>PRODUCT(D302,F302)</f>
        <v>343350</v>
      </c>
      <c r="I302" s="152">
        <f t="shared" si="50"/>
        <v>343350</v>
      </c>
    </row>
    <row r="303" spans="1:9" s="2" customFormat="1" ht="15.6">
      <c r="A303" s="119" t="s">
        <v>386</v>
      </c>
      <c r="B303" s="100" t="s">
        <v>387</v>
      </c>
      <c r="C303" s="139" t="s">
        <v>20</v>
      </c>
      <c r="D303" s="142">
        <f>ROUND((0.4*(148.85+20.04))/15,0)</f>
        <v>5</v>
      </c>
      <c r="E303" s="140"/>
      <c r="F303" s="141">
        <v>4990</v>
      </c>
      <c r="G303" s="125"/>
      <c r="H303" s="126">
        <f>PRODUCT(D303,F303)</f>
        <v>24950</v>
      </c>
      <c r="I303" s="152">
        <f t="shared" si="50"/>
        <v>24950</v>
      </c>
    </row>
    <row r="304" spans="1:9">
      <c r="A304" s="33" t="s">
        <v>388</v>
      </c>
      <c r="B304" s="47" t="s">
        <v>2220</v>
      </c>
      <c r="C304" s="35" t="s">
        <v>20</v>
      </c>
      <c r="D304" s="83">
        <v>246</v>
      </c>
      <c r="E304" s="74">
        <v>90</v>
      </c>
      <c r="F304" s="37"/>
      <c r="G304" s="145">
        <f>D304*(E304+F304)</f>
        <v>22140</v>
      </c>
      <c r="H304" s="145"/>
      <c r="I304" s="145">
        <f t="shared" si="50"/>
        <v>22140</v>
      </c>
    </row>
    <row r="305" spans="1:9">
      <c r="A305" s="33" t="s">
        <v>389</v>
      </c>
      <c r="B305" s="144" t="s">
        <v>390</v>
      </c>
      <c r="C305" s="35" t="s">
        <v>42</v>
      </c>
      <c r="D305" s="107">
        <f>1.61*2*123/1000</f>
        <v>0.39606000000000002</v>
      </c>
      <c r="E305" s="74"/>
      <c r="F305" s="74">
        <v>106477.049</v>
      </c>
      <c r="G305" s="145"/>
      <c r="H305" s="145">
        <f t="shared" ref="H305:H307" si="51">D305*F305</f>
        <v>42171.30002694</v>
      </c>
      <c r="I305" s="145">
        <f t="shared" si="50"/>
        <v>42171.30002694</v>
      </c>
    </row>
    <row r="306" spans="1:9">
      <c r="A306" s="33" t="s">
        <v>391</v>
      </c>
      <c r="B306" s="144" t="s">
        <v>392</v>
      </c>
      <c r="C306" s="35" t="s">
        <v>42</v>
      </c>
      <c r="D306" s="107">
        <f>2.81*2*123/1000</f>
        <v>0.69125999999999999</v>
      </c>
      <c r="E306" s="74"/>
      <c r="F306" s="74">
        <v>106477.049</v>
      </c>
      <c r="G306" s="145"/>
      <c r="H306" s="145">
        <f t="shared" si="51"/>
        <v>73603.324891739991</v>
      </c>
      <c r="I306" s="145">
        <f t="shared" si="50"/>
        <v>73603.324891739991</v>
      </c>
    </row>
    <row r="307" spans="1:9">
      <c r="A307" s="33" t="s">
        <v>393</v>
      </c>
      <c r="B307" s="144" t="s">
        <v>394</v>
      </c>
      <c r="C307" s="35" t="s">
        <v>42</v>
      </c>
      <c r="D307" s="107">
        <f>0.38*2*123/1000</f>
        <v>9.3480000000000008E-2</v>
      </c>
      <c r="E307" s="74"/>
      <c r="F307" s="74">
        <v>106477.049</v>
      </c>
      <c r="G307" s="145"/>
      <c r="H307" s="145">
        <f t="shared" si="51"/>
        <v>9953.474540520001</v>
      </c>
      <c r="I307" s="145">
        <f t="shared" si="50"/>
        <v>9953.474540520001</v>
      </c>
    </row>
    <row r="308" spans="1:9">
      <c r="A308" s="33" t="s">
        <v>2221</v>
      </c>
      <c r="B308" s="47" t="s">
        <v>2222</v>
      </c>
      <c r="C308" s="35" t="s">
        <v>20</v>
      </c>
      <c r="D308" s="83">
        <v>246</v>
      </c>
      <c r="E308" s="74">
        <v>200</v>
      </c>
      <c r="F308" s="37"/>
      <c r="G308" s="145">
        <f>D308*(E308+F308)</f>
        <v>49200</v>
      </c>
      <c r="H308" s="145"/>
      <c r="I308" s="145">
        <f t="shared" ref="I308" si="52">G308+H308</f>
        <v>49200</v>
      </c>
    </row>
    <row r="309" spans="1:9">
      <c r="A309" s="33" t="s">
        <v>395</v>
      </c>
      <c r="B309" s="144" t="s">
        <v>396</v>
      </c>
      <c r="C309" s="35" t="s">
        <v>20</v>
      </c>
      <c r="D309" s="83">
        <f>8*123</f>
        <v>984</v>
      </c>
      <c r="E309" s="74"/>
      <c r="F309" s="37">
        <v>11.9</v>
      </c>
      <c r="G309" s="145"/>
      <c r="H309" s="145">
        <f t="shared" ref="H309" si="53">D309*F309</f>
        <v>11709.6</v>
      </c>
      <c r="I309" s="145">
        <f t="shared" ref="I309" si="54">G309+H309</f>
        <v>11709.6</v>
      </c>
    </row>
    <row r="310" spans="1:9">
      <c r="A310" s="27"/>
      <c r="B310" s="427" t="s">
        <v>2085</v>
      </c>
      <c r="C310" s="533" t="s">
        <v>2224</v>
      </c>
      <c r="D310" s="534"/>
      <c r="E310" s="534"/>
      <c r="F310" s="535"/>
      <c r="G310" s="32">
        <f>SUM(G266:G309)</f>
        <v>3659099.1300000004</v>
      </c>
      <c r="H310" s="32">
        <f t="shared" ref="H310:I310" si="55">SUM(H266:H309)</f>
        <v>5062530.0556772016</v>
      </c>
      <c r="I310" s="32">
        <f t="shared" si="55"/>
        <v>8721629.1856771987</v>
      </c>
    </row>
    <row r="311" spans="1:9">
      <c r="A311" s="27"/>
      <c r="B311" s="427" t="s">
        <v>2088</v>
      </c>
      <c r="C311" s="530"/>
      <c r="D311" s="531"/>
      <c r="E311" s="531"/>
      <c r="F311" s="532"/>
      <c r="G311" s="32">
        <f>PRODUCT(G310,1/1.2,0.2)</f>
        <v>609849.8550000001</v>
      </c>
      <c r="H311" s="32">
        <f>PRODUCT(H310,1/1.2,0.2)</f>
        <v>843755.00927953376</v>
      </c>
      <c r="I311" s="32">
        <f>PRODUCT(I310,1/1.2,0.2)</f>
        <v>1453604.8642795333</v>
      </c>
    </row>
    <row r="312" spans="1:9">
      <c r="A312" s="27"/>
      <c r="B312" s="113" t="s">
        <v>2267</v>
      </c>
      <c r="C312" s="428"/>
      <c r="D312" s="429"/>
      <c r="E312" s="429"/>
      <c r="F312" s="429"/>
      <c r="G312" s="32"/>
      <c r="H312" s="32"/>
      <c r="I312" s="32"/>
    </row>
    <row r="313" spans="1:9">
      <c r="A313" s="119" t="s">
        <v>398</v>
      </c>
      <c r="B313" s="146" t="s">
        <v>397</v>
      </c>
      <c r="C313" s="147" t="s">
        <v>111</v>
      </c>
      <c r="D313" s="148">
        <v>2967.36</v>
      </c>
      <c r="E313" s="149">
        <v>1100</v>
      </c>
      <c r="F313" s="150"/>
      <c r="G313" s="145">
        <f>D313*(E313+F313)</f>
        <v>3264096</v>
      </c>
      <c r="H313" s="145"/>
      <c r="I313" s="145">
        <f t="shared" ref="I313" si="56">G313+H313</f>
        <v>3264096</v>
      </c>
    </row>
    <row r="314" spans="1:9">
      <c r="A314" s="119" t="s">
        <v>438</v>
      </c>
      <c r="B314" s="146" t="s">
        <v>400</v>
      </c>
      <c r="C314" s="147" t="s">
        <v>111</v>
      </c>
      <c r="D314" s="148">
        <v>1530.6120000000001</v>
      </c>
      <c r="E314" s="149"/>
      <c r="F314" s="150">
        <v>1220</v>
      </c>
      <c r="G314" s="125"/>
      <c r="H314" s="126">
        <f t="shared" ref="H314:H349" si="57">PRODUCT(D314,F314)</f>
        <v>1867346.6400000001</v>
      </c>
      <c r="I314" s="152">
        <f t="shared" ref="I314:I351" si="58">G314+H314</f>
        <v>1867346.6400000001</v>
      </c>
    </row>
    <row r="315" spans="1:9">
      <c r="A315" s="119" t="s">
        <v>2225</v>
      </c>
      <c r="B315" s="146" t="s">
        <v>402</v>
      </c>
      <c r="C315" s="147" t="s">
        <v>111</v>
      </c>
      <c r="D315" s="148">
        <v>90.036000000000001</v>
      </c>
      <c r="E315" s="149"/>
      <c r="F315" s="150">
        <v>1070</v>
      </c>
      <c r="G315" s="151"/>
      <c r="H315" s="126">
        <f t="shared" si="57"/>
        <v>96338.52</v>
      </c>
      <c r="I315" s="152">
        <f t="shared" si="58"/>
        <v>96338.52</v>
      </c>
    </row>
    <row r="316" spans="1:9">
      <c r="A316" s="119" t="s">
        <v>2226</v>
      </c>
      <c r="B316" s="146" t="s">
        <v>403</v>
      </c>
      <c r="C316" s="147" t="s">
        <v>111</v>
      </c>
      <c r="D316" s="148">
        <v>90.036000000000001</v>
      </c>
      <c r="E316" s="149"/>
      <c r="F316" s="150">
        <v>454</v>
      </c>
      <c r="G316" s="151"/>
      <c r="H316" s="126">
        <f t="shared" si="57"/>
        <v>40876.343999999997</v>
      </c>
      <c r="I316" s="152">
        <f t="shared" si="58"/>
        <v>40876.343999999997</v>
      </c>
    </row>
    <row r="317" spans="1:9">
      <c r="A317" s="119" t="s">
        <v>2227</v>
      </c>
      <c r="B317" s="146" t="s">
        <v>404</v>
      </c>
      <c r="C317" s="147" t="s">
        <v>111</v>
      </c>
      <c r="D317" s="148">
        <v>82.533000000000001</v>
      </c>
      <c r="E317" s="149"/>
      <c r="F317" s="150">
        <v>1070</v>
      </c>
      <c r="G317" s="151"/>
      <c r="H317" s="126">
        <f t="shared" si="57"/>
        <v>88310.31</v>
      </c>
      <c r="I317" s="152">
        <f t="shared" si="58"/>
        <v>88310.31</v>
      </c>
    </row>
    <row r="318" spans="1:9">
      <c r="A318" s="119" t="s">
        <v>2228</v>
      </c>
      <c r="B318" s="146" t="s">
        <v>405</v>
      </c>
      <c r="C318" s="147" t="s">
        <v>111</v>
      </c>
      <c r="D318" s="148">
        <v>82.533000000000001</v>
      </c>
      <c r="E318" s="149"/>
      <c r="F318" s="150">
        <v>454</v>
      </c>
      <c r="G318" s="151"/>
      <c r="H318" s="126">
        <f t="shared" si="57"/>
        <v>37469.982000000004</v>
      </c>
      <c r="I318" s="152">
        <f t="shared" si="58"/>
        <v>37469.982000000004</v>
      </c>
    </row>
    <row r="319" spans="1:9">
      <c r="A319" s="119" t="s">
        <v>2229</v>
      </c>
      <c r="B319" s="146" t="s">
        <v>406</v>
      </c>
      <c r="C319" s="147" t="s">
        <v>111</v>
      </c>
      <c r="D319" s="148">
        <v>1443.26</v>
      </c>
      <c r="E319" s="149"/>
      <c r="F319" s="150">
        <v>1220</v>
      </c>
      <c r="G319" s="151"/>
      <c r="H319" s="126">
        <f t="shared" si="57"/>
        <v>1760777.2</v>
      </c>
      <c r="I319" s="152">
        <f t="shared" si="58"/>
        <v>1760777.2</v>
      </c>
    </row>
    <row r="320" spans="1:9">
      <c r="A320" s="119" t="s">
        <v>2230</v>
      </c>
      <c r="B320" s="146" t="s">
        <v>407</v>
      </c>
      <c r="C320" s="147" t="s">
        <v>111</v>
      </c>
      <c r="D320" s="148">
        <v>580.72</v>
      </c>
      <c r="E320" s="149"/>
      <c r="F320" s="150">
        <v>1070</v>
      </c>
      <c r="G320" s="151"/>
      <c r="H320" s="126">
        <f t="shared" si="57"/>
        <v>621370.4</v>
      </c>
      <c r="I320" s="152">
        <f t="shared" si="58"/>
        <v>621370.4</v>
      </c>
    </row>
    <row r="321" spans="1:9">
      <c r="A321" s="119" t="s">
        <v>2231</v>
      </c>
      <c r="B321" s="146" t="s">
        <v>408</v>
      </c>
      <c r="C321" s="147" t="s">
        <v>111</v>
      </c>
      <c r="D321" s="148">
        <v>29.036000000000001</v>
      </c>
      <c r="E321" s="149"/>
      <c r="F321" s="150">
        <v>1070</v>
      </c>
      <c r="G321" s="151"/>
      <c r="H321" s="126">
        <f t="shared" si="57"/>
        <v>31068.52</v>
      </c>
      <c r="I321" s="152">
        <f t="shared" si="58"/>
        <v>31068.52</v>
      </c>
    </row>
    <row r="322" spans="1:9">
      <c r="A322" s="119" t="s">
        <v>2232</v>
      </c>
      <c r="B322" s="146" t="s">
        <v>409</v>
      </c>
      <c r="C322" s="147" t="s">
        <v>111</v>
      </c>
      <c r="D322" s="148">
        <v>29.036000000000001</v>
      </c>
      <c r="E322" s="149"/>
      <c r="F322" s="150">
        <v>454</v>
      </c>
      <c r="G322" s="151"/>
      <c r="H322" s="126">
        <f t="shared" si="57"/>
        <v>13182.344000000001</v>
      </c>
      <c r="I322" s="152">
        <f t="shared" si="58"/>
        <v>13182.344000000001</v>
      </c>
    </row>
    <row r="323" spans="1:9">
      <c r="A323" s="119" t="s">
        <v>2233</v>
      </c>
      <c r="B323" s="146" t="s">
        <v>410</v>
      </c>
      <c r="C323" s="147" t="s">
        <v>111</v>
      </c>
      <c r="D323" s="148">
        <v>32.451999999999998</v>
      </c>
      <c r="E323" s="149"/>
      <c r="F323" s="150">
        <v>1070</v>
      </c>
      <c r="G323" s="151"/>
      <c r="H323" s="126">
        <f t="shared" si="57"/>
        <v>34723.64</v>
      </c>
      <c r="I323" s="152">
        <f t="shared" si="58"/>
        <v>34723.64</v>
      </c>
    </row>
    <row r="324" spans="1:9">
      <c r="A324" s="119" t="s">
        <v>2234</v>
      </c>
      <c r="B324" s="146" t="s">
        <v>411</v>
      </c>
      <c r="C324" s="147" t="s">
        <v>111</v>
      </c>
      <c r="D324" s="148">
        <v>32.451999999999998</v>
      </c>
      <c r="E324" s="149"/>
      <c r="F324" s="150">
        <v>454</v>
      </c>
      <c r="G324" s="151"/>
      <c r="H324" s="126">
        <f t="shared" si="57"/>
        <v>14733.207999999999</v>
      </c>
      <c r="I324" s="152">
        <f t="shared" si="58"/>
        <v>14733.207999999999</v>
      </c>
    </row>
    <row r="325" spans="1:9">
      <c r="A325" s="119" t="s">
        <v>2235</v>
      </c>
      <c r="B325" s="146" t="s">
        <v>412</v>
      </c>
      <c r="C325" s="147" t="s">
        <v>111</v>
      </c>
      <c r="D325" s="148">
        <v>453.84</v>
      </c>
      <c r="E325" s="149"/>
      <c r="F325" s="150">
        <v>454</v>
      </c>
      <c r="G325" s="151"/>
      <c r="H325" s="126">
        <f t="shared" si="57"/>
        <v>206043.36</v>
      </c>
      <c r="I325" s="152">
        <f t="shared" si="58"/>
        <v>206043.36</v>
      </c>
    </row>
    <row r="326" spans="1:9">
      <c r="A326" s="119" t="s">
        <v>2236</v>
      </c>
      <c r="B326" s="146" t="s">
        <v>413</v>
      </c>
      <c r="C326" s="147" t="s">
        <v>111</v>
      </c>
      <c r="D326" s="148">
        <v>136.15199999999999</v>
      </c>
      <c r="E326" s="149"/>
      <c r="F326" s="150">
        <v>454</v>
      </c>
      <c r="G326" s="151"/>
      <c r="H326" s="126">
        <f t="shared" si="57"/>
        <v>61813.007999999994</v>
      </c>
      <c r="I326" s="152">
        <f t="shared" si="58"/>
        <v>61813.007999999994</v>
      </c>
    </row>
    <row r="327" spans="1:9">
      <c r="A327" s="119" t="s">
        <v>2237</v>
      </c>
      <c r="B327" s="146" t="s">
        <v>414</v>
      </c>
      <c r="C327" s="147" t="s">
        <v>111</v>
      </c>
      <c r="D327" s="148">
        <v>105.408</v>
      </c>
      <c r="E327" s="149"/>
      <c r="F327" s="150">
        <v>1070</v>
      </c>
      <c r="G327" s="151"/>
      <c r="H327" s="126">
        <f t="shared" si="57"/>
        <v>112786.56</v>
      </c>
      <c r="I327" s="152">
        <f t="shared" si="58"/>
        <v>112786.56</v>
      </c>
    </row>
    <row r="328" spans="1:9">
      <c r="A328" s="119" t="s">
        <v>2238</v>
      </c>
      <c r="B328" s="146" t="s">
        <v>415</v>
      </c>
      <c r="C328" s="147" t="s">
        <v>111</v>
      </c>
      <c r="D328" s="148">
        <v>59</v>
      </c>
      <c r="E328" s="149"/>
      <c r="F328" s="150">
        <v>1070</v>
      </c>
      <c r="G328" s="151"/>
      <c r="H328" s="126">
        <f t="shared" si="57"/>
        <v>63130</v>
      </c>
      <c r="I328" s="152">
        <f t="shared" si="58"/>
        <v>63130</v>
      </c>
    </row>
    <row r="329" spans="1:9">
      <c r="A329" s="119" t="s">
        <v>2239</v>
      </c>
      <c r="B329" s="146" t="s">
        <v>416</v>
      </c>
      <c r="C329" s="147" t="s">
        <v>111</v>
      </c>
      <c r="D329" s="148">
        <v>1008</v>
      </c>
      <c r="E329" s="149"/>
      <c r="F329" s="150">
        <v>454</v>
      </c>
      <c r="G329" s="151"/>
      <c r="H329" s="126">
        <f t="shared" si="57"/>
        <v>457632</v>
      </c>
      <c r="I329" s="152">
        <f t="shared" si="58"/>
        <v>457632</v>
      </c>
    </row>
    <row r="330" spans="1:9">
      <c r="A330" s="119" t="s">
        <v>2240</v>
      </c>
      <c r="B330" s="146" t="s">
        <v>417</v>
      </c>
      <c r="C330" s="147" t="s">
        <v>111</v>
      </c>
      <c r="D330" s="148">
        <v>1008</v>
      </c>
      <c r="E330" s="149"/>
      <c r="F330" s="150">
        <v>302</v>
      </c>
      <c r="G330" s="151"/>
      <c r="H330" s="126">
        <f t="shared" si="57"/>
        <v>304416</v>
      </c>
      <c r="I330" s="152">
        <f t="shared" si="58"/>
        <v>304416</v>
      </c>
    </row>
    <row r="331" spans="1:9">
      <c r="A331" s="119" t="s">
        <v>2241</v>
      </c>
      <c r="B331" s="146" t="s">
        <v>418</v>
      </c>
      <c r="C331" s="147" t="s">
        <v>20</v>
      </c>
      <c r="D331" s="148">
        <v>1093</v>
      </c>
      <c r="E331" s="149"/>
      <c r="F331" s="150">
        <v>88.73</v>
      </c>
      <c r="G331" s="151"/>
      <c r="H331" s="126">
        <f t="shared" si="57"/>
        <v>96981.89</v>
      </c>
      <c r="I331" s="152">
        <f t="shared" si="58"/>
        <v>96981.89</v>
      </c>
    </row>
    <row r="332" spans="1:9">
      <c r="A332" s="119" t="s">
        <v>2242</v>
      </c>
      <c r="B332" s="146" t="s">
        <v>419</v>
      </c>
      <c r="C332" s="147" t="s">
        <v>20</v>
      </c>
      <c r="D332" s="148">
        <v>1093</v>
      </c>
      <c r="E332" s="149"/>
      <c r="F332" s="150">
        <v>23.73</v>
      </c>
      <c r="G332" s="151"/>
      <c r="H332" s="126">
        <f t="shared" si="57"/>
        <v>25936.89</v>
      </c>
      <c r="I332" s="152">
        <f t="shared" si="58"/>
        <v>25936.89</v>
      </c>
    </row>
    <row r="333" spans="1:9">
      <c r="A333" s="119" t="s">
        <v>2243</v>
      </c>
      <c r="B333" s="146" t="s">
        <v>420</v>
      </c>
      <c r="C333" s="147" t="s">
        <v>20</v>
      </c>
      <c r="D333" s="148">
        <v>2677</v>
      </c>
      <c r="E333" s="149"/>
      <c r="F333" s="150">
        <v>53.03</v>
      </c>
      <c r="G333" s="151"/>
      <c r="H333" s="126">
        <f t="shared" si="57"/>
        <v>141961.31</v>
      </c>
      <c r="I333" s="152">
        <f t="shared" si="58"/>
        <v>141961.31</v>
      </c>
    </row>
    <row r="334" spans="1:9">
      <c r="A334" s="119" t="s">
        <v>2244</v>
      </c>
      <c r="B334" s="146" t="s">
        <v>421</v>
      </c>
      <c r="C334" s="147" t="s">
        <v>20</v>
      </c>
      <c r="D334" s="148">
        <v>2677</v>
      </c>
      <c r="E334" s="149"/>
      <c r="F334" s="150">
        <v>12.39</v>
      </c>
      <c r="G334" s="151"/>
      <c r="H334" s="126">
        <f t="shared" si="57"/>
        <v>33168.03</v>
      </c>
      <c r="I334" s="152">
        <f t="shared" si="58"/>
        <v>33168.03</v>
      </c>
    </row>
    <row r="335" spans="1:9">
      <c r="A335" s="119" t="s">
        <v>2245</v>
      </c>
      <c r="B335" s="146" t="s">
        <v>422</v>
      </c>
      <c r="C335" s="147" t="s">
        <v>20</v>
      </c>
      <c r="D335" s="148">
        <v>3770</v>
      </c>
      <c r="E335" s="149"/>
      <c r="F335" s="150">
        <v>21.75</v>
      </c>
      <c r="G335" s="151"/>
      <c r="H335" s="126">
        <f t="shared" si="57"/>
        <v>81997.5</v>
      </c>
      <c r="I335" s="152">
        <f t="shared" si="58"/>
        <v>81997.5</v>
      </c>
    </row>
    <row r="336" spans="1:9">
      <c r="A336" s="119" t="s">
        <v>2246</v>
      </c>
      <c r="B336" s="146" t="s">
        <v>423</v>
      </c>
      <c r="C336" s="147" t="s">
        <v>20</v>
      </c>
      <c r="D336" s="148">
        <v>4786</v>
      </c>
      <c r="E336" s="149"/>
      <c r="F336" s="150">
        <v>14</v>
      </c>
      <c r="G336" s="151"/>
      <c r="H336" s="126">
        <f t="shared" si="57"/>
        <v>67004</v>
      </c>
      <c r="I336" s="152">
        <f t="shared" si="58"/>
        <v>67004</v>
      </c>
    </row>
    <row r="337" spans="1:9">
      <c r="A337" s="119" t="s">
        <v>2247</v>
      </c>
      <c r="B337" s="146" t="s">
        <v>424</v>
      </c>
      <c r="C337" s="147" t="s">
        <v>20</v>
      </c>
      <c r="D337" s="148">
        <v>4786</v>
      </c>
      <c r="E337" s="149"/>
      <c r="F337" s="150">
        <v>4.5</v>
      </c>
      <c r="G337" s="151"/>
      <c r="H337" s="126">
        <f t="shared" si="57"/>
        <v>21537</v>
      </c>
      <c r="I337" s="152">
        <f t="shared" si="58"/>
        <v>21537</v>
      </c>
    </row>
    <row r="338" spans="1:9">
      <c r="A338" s="119" t="s">
        <v>2248</v>
      </c>
      <c r="B338" s="146" t="s">
        <v>425</v>
      </c>
      <c r="C338" s="147" t="s">
        <v>20</v>
      </c>
      <c r="D338" s="148">
        <v>307</v>
      </c>
      <c r="E338" s="149"/>
      <c r="F338" s="150">
        <v>426.64</v>
      </c>
      <c r="G338" s="151"/>
      <c r="H338" s="126">
        <f t="shared" si="57"/>
        <v>130978.48</v>
      </c>
      <c r="I338" s="152">
        <f t="shared" si="58"/>
        <v>130978.48</v>
      </c>
    </row>
    <row r="339" spans="1:9">
      <c r="A339" s="119" t="s">
        <v>2249</v>
      </c>
      <c r="B339" s="146" t="s">
        <v>426</v>
      </c>
      <c r="C339" s="147" t="s">
        <v>20</v>
      </c>
      <c r="D339" s="148">
        <v>437</v>
      </c>
      <c r="E339" s="149"/>
      <c r="F339" s="150">
        <v>2417.62</v>
      </c>
      <c r="G339" s="151"/>
      <c r="H339" s="126">
        <f t="shared" si="57"/>
        <v>1056499.94</v>
      </c>
      <c r="I339" s="152">
        <f t="shared" si="58"/>
        <v>1056499.94</v>
      </c>
    </row>
    <row r="340" spans="1:9">
      <c r="A340" s="119" t="s">
        <v>2250</v>
      </c>
      <c r="B340" s="146" t="s">
        <v>427</v>
      </c>
      <c r="C340" s="147" t="s">
        <v>20</v>
      </c>
      <c r="D340" s="148">
        <v>4133</v>
      </c>
      <c r="E340" s="149"/>
      <c r="F340" s="150">
        <v>28.25</v>
      </c>
      <c r="G340" s="151"/>
      <c r="H340" s="126">
        <f t="shared" si="57"/>
        <v>116757.25</v>
      </c>
      <c r="I340" s="152">
        <f t="shared" si="58"/>
        <v>116757.25</v>
      </c>
    </row>
    <row r="341" spans="1:9">
      <c r="A341" s="119" t="s">
        <v>2251</v>
      </c>
      <c r="B341" s="146" t="s">
        <v>428</v>
      </c>
      <c r="C341" s="147" t="s">
        <v>20</v>
      </c>
      <c r="D341" s="148">
        <v>8266</v>
      </c>
      <c r="E341" s="149"/>
      <c r="F341" s="150">
        <v>13.34</v>
      </c>
      <c r="G341" s="151"/>
      <c r="H341" s="126">
        <f t="shared" si="57"/>
        <v>110268.44</v>
      </c>
      <c r="I341" s="152">
        <f t="shared" si="58"/>
        <v>110268.44</v>
      </c>
    </row>
    <row r="342" spans="1:9">
      <c r="A342" s="119" t="s">
        <v>2252</v>
      </c>
      <c r="B342" s="146" t="s">
        <v>429</v>
      </c>
      <c r="C342" s="147" t="s">
        <v>20</v>
      </c>
      <c r="D342" s="148">
        <v>37760</v>
      </c>
      <c r="E342" s="149"/>
      <c r="F342" s="150">
        <v>0.96</v>
      </c>
      <c r="G342" s="151"/>
      <c r="H342" s="126">
        <f t="shared" si="57"/>
        <v>36249.599999999999</v>
      </c>
      <c r="I342" s="152">
        <f t="shared" si="58"/>
        <v>36249.599999999999</v>
      </c>
    </row>
    <row r="343" spans="1:9">
      <c r="A343" s="119" t="s">
        <v>2253</v>
      </c>
      <c r="B343" s="146" t="s">
        <v>430</v>
      </c>
      <c r="C343" s="147" t="s">
        <v>20</v>
      </c>
      <c r="D343" s="148">
        <v>7</v>
      </c>
      <c r="E343" s="149"/>
      <c r="F343" s="150">
        <v>333.72</v>
      </c>
      <c r="G343" s="151"/>
      <c r="H343" s="126">
        <f t="shared" si="57"/>
        <v>2336.04</v>
      </c>
      <c r="I343" s="152">
        <f t="shared" si="58"/>
        <v>2336.04</v>
      </c>
    </row>
    <row r="344" spans="1:9">
      <c r="A344" s="119" t="s">
        <v>2254</v>
      </c>
      <c r="B344" s="146" t="s">
        <v>431</v>
      </c>
      <c r="C344" s="147" t="s">
        <v>9</v>
      </c>
      <c r="D344" s="148">
        <v>157</v>
      </c>
      <c r="E344" s="149"/>
      <c r="F344" s="150">
        <v>2610.23</v>
      </c>
      <c r="G344" s="151"/>
      <c r="H344" s="126">
        <f t="shared" si="57"/>
        <v>409806.11</v>
      </c>
      <c r="I344" s="152">
        <f t="shared" si="58"/>
        <v>409806.11</v>
      </c>
    </row>
    <row r="345" spans="1:9">
      <c r="A345" s="119" t="s">
        <v>2255</v>
      </c>
      <c r="B345" s="146" t="s">
        <v>432</v>
      </c>
      <c r="C345" s="147" t="s">
        <v>9</v>
      </c>
      <c r="D345" s="148">
        <v>113</v>
      </c>
      <c r="E345" s="149"/>
      <c r="F345" s="150">
        <v>2887.59</v>
      </c>
      <c r="G345" s="151"/>
      <c r="H345" s="126">
        <f t="shared" si="57"/>
        <v>326297.67000000004</v>
      </c>
      <c r="I345" s="152">
        <f t="shared" si="58"/>
        <v>326297.67000000004</v>
      </c>
    </row>
    <row r="346" spans="1:9">
      <c r="A346" s="119" t="s">
        <v>2256</v>
      </c>
      <c r="B346" s="146" t="s">
        <v>433</v>
      </c>
      <c r="C346" s="147" t="s">
        <v>111</v>
      </c>
      <c r="D346" s="148">
        <v>3430</v>
      </c>
      <c r="E346" s="149"/>
      <c r="F346" s="150">
        <v>113.51</v>
      </c>
      <c r="G346" s="151"/>
      <c r="H346" s="126">
        <f t="shared" si="57"/>
        <v>389339.30000000005</v>
      </c>
      <c r="I346" s="152">
        <f t="shared" si="58"/>
        <v>389339.30000000005</v>
      </c>
    </row>
    <row r="347" spans="1:9">
      <c r="A347" s="119" t="s">
        <v>2257</v>
      </c>
      <c r="B347" s="146" t="s">
        <v>434</v>
      </c>
      <c r="C347" s="147" t="s">
        <v>20</v>
      </c>
      <c r="D347" s="148">
        <v>3430</v>
      </c>
      <c r="E347" s="149"/>
      <c r="F347" s="150">
        <v>6.2</v>
      </c>
      <c r="G347" s="151"/>
      <c r="H347" s="126">
        <f t="shared" si="57"/>
        <v>21266</v>
      </c>
      <c r="I347" s="152">
        <f t="shared" si="58"/>
        <v>21266</v>
      </c>
    </row>
    <row r="348" spans="1:9">
      <c r="A348" s="119" t="s">
        <v>2258</v>
      </c>
      <c r="B348" s="146" t="s">
        <v>435</v>
      </c>
      <c r="C348" s="147" t="s">
        <v>20</v>
      </c>
      <c r="D348" s="148">
        <v>6860</v>
      </c>
      <c r="E348" s="149"/>
      <c r="F348" s="150">
        <v>6.4</v>
      </c>
      <c r="G348" s="151"/>
      <c r="H348" s="126">
        <f t="shared" si="57"/>
        <v>43904</v>
      </c>
      <c r="I348" s="152">
        <f t="shared" si="58"/>
        <v>43904</v>
      </c>
    </row>
    <row r="349" spans="1:9">
      <c r="A349" s="119" t="s">
        <v>2259</v>
      </c>
      <c r="B349" s="146" t="s">
        <v>436</v>
      </c>
      <c r="C349" s="147" t="s">
        <v>20</v>
      </c>
      <c r="D349" s="148">
        <v>6860</v>
      </c>
      <c r="E349" s="149"/>
      <c r="F349" s="150">
        <v>8.6999999999999993</v>
      </c>
      <c r="G349" s="151"/>
      <c r="H349" s="126">
        <f t="shared" si="57"/>
        <v>59681.999999999993</v>
      </c>
      <c r="I349" s="152">
        <f t="shared" si="58"/>
        <v>59681.999999999993</v>
      </c>
    </row>
    <row r="350" spans="1:9">
      <c r="A350" s="33" t="s">
        <v>440</v>
      </c>
      <c r="B350" s="47" t="s">
        <v>437</v>
      </c>
      <c r="C350" s="35" t="s">
        <v>20</v>
      </c>
      <c r="D350" s="83">
        <f>8+9+9*22</f>
        <v>215</v>
      </c>
      <c r="E350" s="74">
        <v>500</v>
      </c>
      <c r="F350" s="37"/>
      <c r="G350" s="145">
        <f>D350*E350</f>
        <v>107500</v>
      </c>
      <c r="H350" s="145"/>
      <c r="I350" s="145">
        <f t="shared" si="58"/>
        <v>107500</v>
      </c>
    </row>
    <row r="351" spans="1:9">
      <c r="A351" s="33" t="s">
        <v>399</v>
      </c>
      <c r="B351" s="144" t="s">
        <v>439</v>
      </c>
      <c r="C351" s="35" t="s">
        <v>20</v>
      </c>
      <c r="D351" s="83">
        <f>8*215</f>
        <v>1720</v>
      </c>
      <c r="E351" s="74"/>
      <c r="F351" s="37">
        <v>11.327999999999999</v>
      </c>
      <c r="G351" s="145"/>
      <c r="H351" s="145">
        <f>D351*F351</f>
        <v>19484.16</v>
      </c>
      <c r="I351" s="145">
        <f t="shared" si="58"/>
        <v>19484.16</v>
      </c>
    </row>
    <row r="352" spans="1:9" s="5" customFormat="1">
      <c r="A352" s="33" t="s">
        <v>401</v>
      </c>
      <c r="B352" s="47" t="s">
        <v>2260</v>
      </c>
      <c r="C352" s="35" t="s">
        <v>20</v>
      </c>
      <c r="D352" s="83">
        <f>215</f>
        <v>215</v>
      </c>
      <c r="E352" s="74"/>
      <c r="F352" s="37">
        <v>2850</v>
      </c>
      <c r="G352" s="145"/>
      <c r="H352" s="145">
        <f>PRODUCT(F352,D352)</f>
        <v>612750</v>
      </c>
      <c r="I352" s="145">
        <f>SUM(G352:H352)</f>
        <v>612750</v>
      </c>
    </row>
    <row r="353" spans="1:9">
      <c r="A353" s="33" t="s">
        <v>441</v>
      </c>
      <c r="B353" s="47" t="s">
        <v>2261</v>
      </c>
      <c r="C353" s="35" t="s">
        <v>20</v>
      </c>
      <c r="D353" s="83">
        <f>2*D350</f>
        <v>430</v>
      </c>
      <c r="E353" s="74">
        <v>90</v>
      </c>
      <c r="F353" s="37"/>
      <c r="G353" s="145">
        <f>D353*E353</f>
        <v>38700</v>
      </c>
      <c r="H353" s="145"/>
      <c r="I353" s="145">
        <f t="shared" ref="I353:I366" si="59">G353+H353</f>
        <v>38700</v>
      </c>
    </row>
    <row r="354" spans="1:9">
      <c r="A354" s="33" t="s">
        <v>442</v>
      </c>
      <c r="B354" s="144" t="s">
        <v>390</v>
      </c>
      <c r="C354" s="35" t="s">
        <v>42</v>
      </c>
      <c r="D354" s="107">
        <f>1.61*2*215/1000</f>
        <v>0.69230000000000003</v>
      </c>
      <c r="E354" s="74"/>
      <c r="F354" s="74">
        <v>106477.049</v>
      </c>
      <c r="G354" s="145"/>
      <c r="H354" s="145">
        <f>D354*F354</f>
        <v>73714.0610227</v>
      </c>
      <c r="I354" s="145">
        <f t="shared" si="59"/>
        <v>73714.0610227</v>
      </c>
    </row>
    <row r="355" spans="1:9">
      <c r="A355" s="33" t="s">
        <v>443</v>
      </c>
      <c r="B355" s="144" t="s">
        <v>444</v>
      </c>
      <c r="C355" s="35" t="s">
        <v>42</v>
      </c>
      <c r="D355" s="107">
        <f>4.32*2*215/1000</f>
        <v>1.8576000000000001</v>
      </c>
      <c r="E355" s="74"/>
      <c r="F355" s="74">
        <v>106477.049</v>
      </c>
      <c r="G355" s="145"/>
      <c r="H355" s="145">
        <f>D355*F355</f>
        <v>197791.76622240001</v>
      </c>
      <c r="I355" s="145">
        <f t="shared" si="59"/>
        <v>197791.76622240001</v>
      </c>
    </row>
    <row r="356" spans="1:9">
      <c r="A356" s="33" t="s">
        <v>445</v>
      </c>
      <c r="B356" s="144" t="s">
        <v>394</v>
      </c>
      <c r="C356" s="35" t="s">
        <v>42</v>
      </c>
      <c r="D356" s="107">
        <f>0.38*2*215/1000</f>
        <v>0.16340000000000002</v>
      </c>
      <c r="E356" s="74"/>
      <c r="F356" s="74">
        <v>106477.049</v>
      </c>
      <c r="G356" s="145"/>
      <c r="H356" s="145">
        <f>D356*F356</f>
        <v>17398.349806600003</v>
      </c>
      <c r="I356" s="145">
        <f t="shared" si="59"/>
        <v>17398.349806600003</v>
      </c>
    </row>
    <row r="357" spans="1:9">
      <c r="A357" s="33" t="s">
        <v>446</v>
      </c>
      <c r="B357" s="47" t="s">
        <v>2262</v>
      </c>
      <c r="C357" s="35" t="s">
        <v>20</v>
      </c>
      <c r="D357" s="83">
        <v>430</v>
      </c>
      <c r="E357" s="74">
        <v>200</v>
      </c>
      <c r="F357" s="75"/>
      <c r="G357" s="145">
        <f>D357*E357</f>
        <v>86000</v>
      </c>
      <c r="H357" s="145"/>
      <c r="I357" s="145">
        <f t="shared" ref="I357" si="60">G357+H357</f>
        <v>86000</v>
      </c>
    </row>
    <row r="358" spans="1:9">
      <c r="A358" s="33" t="s">
        <v>448</v>
      </c>
      <c r="B358" s="144" t="s">
        <v>396</v>
      </c>
      <c r="C358" s="35" t="s">
        <v>20</v>
      </c>
      <c r="D358" s="83">
        <f>8*215</f>
        <v>1720</v>
      </c>
      <c r="E358" s="74"/>
      <c r="F358" s="37">
        <v>11.9</v>
      </c>
      <c r="G358" s="145"/>
      <c r="H358" s="145">
        <f>D358*F358</f>
        <v>20468</v>
      </c>
      <c r="I358" s="145">
        <f t="shared" ref="I358" si="61">G358+H358</f>
        <v>20468</v>
      </c>
    </row>
    <row r="359" spans="1:9" s="1" customFormat="1">
      <c r="A359" s="33" t="s">
        <v>2263</v>
      </c>
      <c r="B359" s="47" t="s">
        <v>447</v>
      </c>
      <c r="C359" s="35" t="s">
        <v>111</v>
      </c>
      <c r="D359" s="107">
        <f>15.77+15.78+7.77+10.7</f>
        <v>50.019999999999996</v>
      </c>
      <c r="E359" s="154">
        <v>900</v>
      </c>
      <c r="F359" s="37"/>
      <c r="G359" s="145">
        <f t="shared" ref="G359:G364" si="62">D359*E359</f>
        <v>45018</v>
      </c>
      <c r="H359" s="145"/>
      <c r="I359" s="145">
        <f t="shared" si="59"/>
        <v>45018</v>
      </c>
    </row>
    <row r="360" spans="1:9">
      <c r="A360" s="33" t="s">
        <v>454</v>
      </c>
      <c r="B360" s="47" t="s">
        <v>449</v>
      </c>
      <c r="C360" s="35" t="s">
        <v>111</v>
      </c>
      <c r="D360" s="107">
        <f>D359*1.1</f>
        <v>55.021999999999998</v>
      </c>
      <c r="E360" s="154"/>
      <c r="F360" s="37">
        <v>1250</v>
      </c>
      <c r="G360" s="143"/>
      <c r="H360" s="145">
        <f t="shared" ref="H360:H363" si="63">D360*F360</f>
        <v>68777.5</v>
      </c>
      <c r="I360" s="145">
        <f t="shared" si="59"/>
        <v>68777.5</v>
      </c>
    </row>
    <row r="361" spans="1:9">
      <c r="A361" s="33" t="s">
        <v>455</v>
      </c>
      <c r="B361" s="146" t="s">
        <v>450</v>
      </c>
      <c r="C361" s="35" t="s">
        <v>111</v>
      </c>
      <c r="D361" s="107">
        <f>D359*1.05</f>
        <v>52.521000000000001</v>
      </c>
      <c r="E361" s="154"/>
      <c r="F361" s="37">
        <v>275</v>
      </c>
      <c r="G361" s="143"/>
      <c r="H361" s="145">
        <f t="shared" si="63"/>
        <v>14443.275</v>
      </c>
      <c r="I361" s="145">
        <f t="shared" si="59"/>
        <v>14443.275</v>
      </c>
    </row>
    <row r="362" spans="1:9" ht="15.6">
      <c r="A362" s="33" t="s">
        <v>2264</v>
      </c>
      <c r="B362" s="155" t="s">
        <v>451</v>
      </c>
      <c r="C362" s="35" t="s">
        <v>111</v>
      </c>
      <c r="D362" s="107">
        <f>D359*1.05</f>
        <v>52.521000000000001</v>
      </c>
      <c r="E362" s="154"/>
      <c r="F362" s="37">
        <v>186</v>
      </c>
      <c r="G362" s="143"/>
      <c r="H362" s="145">
        <f t="shared" si="63"/>
        <v>9768.9060000000009</v>
      </c>
      <c r="I362" s="145">
        <f t="shared" si="59"/>
        <v>9768.9060000000009</v>
      </c>
    </row>
    <row r="363" spans="1:9" ht="31.2">
      <c r="A363" s="33" t="s">
        <v>2265</v>
      </c>
      <c r="B363" s="156" t="s">
        <v>452</v>
      </c>
      <c r="C363" s="35" t="s">
        <v>111</v>
      </c>
      <c r="D363" s="107">
        <f>D359</f>
        <v>50.019999999999996</v>
      </c>
      <c r="E363" s="154"/>
      <c r="F363" s="37">
        <v>880</v>
      </c>
      <c r="G363" s="143"/>
      <c r="H363" s="145">
        <f t="shared" si="63"/>
        <v>44017.599999999999</v>
      </c>
      <c r="I363" s="145">
        <f t="shared" si="59"/>
        <v>44017.599999999999</v>
      </c>
    </row>
    <row r="364" spans="1:9" s="4" customFormat="1" ht="13.8">
      <c r="A364" s="33" t="s">
        <v>2266</v>
      </c>
      <c r="B364" s="47" t="s">
        <v>453</v>
      </c>
      <c r="C364" s="35" t="s">
        <v>111</v>
      </c>
      <c r="D364" s="107">
        <f>4.6*2</f>
        <v>9.1999999999999993</v>
      </c>
      <c r="E364" s="154">
        <v>350</v>
      </c>
      <c r="F364" s="37"/>
      <c r="G364" s="145">
        <f t="shared" si="62"/>
        <v>3219.9999999999995</v>
      </c>
      <c r="H364" s="145"/>
      <c r="I364" s="145">
        <f t="shared" si="59"/>
        <v>3219.9999999999995</v>
      </c>
    </row>
    <row r="365" spans="1:9">
      <c r="A365" s="33" t="s">
        <v>454</v>
      </c>
      <c r="B365" s="47" t="s">
        <v>449</v>
      </c>
      <c r="C365" s="35" t="s">
        <v>111</v>
      </c>
      <c r="D365" s="107">
        <f>D364*1.1</f>
        <v>10.119999999999999</v>
      </c>
      <c r="E365" s="154"/>
      <c r="F365" s="37">
        <v>1250</v>
      </c>
      <c r="G365" s="143"/>
      <c r="H365" s="145">
        <f t="shared" ref="H365:H366" si="64">D365*F365</f>
        <v>12649.999999999998</v>
      </c>
      <c r="I365" s="145">
        <f t="shared" si="59"/>
        <v>12649.999999999998</v>
      </c>
    </row>
    <row r="366" spans="1:9" s="5" customFormat="1">
      <c r="A366" s="33" t="s">
        <v>455</v>
      </c>
      <c r="B366" s="47" t="s">
        <v>456</v>
      </c>
      <c r="C366" s="35" t="s">
        <v>125</v>
      </c>
      <c r="D366" s="83">
        <f>ROUND(D364*12,2)</f>
        <v>110.4</v>
      </c>
      <c r="E366" s="154"/>
      <c r="F366" s="74">
        <v>10.6</v>
      </c>
      <c r="G366" s="143"/>
      <c r="H366" s="145">
        <f t="shared" si="64"/>
        <v>1170.24</v>
      </c>
      <c r="I366" s="145">
        <f t="shared" si="59"/>
        <v>1170.24</v>
      </c>
    </row>
    <row r="367" spans="1:9" s="5" customFormat="1">
      <c r="A367" s="27"/>
      <c r="B367" s="427" t="s">
        <v>2085</v>
      </c>
      <c r="C367" s="533" t="s">
        <v>2268</v>
      </c>
      <c r="D367" s="534"/>
      <c r="E367" s="534"/>
      <c r="F367" s="535"/>
      <c r="G367" s="32">
        <f>SUM(G313:G366)</f>
        <v>3544534</v>
      </c>
      <c r="H367" s="32">
        <f t="shared" ref="H367:I367" si="65">SUM(H313:H366)</f>
        <v>10076423.344051702</v>
      </c>
      <c r="I367" s="32">
        <f t="shared" si="65"/>
        <v>13620957.344051698</v>
      </c>
    </row>
    <row r="368" spans="1:9" s="5" customFormat="1">
      <c r="A368" s="27"/>
      <c r="B368" s="427" t="s">
        <v>2088</v>
      </c>
      <c r="C368" s="530"/>
      <c r="D368" s="531"/>
      <c r="E368" s="531"/>
      <c r="F368" s="532"/>
      <c r="G368" s="32">
        <f>PRODUCT(G367,1/1.2,0.2)</f>
        <v>590755.66666666674</v>
      </c>
      <c r="H368" s="32">
        <f>PRODUCT(H367,1/1.2,0.2)</f>
        <v>1679403.8906752837</v>
      </c>
      <c r="I368" s="32">
        <f>PRODUCT(I367,1/1.2,0.2)</f>
        <v>2270159.5573419495</v>
      </c>
    </row>
    <row r="369" spans="1:9" customFormat="1">
      <c r="A369" s="157"/>
      <c r="B369" s="158" t="s">
        <v>2269</v>
      </c>
      <c r="C369" s="159"/>
      <c r="D369" s="160"/>
      <c r="E369" s="161"/>
      <c r="F369" s="162"/>
      <c r="G369" s="163"/>
      <c r="H369" s="163"/>
      <c r="I369" s="163"/>
    </row>
    <row r="370" spans="1:9" s="6" customFormat="1" ht="27.6">
      <c r="A370" s="99" t="s">
        <v>457</v>
      </c>
      <c r="B370" s="165" t="s">
        <v>458</v>
      </c>
      <c r="C370" s="142" t="s">
        <v>111</v>
      </c>
      <c r="D370" s="105">
        <v>1821</v>
      </c>
      <c r="E370" s="171">
        <v>1100</v>
      </c>
      <c r="F370" s="103"/>
      <c r="G370" s="169">
        <f>D370*E370</f>
        <v>2003100</v>
      </c>
      <c r="H370" s="169"/>
      <c r="I370" s="169">
        <f>G370+H370</f>
        <v>2003100</v>
      </c>
    </row>
    <row r="371" spans="1:9" s="6" customFormat="1">
      <c r="A371" s="99" t="s">
        <v>459</v>
      </c>
      <c r="B371" s="165" t="s">
        <v>460</v>
      </c>
      <c r="C371" s="142" t="s">
        <v>461</v>
      </c>
      <c r="D371" s="166">
        <v>1</v>
      </c>
      <c r="E371" s="167"/>
      <c r="F371" s="168">
        <v>7217457.0599999996</v>
      </c>
      <c r="G371" s="169"/>
      <c r="H371" s="169">
        <f t="shared" ref="H371:H386" si="66">D371*F371</f>
        <v>7217457.0599999996</v>
      </c>
      <c r="I371" s="169">
        <f t="shared" ref="I371:I387" si="67">G371+H371</f>
        <v>7217457.0599999996</v>
      </c>
    </row>
    <row r="372" spans="1:9" s="6" customFormat="1">
      <c r="A372" s="99" t="s">
        <v>462</v>
      </c>
      <c r="B372" s="165" t="s">
        <v>463</v>
      </c>
      <c r="C372" s="142" t="s">
        <v>20</v>
      </c>
      <c r="D372" s="166">
        <v>2016</v>
      </c>
      <c r="E372" s="167"/>
      <c r="F372" s="168">
        <v>15</v>
      </c>
      <c r="G372" s="169"/>
      <c r="H372" s="169">
        <f t="shared" si="66"/>
        <v>30240</v>
      </c>
      <c r="I372" s="169">
        <f t="shared" si="67"/>
        <v>30240</v>
      </c>
    </row>
    <row r="373" spans="1:9" s="6" customFormat="1">
      <c r="A373" s="99" t="s">
        <v>464</v>
      </c>
      <c r="B373" s="165" t="s">
        <v>465</v>
      </c>
      <c r="C373" s="142" t="s">
        <v>20</v>
      </c>
      <c r="D373" s="166">
        <v>976</v>
      </c>
      <c r="E373" s="167"/>
      <c r="F373" s="168">
        <v>1740</v>
      </c>
      <c r="G373" s="169"/>
      <c r="H373" s="169">
        <f t="shared" si="66"/>
        <v>1698240</v>
      </c>
      <c r="I373" s="169">
        <f t="shared" si="67"/>
        <v>1698240</v>
      </c>
    </row>
    <row r="374" spans="1:9" s="6" customFormat="1">
      <c r="A374" s="99" t="s">
        <v>466</v>
      </c>
      <c r="B374" s="165" t="s">
        <v>467</v>
      </c>
      <c r="C374" s="142" t="s">
        <v>20</v>
      </c>
      <c r="D374" s="166">
        <v>494.66</v>
      </c>
      <c r="E374" s="167"/>
      <c r="F374" s="168">
        <v>1350</v>
      </c>
      <c r="G374" s="169"/>
      <c r="H374" s="169">
        <f t="shared" si="66"/>
        <v>667791</v>
      </c>
      <c r="I374" s="169">
        <f t="shared" si="67"/>
        <v>667791</v>
      </c>
    </row>
    <row r="375" spans="1:9" s="6" customFormat="1">
      <c r="A375" s="99" t="s">
        <v>468</v>
      </c>
      <c r="B375" s="165" t="s">
        <v>469</v>
      </c>
      <c r="C375" s="142" t="s">
        <v>20</v>
      </c>
      <c r="D375" s="166">
        <v>202.52</v>
      </c>
      <c r="E375" s="167"/>
      <c r="F375" s="168">
        <v>1220</v>
      </c>
      <c r="G375" s="169"/>
      <c r="H375" s="169">
        <f t="shared" si="66"/>
        <v>247074.40000000002</v>
      </c>
      <c r="I375" s="169">
        <f t="shared" si="67"/>
        <v>247074.40000000002</v>
      </c>
    </row>
    <row r="376" spans="1:9" s="6" customFormat="1">
      <c r="A376" s="99" t="s">
        <v>470</v>
      </c>
      <c r="B376" s="165" t="s">
        <v>423</v>
      </c>
      <c r="C376" s="142" t="s">
        <v>20</v>
      </c>
      <c r="D376" s="166">
        <v>13182</v>
      </c>
      <c r="E376" s="167"/>
      <c r="F376" s="168">
        <v>15</v>
      </c>
      <c r="G376" s="169"/>
      <c r="H376" s="169">
        <f t="shared" si="66"/>
        <v>197730</v>
      </c>
      <c r="I376" s="169">
        <f t="shared" si="67"/>
        <v>197730</v>
      </c>
    </row>
    <row r="377" spans="1:9" s="6" customFormat="1">
      <c r="A377" s="99" t="s">
        <v>471</v>
      </c>
      <c r="B377" s="165" t="s">
        <v>472</v>
      </c>
      <c r="C377" s="142" t="s">
        <v>20</v>
      </c>
      <c r="D377" s="166">
        <v>28630</v>
      </c>
      <c r="E377" s="167"/>
      <c r="F377" s="168">
        <v>0.5</v>
      </c>
      <c r="G377" s="169"/>
      <c r="H377" s="169">
        <f t="shared" si="66"/>
        <v>14315</v>
      </c>
      <c r="I377" s="169">
        <f t="shared" si="67"/>
        <v>14315</v>
      </c>
    </row>
    <row r="378" spans="1:9" s="6" customFormat="1">
      <c r="A378" s="99" t="s">
        <v>473</v>
      </c>
      <c r="B378" s="165" t="s">
        <v>474</v>
      </c>
      <c r="C378" s="142" t="s">
        <v>20</v>
      </c>
      <c r="D378" s="166">
        <v>276</v>
      </c>
      <c r="E378" s="167"/>
      <c r="F378" s="168">
        <v>860</v>
      </c>
      <c r="G378" s="169"/>
      <c r="H378" s="169">
        <f t="shared" si="66"/>
        <v>237360</v>
      </c>
      <c r="I378" s="169">
        <f t="shared" si="67"/>
        <v>237360</v>
      </c>
    </row>
    <row r="379" spans="1:9" s="6" customFormat="1">
      <c r="A379" s="99" t="s">
        <v>475</v>
      </c>
      <c r="B379" s="165" t="s">
        <v>476</v>
      </c>
      <c r="C379" s="142" t="s">
        <v>20</v>
      </c>
      <c r="D379" s="166">
        <v>75</v>
      </c>
      <c r="E379" s="167"/>
      <c r="F379" s="168">
        <v>2610.23</v>
      </c>
      <c r="G379" s="169"/>
      <c r="H379" s="169">
        <f t="shared" si="66"/>
        <v>195767.25</v>
      </c>
      <c r="I379" s="169">
        <f t="shared" si="67"/>
        <v>195767.25</v>
      </c>
    </row>
    <row r="380" spans="1:9" s="6" customFormat="1">
      <c r="A380" s="99" t="s">
        <v>477</v>
      </c>
      <c r="B380" s="165" t="s">
        <v>478</v>
      </c>
      <c r="C380" s="142" t="s">
        <v>20</v>
      </c>
      <c r="D380" s="166">
        <v>780</v>
      </c>
      <c r="E380" s="167"/>
      <c r="F380" s="168">
        <v>302</v>
      </c>
      <c r="G380" s="169"/>
      <c r="H380" s="169">
        <f t="shared" si="66"/>
        <v>235560</v>
      </c>
      <c r="I380" s="169">
        <f t="shared" si="67"/>
        <v>235560</v>
      </c>
    </row>
    <row r="381" spans="1:9" s="6" customFormat="1">
      <c r="A381" s="99" t="s">
        <v>479</v>
      </c>
      <c r="B381" s="165" t="s">
        <v>480</v>
      </c>
      <c r="C381" s="142" t="s">
        <v>20</v>
      </c>
      <c r="D381" s="166">
        <v>759</v>
      </c>
      <c r="E381" s="167"/>
      <c r="F381" s="168">
        <v>135.41</v>
      </c>
      <c r="G381" s="169"/>
      <c r="H381" s="169">
        <f t="shared" si="66"/>
        <v>102776.19</v>
      </c>
      <c r="I381" s="169">
        <f t="shared" si="67"/>
        <v>102776.19</v>
      </c>
    </row>
    <row r="382" spans="1:9" s="6" customFormat="1">
      <c r="A382" s="99" t="s">
        <v>481</v>
      </c>
      <c r="B382" s="165" t="s">
        <v>482</v>
      </c>
      <c r="C382" s="142" t="s">
        <v>20</v>
      </c>
      <c r="D382" s="166">
        <v>759</v>
      </c>
      <c r="E382" s="167"/>
      <c r="F382" s="168">
        <v>92.76</v>
      </c>
      <c r="G382" s="169"/>
      <c r="H382" s="169">
        <f t="shared" si="66"/>
        <v>70404.840000000011</v>
      </c>
      <c r="I382" s="169">
        <f t="shared" si="67"/>
        <v>70404.840000000011</v>
      </c>
    </row>
    <row r="383" spans="1:9" s="6" customFormat="1">
      <c r="A383" s="99" t="s">
        <v>483</v>
      </c>
      <c r="B383" s="165" t="s">
        <v>472</v>
      </c>
      <c r="C383" s="142" t="s">
        <v>20</v>
      </c>
      <c r="D383" s="166">
        <v>31166</v>
      </c>
      <c r="E383" s="167"/>
      <c r="F383" s="168">
        <v>0.5</v>
      </c>
      <c r="G383" s="169"/>
      <c r="H383" s="169">
        <f t="shared" si="66"/>
        <v>15583</v>
      </c>
      <c r="I383" s="169">
        <f t="shared" si="67"/>
        <v>15583</v>
      </c>
    </row>
    <row r="384" spans="1:9" s="6" customFormat="1">
      <c r="A384" s="99" t="s">
        <v>484</v>
      </c>
      <c r="B384" s="165" t="s">
        <v>485</v>
      </c>
      <c r="C384" s="142" t="s">
        <v>20</v>
      </c>
      <c r="D384" s="105">
        <v>6380</v>
      </c>
      <c r="E384" s="171"/>
      <c r="F384" s="103">
        <v>50</v>
      </c>
      <c r="G384" s="169"/>
      <c r="H384" s="169">
        <f t="shared" si="66"/>
        <v>319000</v>
      </c>
      <c r="I384" s="169">
        <f t="shared" si="67"/>
        <v>319000</v>
      </c>
    </row>
    <row r="385" spans="1:9" s="6" customFormat="1">
      <c r="A385" s="99" t="s">
        <v>486</v>
      </c>
      <c r="B385" s="165" t="s">
        <v>487</v>
      </c>
      <c r="C385" s="142" t="s">
        <v>20</v>
      </c>
      <c r="D385" s="105">
        <v>400</v>
      </c>
      <c r="E385" s="171"/>
      <c r="F385" s="103">
        <v>350</v>
      </c>
      <c r="G385" s="169"/>
      <c r="H385" s="169">
        <f t="shared" si="66"/>
        <v>140000</v>
      </c>
      <c r="I385" s="169">
        <f t="shared" si="67"/>
        <v>140000</v>
      </c>
    </row>
    <row r="386" spans="1:9" s="6" customFormat="1">
      <c r="A386" s="99" t="s">
        <v>488</v>
      </c>
      <c r="B386" s="165" t="s">
        <v>472</v>
      </c>
      <c r="C386" s="142" t="s">
        <v>20</v>
      </c>
      <c r="D386" s="105">
        <v>16500</v>
      </c>
      <c r="E386" s="171"/>
      <c r="F386" s="103">
        <v>4.3600000000000003</v>
      </c>
      <c r="G386" s="169"/>
      <c r="H386" s="169">
        <f t="shared" si="66"/>
        <v>71940</v>
      </c>
      <c r="I386" s="169">
        <f t="shared" si="67"/>
        <v>71940</v>
      </c>
    </row>
    <row r="387" spans="1:9" s="6" customFormat="1">
      <c r="A387" s="99" t="s">
        <v>489</v>
      </c>
      <c r="B387" s="165" t="s">
        <v>2270</v>
      </c>
      <c r="C387" s="142" t="s">
        <v>111</v>
      </c>
      <c r="D387" s="105">
        <f>5.59*2.59*1+1.925*2.59*1+2.29*2.74*2+2.5*2.74*1+5.59*2.59*1+1.925*2.59*1+2.5*2.74*1</f>
        <v>65.176899999999989</v>
      </c>
      <c r="E387" s="171">
        <v>1100</v>
      </c>
      <c r="F387" s="103"/>
      <c r="G387" s="175">
        <f>D387*E387</f>
        <v>71694.589999999982</v>
      </c>
      <c r="H387" s="175"/>
      <c r="I387" s="175">
        <f t="shared" si="67"/>
        <v>71694.589999999982</v>
      </c>
    </row>
    <row r="388" spans="1:9" s="6" customFormat="1">
      <c r="A388" s="99" t="s">
        <v>2271</v>
      </c>
      <c r="B388" s="165" t="s">
        <v>2272</v>
      </c>
      <c r="C388" s="142" t="s">
        <v>111</v>
      </c>
      <c r="D388" s="105">
        <f>5.59*2.59*1+1.925*2.59*1+2.29*2.74*2+2.5*2.74*1+5.59*2.59*1+1.925*2.59*1+2.5*2.74*1</f>
        <v>65.176899999999989</v>
      </c>
      <c r="E388" s="171"/>
      <c r="F388" s="103">
        <v>6150</v>
      </c>
      <c r="G388" s="175"/>
      <c r="H388" s="175">
        <f t="shared" ref="H388" si="68">D388*F388</f>
        <v>400837.93499999994</v>
      </c>
      <c r="I388" s="175">
        <f t="shared" ref="I388" si="69">G388+H388</f>
        <v>400837.93499999994</v>
      </c>
    </row>
    <row r="389" spans="1:9" s="6" customFormat="1">
      <c r="A389" s="27"/>
      <c r="B389" s="427" t="s">
        <v>2085</v>
      </c>
      <c r="C389" s="533" t="s">
        <v>2273</v>
      </c>
      <c r="D389" s="534"/>
      <c r="E389" s="534"/>
      <c r="F389" s="535"/>
      <c r="G389" s="32">
        <f>SUM(G370:G388)</f>
        <v>2074794.59</v>
      </c>
      <c r="H389" s="32">
        <f t="shared" ref="H389:I389" si="70">SUM(H370:H388)</f>
        <v>11862076.674999999</v>
      </c>
      <c r="I389" s="32">
        <f t="shared" si="70"/>
        <v>13936871.264999999</v>
      </c>
    </row>
    <row r="390" spans="1:9" s="6" customFormat="1">
      <c r="A390" s="27"/>
      <c r="B390" s="427" t="s">
        <v>2088</v>
      </c>
      <c r="C390" s="530"/>
      <c r="D390" s="531"/>
      <c r="E390" s="531"/>
      <c r="F390" s="532"/>
      <c r="G390" s="32">
        <f>PRODUCT(G389,1/1.2,0.2)</f>
        <v>345799.09833333339</v>
      </c>
      <c r="H390" s="32">
        <f>PRODUCT(H389,1/1.2,0.2)</f>
        <v>1977012.7791666666</v>
      </c>
      <c r="I390" s="32">
        <f>PRODUCT(I389,1/1.2,0.2)</f>
        <v>2322811.8774999999</v>
      </c>
    </row>
    <row r="391" spans="1:9" s="6" customFormat="1">
      <c r="A391" s="157"/>
      <c r="B391" s="158" t="s">
        <v>2274</v>
      </c>
      <c r="C391" s="159"/>
      <c r="D391" s="160"/>
      <c r="E391" s="173"/>
      <c r="F391" s="173"/>
      <c r="G391" s="163"/>
      <c r="H391" s="163"/>
      <c r="I391" s="163"/>
    </row>
    <row r="392" spans="1:9" s="6" customFormat="1">
      <c r="A392" s="99" t="s">
        <v>490</v>
      </c>
      <c r="B392" s="100" t="s">
        <v>491</v>
      </c>
      <c r="C392" s="142" t="s">
        <v>111</v>
      </c>
      <c r="D392" s="105">
        <f>1.52*0.9*138+1.52*1.3*69+1.77*1.3*161+1.77*1.5*207+1.56*0.9*1+1.81*1.5*10+1.81*1.3*7+1.95*1.2*2+0.8*0.8*8</f>
        <v>1299.999</v>
      </c>
      <c r="E392" s="171">
        <v>380</v>
      </c>
      <c r="F392" s="103"/>
      <c r="G392" s="175">
        <f t="shared" ref="G392" si="71">D392*E392</f>
        <v>493999.62</v>
      </c>
      <c r="H392" s="175"/>
      <c r="I392" s="175">
        <f t="shared" ref="I392:I427" si="72">G392+H392</f>
        <v>493999.62</v>
      </c>
    </row>
    <row r="393" spans="1:9" customFormat="1">
      <c r="A393" s="99" t="s">
        <v>492</v>
      </c>
      <c r="B393" s="100" t="s">
        <v>493</v>
      </c>
      <c r="C393" s="142" t="s">
        <v>111</v>
      </c>
      <c r="D393" s="105">
        <f>138*1.44*0.9</f>
        <v>178.84800000000001</v>
      </c>
      <c r="E393" s="171"/>
      <c r="F393" s="174"/>
      <c r="G393" s="175"/>
      <c r="H393" s="175">
        <f t="shared" ref="H393" si="73">D393*F393</f>
        <v>0</v>
      </c>
      <c r="I393" s="175">
        <f t="shared" ref="I393" si="74">G393+H393</f>
        <v>0</v>
      </c>
    </row>
    <row r="394" spans="1:9" customFormat="1">
      <c r="A394" s="99" t="s">
        <v>494</v>
      </c>
      <c r="B394" s="100" t="s">
        <v>495</v>
      </c>
      <c r="C394" s="142" t="s">
        <v>111</v>
      </c>
      <c r="D394" s="105">
        <f>69*1.44*1.3</f>
        <v>129.16800000000001</v>
      </c>
      <c r="E394" s="176"/>
      <c r="F394" s="174"/>
      <c r="G394" s="175"/>
      <c r="H394" s="175">
        <f t="shared" ref="H394:H402" si="75">D394*F394</f>
        <v>0</v>
      </c>
      <c r="I394" s="175">
        <f t="shared" ref="I394:I403" si="76">G394+H394</f>
        <v>0</v>
      </c>
    </row>
    <row r="395" spans="1:9" customFormat="1">
      <c r="A395" s="99" t="s">
        <v>496</v>
      </c>
      <c r="B395" s="100" t="s">
        <v>497</v>
      </c>
      <c r="C395" s="142" t="s">
        <v>111</v>
      </c>
      <c r="D395" s="105">
        <f>161*1.25*1.69</f>
        <v>340.11250000000001</v>
      </c>
      <c r="E395" s="176"/>
      <c r="F395" s="174"/>
      <c r="G395" s="175"/>
      <c r="H395" s="175">
        <f t="shared" si="75"/>
        <v>0</v>
      </c>
      <c r="I395" s="175">
        <f t="shared" si="76"/>
        <v>0</v>
      </c>
    </row>
    <row r="396" spans="1:9" customFormat="1">
      <c r="A396" s="99" t="s">
        <v>498</v>
      </c>
      <c r="B396" s="100" t="s">
        <v>499</v>
      </c>
      <c r="C396" s="142" t="s">
        <v>111</v>
      </c>
      <c r="D396" s="105">
        <f>207*1.45*1.69</f>
        <v>507.25349999999992</v>
      </c>
      <c r="E396" s="176"/>
      <c r="F396" s="174"/>
      <c r="G396" s="175"/>
      <c r="H396" s="175">
        <f t="shared" si="75"/>
        <v>0</v>
      </c>
      <c r="I396" s="175">
        <f t="shared" si="76"/>
        <v>0</v>
      </c>
    </row>
    <row r="397" spans="1:9" customFormat="1">
      <c r="A397" s="99" t="s">
        <v>500</v>
      </c>
      <c r="B397" s="100" t="s">
        <v>501</v>
      </c>
      <c r="C397" s="142" t="s">
        <v>111</v>
      </c>
      <c r="D397" s="105">
        <f>1*0.9*1.48</f>
        <v>1.3320000000000001</v>
      </c>
      <c r="E397" s="176"/>
      <c r="F397" s="174"/>
      <c r="G397" s="175"/>
      <c r="H397" s="175">
        <f t="shared" si="75"/>
        <v>0</v>
      </c>
      <c r="I397" s="175">
        <f t="shared" si="76"/>
        <v>0</v>
      </c>
    </row>
    <row r="398" spans="1:9" customFormat="1">
      <c r="A398" s="99" t="s">
        <v>502</v>
      </c>
      <c r="B398" s="100" t="s">
        <v>503</v>
      </c>
      <c r="C398" s="142" t="s">
        <v>111</v>
      </c>
      <c r="D398" s="105">
        <f>10*1.45*1.73</f>
        <v>25.085000000000001</v>
      </c>
      <c r="E398" s="171"/>
      <c r="F398" s="174"/>
      <c r="G398" s="175"/>
      <c r="H398" s="175">
        <f t="shared" si="75"/>
        <v>0</v>
      </c>
      <c r="I398" s="175">
        <f t="shared" si="76"/>
        <v>0</v>
      </c>
    </row>
    <row r="399" spans="1:9" customFormat="1">
      <c r="A399" s="99" t="s">
        <v>504</v>
      </c>
      <c r="B399" s="100" t="s">
        <v>505</v>
      </c>
      <c r="C399" s="142" t="s">
        <v>111</v>
      </c>
      <c r="D399" s="105">
        <f>7*1.25*1.73</f>
        <v>15.137499999999999</v>
      </c>
      <c r="E399" s="171"/>
      <c r="F399" s="174"/>
      <c r="G399" s="175"/>
      <c r="H399" s="175">
        <f t="shared" si="75"/>
        <v>0</v>
      </c>
      <c r="I399" s="175">
        <f t="shared" si="76"/>
        <v>0</v>
      </c>
    </row>
    <row r="400" spans="1:9" customFormat="1">
      <c r="A400" s="99" t="s">
        <v>506</v>
      </c>
      <c r="B400" s="100" t="s">
        <v>507</v>
      </c>
      <c r="C400" s="142" t="s">
        <v>111</v>
      </c>
      <c r="D400" s="105">
        <f>1*1.87*1.15</f>
        <v>2.1505000000000001</v>
      </c>
      <c r="E400" s="171"/>
      <c r="F400" s="174"/>
      <c r="G400" s="175"/>
      <c r="H400" s="175">
        <f t="shared" si="75"/>
        <v>0</v>
      </c>
      <c r="I400" s="175">
        <f t="shared" si="76"/>
        <v>0</v>
      </c>
    </row>
    <row r="401" spans="1:9" customFormat="1">
      <c r="A401" s="99" t="s">
        <v>508</v>
      </c>
      <c r="B401" s="100" t="s">
        <v>507</v>
      </c>
      <c r="C401" s="142" t="s">
        <v>111</v>
      </c>
      <c r="D401" s="105">
        <f>1*1.87*1.15</f>
        <v>2.1505000000000001</v>
      </c>
      <c r="E401" s="171"/>
      <c r="F401" s="174"/>
      <c r="G401" s="175"/>
      <c r="H401" s="175">
        <f t="shared" si="75"/>
        <v>0</v>
      </c>
      <c r="I401" s="175">
        <f t="shared" si="76"/>
        <v>0</v>
      </c>
    </row>
    <row r="402" spans="1:9" customFormat="1">
      <c r="A402" s="99" t="s">
        <v>509</v>
      </c>
      <c r="B402" s="100" t="s">
        <v>510</v>
      </c>
      <c r="C402" s="142" t="s">
        <v>111</v>
      </c>
      <c r="D402" s="105">
        <f>8*0.75*0.75</f>
        <v>4.5</v>
      </c>
      <c r="E402" s="171"/>
      <c r="F402" s="174"/>
      <c r="G402" s="175"/>
      <c r="H402" s="175">
        <f t="shared" si="75"/>
        <v>0</v>
      </c>
      <c r="I402" s="175">
        <f t="shared" si="76"/>
        <v>0</v>
      </c>
    </row>
    <row r="403" spans="1:9" s="6" customFormat="1">
      <c r="A403" s="99" t="s">
        <v>528</v>
      </c>
      <c r="B403" s="100" t="s">
        <v>529</v>
      </c>
      <c r="C403" s="142" t="s">
        <v>111</v>
      </c>
      <c r="D403" s="105">
        <f>2.42*0.75*115+2.42*0.75*92+2.44*0.75*1</f>
        <v>377.53499999999997</v>
      </c>
      <c r="E403" s="171">
        <v>380</v>
      </c>
      <c r="F403" s="103"/>
      <c r="G403" s="175">
        <f t="shared" ref="G403" si="77">D403*E403</f>
        <v>143463.29999999999</v>
      </c>
      <c r="H403" s="175"/>
      <c r="I403" s="175">
        <f t="shared" si="76"/>
        <v>143463.29999999999</v>
      </c>
    </row>
    <row r="404" spans="1:9" customFormat="1">
      <c r="A404" s="99" t="s">
        <v>530</v>
      </c>
      <c r="B404" s="100" t="s">
        <v>531</v>
      </c>
      <c r="C404" s="142" t="s">
        <v>111</v>
      </c>
      <c r="D404" s="105">
        <f>115*2.42*0.75</f>
        <v>208.72500000000002</v>
      </c>
      <c r="E404" s="171"/>
      <c r="F404" s="174"/>
      <c r="G404" s="175"/>
      <c r="H404" s="175">
        <f t="shared" ref="H404:H406" si="78">D404*F404</f>
        <v>0</v>
      </c>
      <c r="I404" s="175">
        <f t="shared" si="72"/>
        <v>0</v>
      </c>
    </row>
    <row r="405" spans="1:9" customFormat="1">
      <c r="A405" s="99" t="s">
        <v>532</v>
      </c>
      <c r="B405" s="100" t="s">
        <v>533</v>
      </c>
      <c r="C405" s="142" t="s">
        <v>111</v>
      </c>
      <c r="D405" s="105">
        <f>92*2.42*0.75</f>
        <v>166.98</v>
      </c>
      <c r="E405" s="177"/>
      <c r="F405" s="174"/>
      <c r="G405" s="175"/>
      <c r="H405" s="175">
        <f t="shared" si="78"/>
        <v>0</v>
      </c>
      <c r="I405" s="175">
        <f t="shared" si="72"/>
        <v>0</v>
      </c>
    </row>
    <row r="406" spans="1:9" customFormat="1">
      <c r="A406" s="99" t="s">
        <v>534</v>
      </c>
      <c r="B406" s="100" t="s">
        <v>535</v>
      </c>
      <c r="C406" s="142" t="s">
        <v>111</v>
      </c>
      <c r="D406" s="105">
        <f>1*2.44*0.75</f>
        <v>1.83</v>
      </c>
      <c r="E406" s="177"/>
      <c r="F406" s="174"/>
      <c r="G406" s="175"/>
      <c r="H406" s="175">
        <f t="shared" si="78"/>
        <v>0</v>
      </c>
      <c r="I406" s="175">
        <f t="shared" si="72"/>
        <v>0</v>
      </c>
    </row>
    <row r="407" spans="1:9" s="6" customFormat="1">
      <c r="A407" s="99" t="s">
        <v>539</v>
      </c>
      <c r="B407" s="100" t="s">
        <v>2276</v>
      </c>
      <c r="C407" s="142" t="s">
        <v>111</v>
      </c>
      <c r="D407" s="105">
        <f>3.26*1.56*1+0.92*1.56*2+3.26*1.52*69+1.12*1.52*161+6.08*1.52*23+6.26*1.52*23+5.645*1.52*23+1.07*1.52*23+0.92*1.52*23</f>
        <v>1322.2772</v>
      </c>
      <c r="E407" s="177">
        <v>380</v>
      </c>
      <c r="F407" s="103"/>
      <c r="G407" s="175">
        <f t="shared" ref="G407" si="79">D407*E407</f>
        <v>502465.33600000001</v>
      </c>
      <c r="H407" s="175"/>
      <c r="I407" s="175">
        <f t="shared" si="72"/>
        <v>502465.33600000001</v>
      </c>
    </row>
    <row r="408" spans="1:9" customFormat="1">
      <c r="A408" s="99" t="s">
        <v>540</v>
      </c>
      <c r="B408" s="100" t="s">
        <v>541</v>
      </c>
      <c r="C408" s="142" t="s">
        <v>111</v>
      </c>
      <c r="D408" s="105">
        <f>1*3.14*1.51</f>
        <v>4.7414000000000005</v>
      </c>
      <c r="E408" s="177"/>
      <c r="F408" s="178"/>
      <c r="G408" s="175"/>
      <c r="H408" s="175">
        <f t="shared" ref="H408" si="80">D408*F408</f>
        <v>0</v>
      </c>
      <c r="I408" s="175">
        <f t="shared" ref="I408" si="81">G408+H408</f>
        <v>0</v>
      </c>
    </row>
    <row r="409" spans="1:9" customFormat="1">
      <c r="A409" s="99" t="s">
        <v>542</v>
      </c>
      <c r="B409" s="100" t="s">
        <v>543</v>
      </c>
      <c r="C409" s="142" t="s">
        <v>111</v>
      </c>
      <c r="D409" s="105">
        <f>2*0.92*1.51</f>
        <v>2.7784</v>
      </c>
      <c r="E409" s="177"/>
      <c r="F409" s="178"/>
      <c r="G409" s="175"/>
      <c r="H409" s="175">
        <f t="shared" ref="H409:H416" si="82">D409*F409</f>
        <v>0</v>
      </c>
      <c r="I409" s="175">
        <f t="shared" ref="I409:I416" si="83">G409+H409</f>
        <v>0</v>
      </c>
    </row>
    <row r="410" spans="1:9" customFormat="1">
      <c r="A410" s="99" t="s">
        <v>544</v>
      </c>
      <c r="B410" s="100" t="s">
        <v>545</v>
      </c>
      <c r="C410" s="142" t="s">
        <v>111</v>
      </c>
      <c r="D410" s="105">
        <f>69*3.14*1.47</f>
        <v>318.49020000000002</v>
      </c>
      <c r="E410" s="177"/>
      <c r="F410" s="178"/>
      <c r="G410" s="175"/>
      <c r="H410" s="175">
        <f t="shared" si="82"/>
        <v>0</v>
      </c>
      <c r="I410" s="175">
        <f t="shared" si="83"/>
        <v>0</v>
      </c>
    </row>
    <row r="411" spans="1:9" customFormat="1">
      <c r="A411" s="99" t="s">
        <v>546</v>
      </c>
      <c r="B411" s="100" t="s">
        <v>547</v>
      </c>
      <c r="C411" s="142" t="s">
        <v>111</v>
      </c>
      <c r="D411" s="105">
        <f>161*1.12*1.47</f>
        <v>265.07040000000001</v>
      </c>
      <c r="E411" s="171"/>
      <c r="F411" s="178"/>
      <c r="G411" s="175"/>
      <c r="H411" s="175">
        <f t="shared" si="82"/>
        <v>0</v>
      </c>
      <c r="I411" s="175">
        <f t="shared" si="83"/>
        <v>0</v>
      </c>
    </row>
    <row r="412" spans="1:9" customFormat="1">
      <c r="A412" s="99" t="s">
        <v>548</v>
      </c>
      <c r="B412" s="100" t="s">
        <v>549</v>
      </c>
      <c r="C412" s="142" t="s">
        <v>111</v>
      </c>
      <c r="D412" s="105">
        <f>23*5.96*1.47</f>
        <v>201.50760000000002</v>
      </c>
      <c r="E412" s="171"/>
      <c r="F412" s="178"/>
      <c r="G412" s="175"/>
      <c r="H412" s="175">
        <f t="shared" si="82"/>
        <v>0</v>
      </c>
      <c r="I412" s="175">
        <f t="shared" si="83"/>
        <v>0</v>
      </c>
    </row>
    <row r="413" spans="1:9" customFormat="1">
      <c r="A413" s="99" t="s">
        <v>550</v>
      </c>
      <c r="B413" s="100" t="s">
        <v>551</v>
      </c>
      <c r="C413" s="142" t="s">
        <v>111</v>
      </c>
      <c r="D413" s="105">
        <f>23*6.14*1.47</f>
        <v>207.5934</v>
      </c>
      <c r="E413" s="171"/>
      <c r="F413" s="178"/>
      <c r="G413" s="175"/>
      <c r="H413" s="175">
        <f t="shared" si="82"/>
        <v>0</v>
      </c>
      <c r="I413" s="175">
        <f t="shared" si="83"/>
        <v>0</v>
      </c>
    </row>
    <row r="414" spans="1:9" customFormat="1">
      <c r="A414" s="99" t="s">
        <v>552</v>
      </c>
      <c r="B414" s="100" t="s">
        <v>553</v>
      </c>
      <c r="C414" s="142" t="s">
        <v>111</v>
      </c>
      <c r="D414" s="105">
        <f>23*5.525*1.47</f>
        <v>186.80025000000001</v>
      </c>
      <c r="E414" s="171"/>
      <c r="F414" s="178"/>
      <c r="G414" s="175"/>
      <c r="H414" s="175">
        <f t="shared" si="82"/>
        <v>0</v>
      </c>
      <c r="I414" s="175">
        <f t="shared" si="83"/>
        <v>0</v>
      </c>
    </row>
    <row r="415" spans="1:9" customFormat="1">
      <c r="A415" s="99" t="s">
        <v>554</v>
      </c>
      <c r="B415" s="100" t="s">
        <v>555</v>
      </c>
      <c r="C415" s="142" t="s">
        <v>111</v>
      </c>
      <c r="D415" s="105">
        <f>23*1.07*1.47</f>
        <v>36.176700000000004</v>
      </c>
      <c r="E415" s="171"/>
      <c r="F415" s="178"/>
      <c r="G415" s="175"/>
      <c r="H415" s="175">
        <f t="shared" si="82"/>
        <v>0</v>
      </c>
      <c r="I415" s="175">
        <f t="shared" si="83"/>
        <v>0</v>
      </c>
    </row>
    <row r="416" spans="1:9" customFormat="1">
      <c r="A416" s="99" t="s">
        <v>556</v>
      </c>
      <c r="B416" s="100" t="s">
        <v>557</v>
      </c>
      <c r="C416" s="142" t="s">
        <v>111</v>
      </c>
      <c r="D416" s="105">
        <f>23*0.92*1.47</f>
        <v>31.1052</v>
      </c>
      <c r="E416" s="171"/>
      <c r="F416" s="178"/>
      <c r="G416" s="175"/>
      <c r="H416" s="175">
        <f t="shared" si="82"/>
        <v>0</v>
      </c>
      <c r="I416" s="175">
        <f t="shared" si="83"/>
        <v>0</v>
      </c>
    </row>
    <row r="417" spans="1:9" customFormat="1">
      <c r="A417" s="99" t="s">
        <v>558</v>
      </c>
      <c r="B417" s="100" t="s">
        <v>2275</v>
      </c>
      <c r="C417" s="142" t="s">
        <v>602</v>
      </c>
      <c r="D417" s="105">
        <v>1</v>
      </c>
      <c r="E417" s="164"/>
      <c r="F417" s="175">
        <v>0</v>
      </c>
      <c r="G417" s="172"/>
      <c r="H417" s="175">
        <f t="shared" ref="H417" si="84">D417*F417</f>
        <v>0</v>
      </c>
      <c r="I417" s="175">
        <f t="shared" ref="I417" si="85">G417+H417</f>
        <v>0</v>
      </c>
    </row>
    <row r="418" spans="1:9" customFormat="1">
      <c r="A418" s="99" t="s">
        <v>559</v>
      </c>
      <c r="B418" s="179" t="s">
        <v>560</v>
      </c>
      <c r="C418" s="180" t="s">
        <v>332</v>
      </c>
      <c r="D418" s="181">
        <f>3*141+4*454+2*8+(4*208+5*387+2*8)*2+(3*139+4*454)</f>
        <v>10054</v>
      </c>
      <c r="E418" s="182"/>
      <c r="F418" s="459">
        <v>1.81</v>
      </c>
      <c r="G418" s="175"/>
      <c r="H418" s="175">
        <f t="shared" ref="H418:H427" si="86">D418*F418</f>
        <v>18197.740000000002</v>
      </c>
      <c r="I418" s="175">
        <f t="shared" si="72"/>
        <v>18197.740000000002</v>
      </c>
    </row>
    <row r="419" spans="1:9" customFormat="1">
      <c r="A419" s="99" t="s">
        <v>561</v>
      </c>
      <c r="B419" s="179" t="s">
        <v>562</v>
      </c>
      <c r="C419" s="180" t="s">
        <v>332</v>
      </c>
      <c r="D419" s="181">
        <f>3*141+4*454+2*8+(4*208+5*387+2*8)*2+(3*139+4*454)</f>
        <v>10054</v>
      </c>
      <c r="E419" s="182"/>
      <c r="F419" s="459">
        <v>1.5</v>
      </c>
      <c r="G419" s="175"/>
      <c r="H419" s="175">
        <f t="shared" si="86"/>
        <v>15081</v>
      </c>
      <c r="I419" s="175">
        <f t="shared" si="72"/>
        <v>15081</v>
      </c>
    </row>
    <row r="420" spans="1:9" customFormat="1">
      <c r="A420" s="99" t="s">
        <v>563</v>
      </c>
      <c r="B420" s="179" t="s">
        <v>564</v>
      </c>
      <c r="C420" s="180" t="s">
        <v>332</v>
      </c>
      <c r="D420" s="181">
        <f>3*141+4*454+2*8+(4*208+5*387+2*8)*2+(3*139+4*454)</f>
        <v>10054</v>
      </c>
      <c r="E420" s="182"/>
      <c r="F420" s="459">
        <v>1.1399999999999999</v>
      </c>
      <c r="G420" s="175"/>
      <c r="H420" s="175">
        <f t="shared" si="86"/>
        <v>11461.56</v>
      </c>
      <c r="I420" s="175">
        <f t="shared" si="72"/>
        <v>11461.56</v>
      </c>
    </row>
    <row r="421" spans="1:9" customFormat="1">
      <c r="A421" s="99" t="s">
        <v>565</v>
      </c>
      <c r="B421" s="179" t="s">
        <v>566</v>
      </c>
      <c r="C421" s="180" t="s">
        <v>332</v>
      </c>
      <c r="D421" s="181">
        <f>(3*141+4*454+2*8)*2+(9*70+16*69)+3*210</f>
        <v>6874</v>
      </c>
      <c r="E421" s="182"/>
      <c r="F421" s="459">
        <v>1.19</v>
      </c>
      <c r="G421" s="175"/>
      <c r="H421" s="175">
        <f t="shared" si="86"/>
        <v>8180.0599999999995</v>
      </c>
      <c r="I421" s="175">
        <f t="shared" si="72"/>
        <v>8180.0599999999995</v>
      </c>
    </row>
    <row r="422" spans="1:9" customFormat="1">
      <c r="A422" s="99" t="s">
        <v>567</v>
      </c>
      <c r="B422" s="179" t="s">
        <v>568</v>
      </c>
      <c r="C422" s="180" t="s">
        <v>332</v>
      </c>
      <c r="D422" s="181">
        <f>(9*70+16*69)+3*210</f>
        <v>2364</v>
      </c>
      <c r="E422" s="182"/>
      <c r="F422" s="459">
        <v>0.86</v>
      </c>
      <c r="G422" s="175"/>
      <c r="H422" s="175">
        <f t="shared" si="86"/>
        <v>2033.04</v>
      </c>
      <c r="I422" s="175">
        <f t="shared" si="72"/>
        <v>2033.04</v>
      </c>
    </row>
    <row r="423" spans="1:9" customFormat="1">
      <c r="A423" s="99" t="s">
        <v>569</v>
      </c>
      <c r="B423" s="179" t="s">
        <v>570</v>
      </c>
      <c r="C423" s="180" t="s">
        <v>332</v>
      </c>
      <c r="D423" s="181">
        <f>(3*141+4*454+2*8+4*208+5*387+2*8)*2+(3*139+4*454)+(9*70+16*69)*2+(3*210)*2</f>
        <v>17037</v>
      </c>
      <c r="E423" s="182"/>
      <c r="F423" s="459">
        <v>15</v>
      </c>
      <c r="G423" s="175"/>
      <c r="H423" s="175">
        <f t="shared" si="86"/>
        <v>255555</v>
      </c>
      <c r="I423" s="175">
        <f t="shared" si="72"/>
        <v>255555</v>
      </c>
    </row>
    <row r="424" spans="1:9" customFormat="1">
      <c r="A424" s="99" t="s">
        <v>571</v>
      </c>
      <c r="B424" s="179" t="s">
        <v>572</v>
      </c>
      <c r="C424" s="180" t="s">
        <v>332</v>
      </c>
      <c r="D424" s="183">
        <f>4*209</f>
        <v>836</v>
      </c>
      <c r="E424" s="182"/>
      <c r="F424" s="459">
        <v>35.619999999999997</v>
      </c>
      <c r="G424" s="175"/>
      <c r="H424" s="175">
        <f t="shared" si="86"/>
        <v>29778.319999999996</v>
      </c>
      <c r="I424" s="175">
        <f t="shared" si="72"/>
        <v>29778.319999999996</v>
      </c>
    </row>
    <row r="425" spans="1:9" customFormat="1">
      <c r="A425" s="99" t="s">
        <v>573</v>
      </c>
      <c r="B425" s="179" t="s">
        <v>574</v>
      </c>
      <c r="C425" s="180" t="s">
        <v>159</v>
      </c>
      <c r="D425" s="184">
        <f>0.12*(2.42*4*207+0.75*4*207+2.44*2+0.75*2+0.9*2*138+1.52*2*138+1.3*2*69+1.52*2*69+1.3*2*161+1.77*2*161+1.5*2*207+1.77*2*207+0.9*2+1.56*2+1.5*2*10+1.81*2*10+1.3*2*7+1.81*2*7+1.2*4+1.95*4+0.8*4*8)</f>
        <v>742.00800000000004</v>
      </c>
      <c r="E425" s="182"/>
      <c r="F425" s="459">
        <v>93.73</v>
      </c>
      <c r="G425" s="175"/>
      <c r="H425" s="175">
        <f t="shared" si="86"/>
        <v>69548.409840000008</v>
      </c>
      <c r="I425" s="175">
        <f t="shared" si="72"/>
        <v>69548.409840000008</v>
      </c>
    </row>
    <row r="426" spans="1:9" customFormat="1">
      <c r="A426" s="99" t="s">
        <v>575</v>
      </c>
      <c r="B426" s="179" t="s">
        <v>576</v>
      </c>
      <c r="C426" s="180" t="s">
        <v>159</v>
      </c>
      <c r="D426" s="184">
        <f>0.12*(2.42*4*207+0.75*4*207+2.44*2+0.75*2+0.9*2*138+1.52*2*138+1.3*2*69+1.52*2*69+1.3*2*161+1.77*2*161+1.5*2*207+1.77*2*207+0.9*2+1.56*2+1.5*2*10+1.81*2*10+1.3*2*7+1.81*2*7+1.2*4+1.95*4+0.8*4*8)</f>
        <v>742.00800000000004</v>
      </c>
      <c r="E426" s="182"/>
      <c r="F426" s="459">
        <v>85.5</v>
      </c>
      <c r="G426" s="175"/>
      <c r="H426" s="175">
        <f t="shared" si="86"/>
        <v>63441.684000000001</v>
      </c>
      <c r="I426" s="175">
        <f t="shared" si="72"/>
        <v>63441.684000000001</v>
      </c>
    </row>
    <row r="427" spans="1:9" customFormat="1">
      <c r="A427" s="99" t="s">
        <v>577</v>
      </c>
      <c r="B427" s="179" t="s">
        <v>578</v>
      </c>
      <c r="C427" s="180" t="s">
        <v>579</v>
      </c>
      <c r="D427" s="181">
        <f>ROUND(811*1.5,0)</f>
        <v>1217</v>
      </c>
      <c r="E427" s="182"/>
      <c r="F427" s="459">
        <v>174</v>
      </c>
      <c r="G427" s="175"/>
      <c r="H427" s="175">
        <f t="shared" si="86"/>
        <v>211758</v>
      </c>
      <c r="I427" s="175">
        <f t="shared" si="72"/>
        <v>211758</v>
      </c>
    </row>
    <row r="428" spans="1:9" s="6" customFormat="1">
      <c r="A428" s="99" t="s">
        <v>580</v>
      </c>
      <c r="B428" s="179" t="s">
        <v>581</v>
      </c>
      <c r="C428" s="180" t="s">
        <v>310</v>
      </c>
      <c r="D428" s="181">
        <f>ROUND(1586.19,0)</f>
        <v>1586</v>
      </c>
      <c r="E428" s="182">
        <v>40</v>
      </c>
      <c r="F428" s="459"/>
      <c r="G428" s="175">
        <f t="shared" ref="G428:G433" si="87">D428*E428</f>
        <v>63440</v>
      </c>
      <c r="H428" s="175"/>
      <c r="I428" s="175">
        <f t="shared" ref="I428:I438" si="88">G428+H428</f>
        <v>63440</v>
      </c>
    </row>
    <row r="429" spans="1:9" s="6" customFormat="1">
      <c r="A429" s="99" t="s">
        <v>582</v>
      </c>
      <c r="B429" s="179" t="s">
        <v>583</v>
      </c>
      <c r="C429" s="180" t="s">
        <v>111</v>
      </c>
      <c r="D429" s="181">
        <f>67.7+218.36</f>
        <v>286.06</v>
      </c>
      <c r="E429" s="182"/>
      <c r="F429" s="459">
        <v>432.49</v>
      </c>
      <c r="G429" s="175"/>
      <c r="H429" s="175">
        <f t="shared" ref="H429:H438" si="89">D429*F429</f>
        <v>123718.0894</v>
      </c>
      <c r="I429" s="175">
        <f t="shared" si="88"/>
        <v>123718.0894</v>
      </c>
    </row>
    <row r="430" spans="1:9" customFormat="1">
      <c r="A430" s="99" t="s">
        <v>584</v>
      </c>
      <c r="B430" s="185" t="s">
        <v>585</v>
      </c>
      <c r="C430" s="180" t="s">
        <v>20</v>
      </c>
      <c r="D430" s="181">
        <f>ROUND(1586.2/6,0)</f>
        <v>264</v>
      </c>
      <c r="E430" s="182"/>
      <c r="F430" s="459">
        <v>157</v>
      </c>
      <c r="G430" s="175"/>
      <c r="H430" s="175">
        <f t="shared" si="89"/>
        <v>41448</v>
      </c>
      <c r="I430" s="175">
        <f t="shared" si="88"/>
        <v>41448</v>
      </c>
    </row>
    <row r="431" spans="1:9" customFormat="1">
      <c r="A431" s="99" t="s">
        <v>586</v>
      </c>
      <c r="B431" s="179" t="s">
        <v>587</v>
      </c>
      <c r="C431" s="180" t="s">
        <v>20</v>
      </c>
      <c r="D431" s="181">
        <f>ROUND(D428*0.025/0.31,0)</f>
        <v>128</v>
      </c>
      <c r="E431" s="182"/>
      <c r="F431" s="459">
        <v>356</v>
      </c>
      <c r="G431" s="175"/>
      <c r="H431" s="175">
        <f t="shared" si="89"/>
        <v>45568</v>
      </c>
      <c r="I431" s="175">
        <f t="shared" si="88"/>
        <v>45568</v>
      </c>
    </row>
    <row r="432" spans="1:9" customFormat="1">
      <c r="A432" s="99" t="s">
        <v>588</v>
      </c>
      <c r="B432" s="179" t="s">
        <v>566</v>
      </c>
      <c r="C432" s="180" t="s">
        <v>332</v>
      </c>
      <c r="D432" s="181">
        <f>ROUND(1587/0.4,0)</f>
        <v>3968</v>
      </c>
      <c r="E432" s="182"/>
      <c r="F432" s="459">
        <v>1.19</v>
      </c>
      <c r="G432" s="175"/>
      <c r="H432" s="175">
        <f t="shared" si="89"/>
        <v>4721.92</v>
      </c>
      <c r="I432" s="175">
        <f t="shared" si="88"/>
        <v>4721.92</v>
      </c>
    </row>
    <row r="433" spans="1:9" customFormat="1">
      <c r="A433" s="458" t="s">
        <v>589</v>
      </c>
      <c r="B433" s="100" t="s">
        <v>590</v>
      </c>
      <c r="C433" s="142" t="s">
        <v>20</v>
      </c>
      <c r="D433" s="105">
        <v>208</v>
      </c>
      <c r="E433" s="177">
        <v>800</v>
      </c>
      <c r="F433" s="460"/>
      <c r="G433" s="175">
        <f t="shared" si="87"/>
        <v>166400</v>
      </c>
      <c r="H433" s="175"/>
      <c r="I433" s="175">
        <f t="shared" si="88"/>
        <v>166400</v>
      </c>
    </row>
    <row r="434" spans="1:9" customFormat="1">
      <c r="A434" s="99" t="s">
        <v>591</v>
      </c>
      <c r="B434" s="100" t="s">
        <v>592</v>
      </c>
      <c r="C434" s="142" t="s">
        <v>42</v>
      </c>
      <c r="D434" s="105">
        <f>(0.75*208*2)*3.05/1000</f>
        <v>0.95159999999999989</v>
      </c>
      <c r="E434" s="177"/>
      <c r="F434" s="460">
        <v>44100</v>
      </c>
      <c r="G434" s="175"/>
      <c r="H434" s="175">
        <f t="shared" si="89"/>
        <v>41965.56</v>
      </c>
      <c r="I434" s="175">
        <f t="shared" si="88"/>
        <v>41965.56</v>
      </c>
    </row>
    <row r="435" spans="1:9" customFormat="1">
      <c r="A435" s="99" t="s">
        <v>593</v>
      </c>
      <c r="B435" s="100" t="s">
        <v>594</v>
      </c>
      <c r="C435" s="142" t="s">
        <v>42</v>
      </c>
      <c r="D435" s="105">
        <f>(0.3*4*208)*0.888/1000</f>
        <v>0.2216448</v>
      </c>
      <c r="E435" s="177"/>
      <c r="F435" s="460">
        <v>34400</v>
      </c>
      <c r="G435" s="175"/>
      <c r="H435" s="175">
        <f t="shared" si="89"/>
        <v>7624.5811199999998</v>
      </c>
      <c r="I435" s="175">
        <f t="shared" si="88"/>
        <v>7624.5811199999998</v>
      </c>
    </row>
    <row r="436" spans="1:9" customFormat="1">
      <c r="A436" s="99" t="s">
        <v>595</v>
      </c>
      <c r="B436" s="100" t="s">
        <v>596</v>
      </c>
      <c r="C436" s="142" t="s">
        <v>111</v>
      </c>
      <c r="D436" s="105">
        <f>(0.315*0.75*208)*1.05</f>
        <v>51.597000000000001</v>
      </c>
      <c r="E436" s="177"/>
      <c r="F436" s="460">
        <v>263</v>
      </c>
      <c r="G436" s="175"/>
      <c r="H436" s="175">
        <f t="shared" si="89"/>
        <v>13570.011</v>
      </c>
      <c r="I436" s="175">
        <f t="shared" si="88"/>
        <v>13570.011</v>
      </c>
    </row>
    <row r="437" spans="1:9" customFormat="1">
      <c r="A437" s="99" t="s">
        <v>597</v>
      </c>
      <c r="B437" s="100" t="s">
        <v>598</v>
      </c>
      <c r="C437" s="101" t="s">
        <v>9</v>
      </c>
      <c r="D437" s="186">
        <f>0.135*0.75*208*0.15</f>
        <v>3.1590000000000003</v>
      </c>
      <c r="E437" s="103"/>
      <c r="F437" s="460">
        <v>4700</v>
      </c>
      <c r="G437" s="175"/>
      <c r="H437" s="175">
        <f t="shared" si="89"/>
        <v>14847.300000000001</v>
      </c>
      <c r="I437" s="175">
        <f t="shared" si="88"/>
        <v>14847.300000000001</v>
      </c>
    </row>
    <row r="438" spans="1:9" customFormat="1">
      <c r="A438" s="99" t="s">
        <v>599</v>
      </c>
      <c r="B438" s="100" t="s">
        <v>600</v>
      </c>
      <c r="C438" s="101" t="s">
        <v>20</v>
      </c>
      <c r="D438" s="187">
        <v>3</v>
      </c>
      <c r="E438" s="103"/>
      <c r="F438" s="460">
        <v>305</v>
      </c>
      <c r="G438" s="175"/>
      <c r="H438" s="175">
        <f t="shared" si="89"/>
        <v>915</v>
      </c>
      <c r="I438" s="175">
        <f t="shared" si="88"/>
        <v>915</v>
      </c>
    </row>
    <row r="439" spans="1:9" customFormat="1">
      <c r="A439" s="99" t="s">
        <v>2278</v>
      </c>
      <c r="B439" s="100" t="s">
        <v>2279</v>
      </c>
      <c r="C439" s="101" t="s">
        <v>111</v>
      </c>
      <c r="D439" s="187">
        <v>2939</v>
      </c>
      <c r="E439" s="103">
        <v>200</v>
      </c>
      <c r="F439" s="460"/>
      <c r="G439" s="175">
        <f t="shared" ref="G439" si="90">D439*E439</f>
        <v>587800</v>
      </c>
      <c r="H439" s="175"/>
      <c r="I439" s="175">
        <f t="shared" ref="I439" si="91">G439+H439</f>
        <v>587800</v>
      </c>
    </row>
    <row r="440" spans="1:9" customFormat="1">
      <c r="A440" s="99" t="s">
        <v>2280</v>
      </c>
      <c r="B440" s="100" t="s">
        <v>511</v>
      </c>
      <c r="C440" s="101" t="s">
        <v>20</v>
      </c>
      <c r="D440" s="187">
        <v>9153</v>
      </c>
      <c r="E440" s="103"/>
      <c r="F440" s="460">
        <v>108.24</v>
      </c>
      <c r="G440" s="175"/>
      <c r="H440" s="175">
        <f t="shared" ref="H440" si="92">D440*F440</f>
        <v>990720.72</v>
      </c>
      <c r="I440" s="175">
        <f t="shared" ref="I440" si="93">G440+H440</f>
        <v>990720.72</v>
      </c>
    </row>
    <row r="441" spans="1:9" customFormat="1">
      <c r="A441" s="99" t="s">
        <v>2281</v>
      </c>
      <c r="B441" s="100" t="s">
        <v>512</v>
      </c>
      <c r="C441" s="101" t="s">
        <v>20</v>
      </c>
      <c r="D441" s="187">
        <v>6329</v>
      </c>
      <c r="E441" s="103"/>
      <c r="F441" s="460">
        <v>132.58000000000001</v>
      </c>
      <c r="G441" s="175"/>
      <c r="H441" s="175">
        <f t="shared" ref="H441:H459" si="94">D441*F441</f>
        <v>839098.82000000007</v>
      </c>
      <c r="I441" s="175">
        <f t="shared" ref="I441:I459" si="95">G441+H441</f>
        <v>839098.82000000007</v>
      </c>
    </row>
    <row r="442" spans="1:9" customFormat="1">
      <c r="A442" s="99" t="s">
        <v>2282</v>
      </c>
      <c r="B442" s="100" t="s">
        <v>513</v>
      </c>
      <c r="C442" s="101" t="s">
        <v>20</v>
      </c>
      <c r="D442" s="187">
        <v>2170</v>
      </c>
      <c r="E442" s="103"/>
      <c r="F442" s="460">
        <v>126.6</v>
      </c>
      <c r="G442" s="175"/>
      <c r="H442" s="175">
        <f t="shared" si="94"/>
        <v>274722</v>
      </c>
      <c r="I442" s="175">
        <f t="shared" si="95"/>
        <v>274722</v>
      </c>
    </row>
    <row r="443" spans="1:9" customFormat="1">
      <c r="A443" s="99" t="s">
        <v>2283</v>
      </c>
      <c r="B443" s="100" t="s">
        <v>514</v>
      </c>
      <c r="C443" s="101" t="s">
        <v>20</v>
      </c>
      <c r="D443" s="187">
        <v>1970</v>
      </c>
      <c r="E443" s="103"/>
      <c r="F443" s="460">
        <v>26.91</v>
      </c>
      <c r="G443" s="175"/>
      <c r="H443" s="175">
        <f t="shared" si="94"/>
        <v>53012.7</v>
      </c>
      <c r="I443" s="175">
        <f t="shared" si="95"/>
        <v>53012.7</v>
      </c>
    </row>
    <row r="444" spans="1:9" customFormat="1">
      <c r="A444" s="99" t="s">
        <v>2284</v>
      </c>
      <c r="B444" s="100" t="s">
        <v>515</v>
      </c>
      <c r="C444" s="101" t="s">
        <v>20</v>
      </c>
      <c r="D444" s="187">
        <v>29500</v>
      </c>
      <c r="E444" s="103"/>
      <c r="F444" s="460">
        <v>0.6</v>
      </c>
      <c r="G444" s="175"/>
      <c r="H444" s="175">
        <f t="shared" si="94"/>
        <v>17700</v>
      </c>
      <c r="I444" s="175">
        <f t="shared" si="95"/>
        <v>17700</v>
      </c>
    </row>
    <row r="445" spans="1:9" customFormat="1">
      <c r="A445" s="99" t="s">
        <v>2285</v>
      </c>
      <c r="B445" s="100" t="s">
        <v>536</v>
      </c>
      <c r="C445" s="101" t="s">
        <v>20</v>
      </c>
      <c r="D445" s="187">
        <v>7641</v>
      </c>
      <c r="E445" s="103"/>
      <c r="F445" s="460">
        <v>16</v>
      </c>
      <c r="G445" s="175"/>
      <c r="H445" s="175">
        <f t="shared" si="94"/>
        <v>122256</v>
      </c>
      <c r="I445" s="175">
        <f t="shared" si="95"/>
        <v>122256</v>
      </c>
    </row>
    <row r="446" spans="1:9" customFormat="1">
      <c r="A446" s="99" t="s">
        <v>2286</v>
      </c>
      <c r="B446" s="100" t="s">
        <v>516</v>
      </c>
      <c r="C446" s="101" t="s">
        <v>20</v>
      </c>
      <c r="D446" s="187">
        <v>2538</v>
      </c>
      <c r="E446" s="103"/>
      <c r="F446" s="460">
        <v>24</v>
      </c>
      <c r="G446" s="175"/>
      <c r="H446" s="175">
        <f t="shared" si="94"/>
        <v>60912</v>
      </c>
      <c r="I446" s="175">
        <f t="shared" si="95"/>
        <v>60912</v>
      </c>
    </row>
    <row r="447" spans="1:9" customFormat="1">
      <c r="A447" s="99" t="s">
        <v>2287</v>
      </c>
      <c r="B447" s="100" t="s">
        <v>517</v>
      </c>
      <c r="C447" s="101" t="s">
        <v>20</v>
      </c>
      <c r="D447" s="187">
        <v>9153</v>
      </c>
      <c r="E447" s="103"/>
      <c r="F447" s="460">
        <v>46.5</v>
      </c>
      <c r="G447" s="175"/>
      <c r="H447" s="175">
        <f t="shared" si="94"/>
        <v>425614.5</v>
      </c>
      <c r="I447" s="175">
        <f t="shared" si="95"/>
        <v>425614.5</v>
      </c>
    </row>
    <row r="448" spans="1:9" customFormat="1">
      <c r="A448" s="99" t="s">
        <v>2288</v>
      </c>
      <c r="B448" s="100" t="s">
        <v>518</v>
      </c>
      <c r="C448" s="101" t="s">
        <v>20</v>
      </c>
      <c r="D448" s="187">
        <v>6329</v>
      </c>
      <c r="E448" s="103"/>
      <c r="F448" s="460">
        <v>50.13</v>
      </c>
      <c r="G448" s="175"/>
      <c r="H448" s="175">
        <f t="shared" si="94"/>
        <v>317272.77</v>
      </c>
      <c r="I448" s="175">
        <f t="shared" si="95"/>
        <v>317272.77</v>
      </c>
    </row>
    <row r="449" spans="1:9" customFormat="1">
      <c r="A449" s="99" t="s">
        <v>2289</v>
      </c>
      <c r="B449" s="100" t="s">
        <v>519</v>
      </c>
      <c r="C449" s="101" t="s">
        <v>20</v>
      </c>
      <c r="D449" s="187">
        <v>2170</v>
      </c>
      <c r="E449" s="103"/>
      <c r="F449" s="460">
        <v>46.5</v>
      </c>
      <c r="G449" s="175"/>
      <c r="H449" s="175">
        <f t="shared" si="94"/>
        <v>100905</v>
      </c>
      <c r="I449" s="175">
        <f t="shared" si="95"/>
        <v>100905</v>
      </c>
    </row>
    <row r="450" spans="1:9" customFormat="1">
      <c r="A450" s="99" t="s">
        <v>2290</v>
      </c>
      <c r="B450" s="100" t="s">
        <v>520</v>
      </c>
      <c r="C450" s="101" t="s">
        <v>20</v>
      </c>
      <c r="D450" s="187">
        <v>4475</v>
      </c>
      <c r="E450" s="103"/>
      <c r="F450" s="460">
        <v>10.58</v>
      </c>
      <c r="G450" s="175"/>
      <c r="H450" s="175">
        <f t="shared" si="94"/>
        <v>47345.5</v>
      </c>
      <c r="I450" s="175">
        <f t="shared" si="95"/>
        <v>47345.5</v>
      </c>
    </row>
    <row r="451" spans="1:9" customFormat="1">
      <c r="A451" s="99" t="s">
        <v>2291</v>
      </c>
      <c r="B451" s="100" t="s">
        <v>521</v>
      </c>
      <c r="C451" s="101" t="s">
        <v>20</v>
      </c>
      <c r="D451" s="187">
        <v>14000</v>
      </c>
      <c r="E451" s="103"/>
      <c r="F451" s="460">
        <v>7.76</v>
      </c>
      <c r="G451" s="175"/>
      <c r="H451" s="175">
        <f t="shared" si="94"/>
        <v>108640</v>
      </c>
      <c r="I451" s="175">
        <f t="shared" si="95"/>
        <v>108640</v>
      </c>
    </row>
    <row r="452" spans="1:9" customFormat="1">
      <c r="A452" s="99" t="s">
        <v>2292</v>
      </c>
      <c r="B452" s="100" t="s">
        <v>522</v>
      </c>
      <c r="C452" s="101" t="s">
        <v>20</v>
      </c>
      <c r="D452" s="187">
        <v>14000</v>
      </c>
      <c r="E452" s="103"/>
      <c r="F452" s="460">
        <v>5.66</v>
      </c>
      <c r="G452" s="175"/>
      <c r="H452" s="175">
        <f t="shared" si="94"/>
        <v>79240</v>
      </c>
      <c r="I452" s="175">
        <f t="shared" si="95"/>
        <v>79240</v>
      </c>
    </row>
    <row r="453" spans="1:9" customFormat="1">
      <c r="A453" s="99" t="s">
        <v>2293</v>
      </c>
      <c r="B453" s="100" t="s">
        <v>523</v>
      </c>
      <c r="C453" s="101" t="s">
        <v>20</v>
      </c>
      <c r="D453" s="187">
        <v>111000</v>
      </c>
      <c r="E453" s="103"/>
      <c r="F453" s="460">
        <v>0.65</v>
      </c>
      <c r="G453" s="175"/>
      <c r="H453" s="175">
        <f t="shared" si="94"/>
        <v>72150</v>
      </c>
      <c r="I453" s="175">
        <f t="shared" si="95"/>
        <v>72150</v>
      </c>
    </row>
    <row r="454" spans="1:9" customFormat="1">
      <c r="A454" s="99" t="s">
        <v>2294</v>
      </c>
      <c r="B454" s="100" t="s">
        <v>524</v>
      </c>
      <c r="C454" s="101" t="s">
        <v>20</v>
      </c>
      <c r="D454" s="187">
        <v>1344</v>
      </c>
      <c r="E454" s="103"/>
      <c r="F454" s="460">
        <v>31</v>
      </c>
      <c r="G454" s="175"/>
      <c r="H454" s="175">
        <f t="shared" si="94"/>
        <v>41664</v>
      </c>
      <c r="I454" s="175">
        <f t="shared" si="95"/>
        <v>41664</v>
      </c>
    </row>
    <row r="455" spans="1:9" customFormat="1">
      <c r="A455" s="99" t="s">
        <v>2295</v>
      </c>
      <c r="B455" s="100" t="s">
        <v>537</v>
      </c>
      <c r="C455" s="101" t="s">
        <v>20</v>
      </c>
      <c r="D455" s="187">
        <v>1588</v>
      </c>
      <c r="E455" s="103"/>
      <c r="F455" s="460">
        <v>950</v>
      </c>
      <c r="G455" s="175"/>
      <c r="H455" s="175">
        <f t="shared" si="94"/>
        <v>1508600</v>
      </c>
      <c r="I455" s="175">
        <f t="shared" si="95"/>
        <v>1508600</v>
      </c>
    </row>
    <row r="456" spans="1:9" customFormat="1">
      <c r="A456" s="99" t="s">
        <v>2296</v>
      </c>
      <c r="B456" s="100" t="s">
        <v>525</v>
      </c>
      <c r="C456" s="101" t="s">
        <v>20</v>
      </c>
      <c r="D456" s="187">
        <v>620</v>
      </c>
      <c r="E456" s="103"/>
      <c r="F456" s="460">
        <v>1300</v>
      </c>
      <c r="G456" s="175"/>
      <c r="H456" s="175">
        <f t="shared" si="94"/>
        <v>806000</v>
      </c>
      <c r="I456" s="175">
        <f t="shared" si="95"/>
        <v>806000</v>
      </c>
    </row>
    <row r="457" spans="1:9" customFormat="1">
      <c r="A457" s="99" t="s">
        <v>2297</v>
      </c>
      <c r="B457" s="100" t="s">
        <v>526</v>
      </c>
      <c r="C457" s="101" t="s">
        <v>20</v>
      </c>
      <c r="D457" s="187">
        <v>4475</v>
      </c>
      <c r="E457" s="103"/>
      <c r="F457" s="460">
        <v>5</v>
      </c>
      <c r="G457" s="175"/>
      <c r="H457" s="175">
        <f t="shared" si="94"/>
        <v>22375</v>
      </c>
      <c r="I457" s="175">
        <f t="shared" si="95"/>
        <v>22375</v>
      </c>
    </row>
    <row r="458" spans="1:9" customFormat="1">
      <c r="A458" s="99" t="s">
        <v>2298</v>
      </c>
      <c r="B458" s="100" t="s">
        <v>527</v>
      </c>
      <c r="C458" s="101" t="s">
        <v>20</v>
      </c>
      <c r="D458" s="187">
        <v>1344</v>
      </c>
      <c r="E458" s="103"/>
      <c r="F458" s="460">
        <v>800</v>
      </c>
      <c r="G458" s="175"/>
      <c r="H458" s="175">
        <f t="shared" si="94"/>
        <v>1075200</v>
      </c>
      <c r="I458" s="175">
        <f t="shared" si="95"/>
        <v>1075200</v>
      </c>
    </row>
    <row r="459" spans="1:9" customFormat="1">
      <c r="A459" s="99" t="s">
        <v>2299</v>
      </c>
      <c r="B459" s="100" t="s">
        <v>538</v>
      </c>
      <c r="C459" s="101" t="s">
        <v>20</v>
      </c>
      <c r="D459" s="187">
        <v>350</v>
      </c>
      <c r="E459" s="103"/>
      <c r="F459" s="460">
        <v>71.45</v>
      </c>
      <c r="G459" s="175"/>
      <c r="H459" s="175">
        <f t="shared" si="94"/>
        <v>25007.5</v>
      </c>
      <c r="I459" s="175">
        <f t="shared" si="95"/>
        <v>25007.5</v>
      </c>
    </row>
    <row r="460" spans="1:9" customFormat="1">
      <c r="A460" s="27"/>
      <c r="B460" s="427" t="s">
        <v>2085</v>
      </c>
      <c r="C460" s="533" t="s">
        <v>2277</v>
      </c>
      <c r="D460" s="534"/>
      <c r="E460" s="534"/>
      <c r="F460" s="535"/>
      <c r="G460" s="32">
        <f>SUM(G392:G459)</f>
        <v>1957568.2560000001</v>
      </c>
      <c r="H460" s="32">
        <f>SUM(H392:H459)</f>
        <v>7967849.785360001</v>
      </c>
      <c r="I460" s="32">
        <f>SUM(I392:I459)</f>
        <v>9925418.0413600001</v>
      </c>
    </row>
    <row r="461" spans="1:9" customFormat="1">
      <c r="A461" s="27"/>
      <c r="B461" s="427" t="s">
        <v>2088</v>
      </c>
      <c r="C461" s="530"/>
      <c r="D461" s="531"/>
      <c r="E461" s="531"/>
      <c r="F461" s="532"/>
      <c r="G461" s="32">
        <f>PRODUCT(G460,1/1.2,0.2)</f>
        <v>326261.37600000005</v>
      </c>
      <c r="H461" s="32">
        <f>PRODUCT(H460,1/1.2,0.2)</f>
        <v>1327974.9642266668</v>
      </c>
      <c r="I461" s="32">
        <f>PRODUCT(I460,1/1.2,0.2)</f>
        <v>1654236.340226667</v>
      </c>
    </row>
    <row r="462" spans="1:9" customFormat="1">
      <c r="A462" s="157"/>
      <c r="B462" s="158" t="s">
        <v>2302</v>
      </c>
      <c r="C462" s="159"/>
      <c r="D462" s="160"/>
      <c r="E462" s="188"/>
      <c r="F462" s="31"/>
      <c r="G462" s="189"/>
      <c r="H462" s="189"/>
      <c r="I462" s="189"/>
    </row>
    <row r="463" spans="1:9" customFormat="1">
      <c r="A463" s="119" t="s">
        <v>601</v>
      </c>
      <c r="B463" s="129" t="s">
        <v>2301</v>
      </c>
      <c r="C463" s="147" t="s">
        <v>602</v>
      </c>
      <c r="D463" s="190">
        <f>SUM(D464:D465)</f>
        <v>276</v>
      </c>
      <c r="E463" s="461">
        <v>500</v>
      </c>
      <c r="F463" s="461"/>
      <c r="G463" s="191">
        <f>PRODUCT(D463,E463)</f>
        <v>138000</v>
      </c>
      <c r="H463" s="191"/>
      <c r="I463" s="191">
        <f t="shared" ref="I463:I485" si="96">SUM(G463:H463)</f>
        <v>138000</v>
      </c>
    </row>
    <row r="464" spans="1:9" customFormat="1">
      <c r="A464" s="119" t="s">
        <v>2303</v>
      </c>
      <c r="B464" s="129" t="s">
        <v>618</v>
      </c>
      <c r="C464" s="147" t="s">
        <v>602</v>
      </c>
      <c r="D464" s="190">
        <v>186</v>
      </c>
      <c r="E464" s="461"/>
      <c r="F464" s="461">
        <v>2738</v>
      </c>
      <c r="G464" s="191"/>
      <c r="H464" s="191">
        <f>PRODUCT(D464,F464)</f>
        <v>509268</v>
      </c>
      <c r="I464" s="191">
        <f t="shared" si="96"/>
        <v>509268</v>
      </c>
    </row>
    <row r="465" spans="1:9" customFormat="1">
      <c r="A465" s="119" t="s">
        <v>2304</v>
      </c>
      <c r="B465" s="129" t="s">
        <v>619</v>
      </c>
      <c r="C465" s="147" t="s">
        <v>602</v>
      </c>
      <c r="D465" s="190">
        <v>90</v>
      </c>
      <c r="E465" s="461"/>
      <c r="F465" s="461">
        <v>2738</v>
      </c>
      <c r="G465" s="191"/>
      <c r="H465" s="191">
        <f>PRODUCT(D465,F465)</f>
        <v>246420</v>
      </c>
      <c r="I465" s="191">
        <f t="shared" si="96"/>
        <v>246420</v>
      </c>
    </row>
    <row r="466" spans="1:9" customFormat="1">
      <c r="A466" s="119" t="s">
        <v>603</v>
      </c>
      <c r="B466" s="129" t="s">
        <v>2300</v>
      </c>
      <c r="C466" s="147" t="s">
        <v>602</v>
      </c>
      <c r="D466" s="190">
        <f>SUM(D467:D468)</f>
        <v>46</v>
      </c>
      <c r="E466" s="461">
        <v>750</v>
      </c>
      <c r="F466" s="461"/>
      <c r="G466" s="191">
        <f>PRODUCT(D466,E466)</f>
        <v>34500</v>
      </c>
      <c r="H466" s="191"/>
      <c r="I466" s="191">
        <f t="shared" si="96"/>
        <v>34500</v>
      </c>
    </row>
    <row r="467" spans="1:9" customFormat="1">
      <c r="A467" s="119" t="s">
        <v>2305</v>
      </c>
      <c r="B467" s="129" t="s">
        <v>2307</v>
      </c>
      <c r="C467" s="147" t="s">
        <v>602</v>
      </c>
      <c r="D467" s="190">
        <v>23</v>
      </c>
      <c r="E467" s="461"/>
      <c r="F467" s="461">
        <v>9837</v>
      </c>
      <c r="G467" s="191"/>
      <c r="H467" s="191">
        <f>PRODUCT(D467,F467)</f>
        <v>226251</v>
      </c>
      <c r="I467" s="191">
        <f t="shared" si="96"/>
        <v>226251</v>
      </c>
    </row>
    <row r="468" spans="1:9" customFormat="1">
      <c r="A468" s="119" t="s">
        <v>2306</v>
      </c>
      <c r="B468" s="129" t="s">
        <v>2307</v>
      </c>
      <c r="C468" s="147" t="s">
        <v>602</v>
      </c>
      <c r="D468" s="190">
        <v>23</v>
      </c>
      <c r="E468" s="461"/>
      <c r="F468" s="461">
        <v>9880</v>
      </c>
      <c r="G468" s="191"/>
      <c r="H468" s="191">
        <f>PRODUCT(D468,F468)</f>
        <v>227240</v>
      </c>
      <c r="I468" s="191">
        <f t="shared" si="96"/>
        <v>227240</v>
      </c>
    </row>
    <row r="469" spans="1:9" customFormat="1">
      <c r="A469" s="119" t="s">
        <v>604</v>
      </c>
      <c r="B469" s="129" t="s">
        <v>2308</v>
      </c>
      <c r="C469" s="147" t="s">
        <v>602</v>
      </c>
      <c r="D469" s="190">
        <f>SUM(D470:D475)</f>
        <v>14</v>
      </c>
      <c r="E469" s="461">
        <v>2000</v>
      </c>
      <c r="F469" s="461"/>
      <c r="G469" s="191">
        <f>PRODUCT(D469,E469)</f>
        <v>28000</v>
      </c>
      <c r="H469" s="191"/>
      <c r="I469" s="191">
        <f t="shared" si="96"/>
        <v>28000</v>
      </c>
    </row>
    <row r="470" spans="1:9" customFormat="1">
      <c r="A470" s="119" t="s">
        <v>2310</v>
      </c>
      <c r="B470" s="129" t="s">
        <v>613</v>
      </c>
      <c r="C470" s="147" t="s">
        <v>602</v>
      </c>
      <c r="D470" s="190">
        <v>1</v>
      </c>
      <c r="E470" s="461"/>
      <c r="F470" s="461">
        <v>9350</v>
      </c>
      <c r="G470" s="191"/>
      <c r="H470" s="191">
        <f t="shared" ref="H470:H475" si="97">PRODUCT(D470,F470)</f>
        <v>9350</v>
      </c>
      <c r="I470" s="191">
        <f t="shared" si="96"/>
        <v>9350</v>
      </c>
    </row>
    <row r="471" spans="1:9" customFormat="1">
      <c r="A471" s="119" t="s">
        <v>2311</v>
      </c>
      <c r="B471" s="129" t="s">
        <v>614</v>
      </c>
      <c r="C471" s="147" t="s">
        <v>602</v>
      </c>
      <c r="D471" s="190">
        <v>4</v>
      </c>
      <c r="E471" s="461"/>
      <c r="F471" s="461">
        <v>8850</v>
      </c>
      <c r="G471" s="191"/>
      <c r="H471" s="191">
        <f t="shared" si="97"/>
        <v>35400</v>
      </c>
      <c r="I471" s="191">
        <f t="shared" si="96"/>
        <v>35400</v>
      </c>
    </row>
    <row r="472" spans="1:9" customFormat="1">
      <c r="A472" s="119" t="s">
        <v>2312</v>
      </c>
      <c r="B472" s="129" t="s">
        <v>620</v>
      </c>
      <c r="C472" s="147" t="s">
        <v>602</v>
      </c>
      <c r="D472" s="190">
        <v>1</v>
      </c>
      <c r="E472" s="461"/>
      <c r="F472" s="461">
        <v>8850</v>
      </c>
      <c r="G472" s="191"/>
      <c r="H472" s="191">
        <f t="shared" si="97"/>
        <v>8850</v>
      </c>
      <c r="I472" s="191">
        <f t="shared" si="96"/>
        <v>8850</v>
      </c>
    </row>
    <row r="473" spans="1:9" customFormat="1">
      <c r="A473" s="119" t="s">
        <v>2313</v>
      </c>
      <c r="B473" s="192" t="s">
        <v>622</v>
      </c>
      <c r="C473" s="147" t="s">
        <v>602</v>
      </c>
      <c r="D473" s="190">
        <v>2</v>
      </c>
      <c r="E473" s="461"/>
      <c r="F473" s="461">
        <v>50570</v>
      </c>
      <c r="G473" s="191"/>
      <c r="H473" s="191">
        <f t="shared" si="97"/>
        <v>101140</v>
      </c>
      <c r="I473" s="191">
        <f t="shared" si="96"/>
        <v>101140</v>
      </c>
    </row>
    <row r="474" spans="1:9" customFormat="1">
      <c r="A474" s="119" t="s">
        <v>2314</v>
      </c>
      <c r="B474" s="192" t="s">
        <v>623</v>
      </c>
      <c r="C474" s="147" t="s">
        <v>602</v>
      </c>
      <c r="D474" s="190">
        <v>5</v>
      </c>
      <c r="E474" s="461"/>
      <c r="F474" s="461">
        <v>50570</v>
      </c>
      <c r="G474" s="191"/>
      <c r="H474" s="191">
        <f t="shared" si="97"/>
        <v>252850</v>
      </c>
      <c r="I474" s="191">
        <f t="shared" si="96"/>
        <v>252850</v>
      </c>
    </row>
    <row r="475" spans="1:9" customFormat="1">
      <c r="A475" s="119" t="s">
        <v>2315</v>
      </c>
      <c r="B475" s="129" t="s">
        <v>625</v>
      </c>
      <c r="C475" s="147" t="s">
        <v>602</v>
      </c>
      <c r="D475" s="190">
        <v>1</v>
      </c>
      <c r="E475" s="461"/>
      <c r="F475" s="461">
        <v>8850</v>
      </c>
      <c r="G475" s="191"/>
      <c r="H475" s="191">
        <f t="shared" si="97"/>
        <v>8850</v>
      </c>
      <c r="I475" s="191">
        <f t="shared" si="96"/>
        <v>8850</v>
      </c>
    </row>
    <row r="476" spans="1:9" customFormat="1">
      <c r="A476" s="119" t="s">
        <v>605</v>
      </c>
      <c r="B476" s="129" t="s">
        <v>2309</v>
      </c>
      <c r="C476" s="147" t="s">
        <v>602</v>
      </c>
      <c r="D476" s="190">
        <f>SUM(D477:D484)</f>
        <v>98</v>
      </c>
      <c r="E476" s="461">
        <v>2300</v>
      </c>
      <c r="F476" s="461"/>
      <c r="G476" s="191">
        <f>PRODUCT(D476,E476)</f>
        <v>225400</v>
      </c>
      <c r="H476" s="191"/>
      <c r="I476" s="191">
        <f t="shared" si="96"/>
        <v>225400</v>
      </c>
    </row>
    <row r="477" spans="1:9" customFormat="1">
      <c r="A477" s="119" t="s">
        <v>2316</v>
      </c>
      <c r="B477" s="129" t="s">
        <v>607</v>
      </c>
      <c r="C477" s="147" t="s">
        <v>602</v>
      </c>
      <c r="D477" s="190">
        <v>1</v>
      </c>
      <c r="E477" s="461"/>
      <c r="F477" s="461">
        <v>13600</v>
      </c>
      <c r="G477" s="191"/>
      <c r="H477" s="191">
        <f t="shared" ref="H477:H484" si="98">PRODUCT(D477,F477)</f>
        <v>13600</v>
      </c>
      <c r="I477" s="191">
        <f t="shared" si="96"/>
        <v>13600</v>
      </c>
    </row>
    <row r="478" spans="1:9" customFormat="1">
      <c r="A478" s="119" t="s">
        <v>2317</v>
      </c>
      <c r="B478" s="129" t="s">
        <v>612</v>
      </c>
      <c r="C478" s="147" t="s">
        <v>602</v>
      </c>
      <c r="D478" s="190">
        <v>2</v>
      </c>
      <c r="E478" s="461"/>
      <c r="F478" s="461">
        <v>10120</v>
      </c>
      <c r="G478" s="191"/>
      <c r="H478" s="191">
        <f t="shared" si="98"/>
        <v>20240</v>
      </c>
      <c r="I478" s="191">
        <f t="shared" si="96"/>
        <v>20240</v>
      </c>
    </row>
    <row r="479" spans="1:9" customFormat="1">
      <c r="A479" s="119" t="s">
        <v>2318</v>
      </c>
      <c r="B479" s="129" t="s">
        <v>610</v>
      </c>
      <c r="C479" s="147" t="s">
        <v>602</v>
      </c>
      <c r="D479" s="190">
        <v>1</v>
      </c>
      <c r="E479" s="461"/>
      <c r="F479" s="461">
        <v>10700</v>
      </c>
      <c r="G479" s="191"/>
      <c r="H479" s="191">
        <f t="shared" si="98"/>
        <v>10700</v>
      </c>
      <c r="I479" s="191">
        <f t="shared" si="96"/>
        <v>10700</v>
      </c>
    </row>
    <row r="480" spans="1:9" customFormat="1">
      <c r="A480" s="119" t="s">
        <v>2319</v>
      </c>
      <c r="B480" s="129" t="s">
        <v>624</v>
      </c>
      <c r="C480" s="147" t="s">
        <v>602</v>
      </c>
      <c r="D480" s="190">
        <v>1</v>
      </c>
      <c r="E480" s="461"/>
      <c r="F480" s="461">
        <v>14384</v>
      </c>
      <c r="G480" s="191"/>
      <c r="H480" s="191">
        <f t="shared" si="98"/>
        <v>14384</v>
      </c>
      <c r="I480" s="191">
        <f t="shared" si="96"/>
        <v>14384</v>
      </c>
    </row>
    <row r="481" spans="1:9" customFormat="1">
      <c r="A481" s="119" t="s">
        <v>2320</v>
      </c>
      <c r="B481" s="129" t="s">
        <v>615</v>
      </c>
      <c r="C481" s="147" t="s">
        <v>602</v>
      </c>
      <c r="D481" s="190">
        <v>46</v>
      </c>
      <c r="E481" s="461"/>
      <c r="F481" s="461">
        <v>15550</v>
      </c>
      <c r="G481" s="191"/>
      <c r="H481" s="191">
        <f t="shared" si="98"/>
        <v>715300</v>
      </c>
      <c r="I481" s="191">
        <f t="shared" si="96"/>
        <v>715300</v>
      </c>
    </row>
    <row r="482" spans="1:9" customFormat="1">
      <c r="A482" s="119" t="s">
        <v>2321</v>
      </c>
      <c r="B482" s="129" t="s">
        <v>617</v>
      </c>
      <c r="C482" s="147" t="s">
        <v>602</v>
      </c>
      <c r="D482" s="190">
        <v>23</v>
      </c>
      <c r="E482" s="461"/>
      <c r="F482" s="461">
        <v>8850</v>
      </c>
      <c r="G482" s="191"/>
      <c r="H482" s="191">
        <f t="shared" si="98"/>
        <v>203550</v>
      </c>
      <c r="I482" s="191">
        <f t="shared" si="96"/>
        <v>203550</v>
      </c>
    </row>
    <row r="483" spans="1:9" customFormat="1">
      <c r="A483" s="119" t="s">
        <v>2322</v>
      </c>
      <c r="B483" s="129" t="s">
        <v>616</v>
      </c>
      <c r="C483" s="147" t="s">
        <v>602</v>
      </c>
      <c r="D483" s="190">
        <v>23</v>
      </c>
      <c r="E483" s="461"/>
      <c r="F483" s="461">
        <v>9895</v>
      </c>
      <c r="G483" s="191"/>
      <c r="H483" s="191">
        <f t="shared" si="98"/>
        <v>227585</v>
      </c>
      <c r="I483" s="191">
        <f t="shared" si="96"/>
        <v>227585</v>
      </c>
    </row>
    <row r="484" spans="1:9" customFormat="1">
      <c r="A484" s="119" t="s">
        <v>2323</v>
      </c>
      <c r="B484" s="129" t="s">
        <v>611</v>
      </c>
      <c r="C484" s="147" t="s">
        <v>602</v>
      </c>
      <c r="D484" s="190">
        <v>1</v>
      </c>
      <c r="E484" s="461"/>
      <c r="F484" s="461">
        <v>13250</v>
      </c>
      <c r="G484" s="191"/>
      <c r="H484" s="191">
        <f t="shared" si="98"/>
        <v>13250</v>
      </c>
      <c r="I484" s="191">
        <f t="shared" si="96"/>
        <v>13250</v>
      </c>
    </row>
    <row r="485" spans="1:9" customFormat="1">
      <c r="A485" s="119" t="s">
        <v>606</v>
      </c>
      <c r="B485" s="129" t="s">
        <v>2325</v>
      </c>
      <c r="C485" s="147" t="s">
        <v>602</v>
      </c>
      <c r="D485" s="190">
        <v>1</v>
      </c>
      <c r="E485" s="461">
        <v>3766.5</v>
      </c>
      <c r="F485" s="461"/>
      <c r="G485" s="191">
        <f>PRODUCT(D485,E485)</f>
        <v>3766.5</v>
      </c>
      <c r="H485" s="191"/>
      <c r="I485" s="191">
        <f t="shared" si="96"/>
        <v>3766.5</v>
      </c>
    </row>
    <row r="486" spans="1:9" customFormat="1">
      <c r="A486" s="119" t="s">
        <v>2326</v>
      </c>
      <c r="B486" s="129" t="s">
        <v>609</v>
      </c>
      <c r="C486" s="147" t="s">
        <v>602</v>
      </c>
      <c r="D486" s="190">
        <v>1</v>
      </c>
      <c r="E486" s="461"/>
      <c r="F486" s="461">
        <v>29220</v>
      </c>
      <c r="G486" s="191"/>
      <c r="H486" s="191">
        <f t="shared" ref="H486:H488" si="99">PRODUCT(D486,F486)</f>
        <v>29220</v>
      </c>
      <c r="I486" s="191">
        <f t="shared" ref="I486:I488" si="100">SUM(G486:H486)</f>
        <v>29220</v>
      </c>
    </row>
    <row r="487" spans="1:9" customFormat="1">
      <c r="A487" s="119" t="s">
        <v>608</v>
      </c>
      <c r="B487" s="129" t="s">
        <v>2324</v>
      </c>
      <c r="C487" s="147" t="s">
        <v>602</v>
      </c>
      <c r="D487" s="190">
        <v>1</v>
      </c>
      <c r="E487" s="461">
        <v>1500</v>
      </c>
      <c r="F487" s="461"/>
      <c r="G487" s="191">
        <f>PRODUCT(D487,E487)</f>
        <v>1500</v>
      </c>
      <c r="H487" s="191"/>
      <c r="I487" s="191">
        <f>SUM(G487:H487)</f>
        <v>1500</v>
      </c>
    </row>
    <row r="488" spans="1:9" customFormat="1">
      <c r="A488" s="119" t="s">
        <v>2327</v>
      </c>
      <c r="B488" s="129" t="s">
        <v>621</v>
      </c>
      <c r="C488" s="147" t="s">
        <v>602</v>
      </c>
      <c r="D488" s="190">
        <v>1</v>
      </c>
      <c r="E488" s="461"/>
      <c r="F488" s="461">
        <v>7950</v>
      </c>
      <c r="G488" s="191"/>
      <c r="H488" s="191">
        <f t="shared" si="99"/>
        <v>7950</v>
      </c>
      <c r="I488" s="191">
        <f t="shared" si="100"/>
        <v>7950</v>
      </c>
    </row>
    <row r="489" spans="1:9" customFormat="1">
      <c r="A489" s="27"/>
      <c r="B489" s="427" t="s">
        <v>2085</v>
      </c>
      <c r="C489" s="533" t="s">
        <v>2328</v>
      </c>
      <c r="D489" s="534"/>
      <c r="E489" s="534"/>
      <c r="F489" s="535"/>
      <c r="G489" s="32">
        <f>SUM(G463:G488)</f>
        <v>431166.5</v>
      </c>
      <c r="H489" s="32">
        <f t="shared" ref="H489:I489" si="101">SUM(H463:H488)</f>
        <v>2881398</v>
      </c>
      <c r="I489" s="32">
        <f t="shared" si="101"/>
        <v>3312564.5</v>
      </c>
    </row>
    <row r="490" spans="1:9" customFormat="1">
      <c r="A490" s="27"/>
      <c r="B490" s="427" t="s">
        <v>2088</v>
      </c>
      <c r="C490" s="530"/>
      <c r="D490" s="531"/>
      <c r="E490" s="531"/>
      <c r="F490" s="532"/>
      <c r="G490" s="32">
        <f>PRODUCT(G489,1/1.2,0.2)</f>
        <v>71861.083333333343</v>
      </c>
      <c r="H490" s="32">
        <f>PRODUCT(H489,1/1.2,0.2)</f>
        <v>480233</v>
      </c>
      <c r="I490" s="32">
        <f>PRODUCT(I489,1/1.2,0.2)</f>
        <v>552094.08333333337</v>
      </c>
    </row>
    <row r="491" spans="1:9" customFormat="1">
      <c r="A491" s="157"/>
      <c r="B491" s="158" t="s">
        <v>2329</v>
      </c>
      <c r="C491" s="159"/>
      <c r="D491" s="160"/>
      <c r="E491" s="188"/>
      <c r="F491" s="31"/>
      <c r="G491" s="189"/>
      <c r="H491" s="189"/>
      <c r="I491" s="189"/>
    </row>
    <row r="492" spans="1:9" s="8" customFormat="1">
      <c r="A492" s="33" t="s">
        <v>626</v>
      </c>
      <c r="B492" s="43" t="s">
        <v>2330</v>
      </c>
      <c r="C492" s="44" t="s">
        <v>111</v>
      </c>
      <c r="D492" s="193">
        <v>556</v>
      </c>
      <c r="E492" s="37">
        <v>600</v>
      </c>
      <c r="F492" s="37"/>
      <c r="G492" s="145">
        <f>PRODUCT(D492:E492)</f>
        <v>333600</v>
      </c>
      <c r="H492" s="145"/>
      <c r="I492" s="145">
        <f t="shared" ref="I492:I564" si="102">G492+H492</f>
        <v>333600</v>
      </c>
    </row>
    <row r="493" spans="1:9" s="7" customFormat="1">
      <c r="A493" s="33" t="s">
        <v>627</v>
      </c>
      <c r="B493" s="43" t="s">
        <v>628</v>
      </c>
      <c r="C493" s="44" t="s">
        <v>111</v>
      </c>
      <c r="D493" s="193">
        <f>D492*1.2</f>
        <v>667.19999999999993</v>
      </c>
      <c r="E493" s="37"/>
      <c r="F493" s="37">
        <v>48</v>
      </c>
      <c r="G493" s="145"/>
      <c r="H493" s="145">
        <f t="shared" ref="H493:H564" si="103">D493*F493</f>
        <v>32025.599999999999</v>
      </c>
      <c r="I493" s="145">
        <f t="shared" si="102"/>
        <v>32025.599999999999</v>
      </c>
    </row>
    <row r="494" spans="1:9" s="7" customFormat="1">
      <c r="A494" s="33" t="s">
        <v>629</v>
      </c>
      <c r="B494" s="43" t="s">
        <v>630</v>
      </c>
      <c r="C494" s="44" t="s">
        <v>9</v>
      </c>
      <c r="D494" s="193">
        <f>D492*0.1*1.04</f>
        <v>57.824000000000005</v>
      </c>
      <c r="E494" s="37"/>
      <c r="F494" s="37">
        <v>4867.88</v>
      </c>
      <c r="G494" s="145"/>
      <c r="H494" s="145">
        <f t="shared" si="103"/>
        <v>281480.29312000005</v>
      </c>
      <c r="I494" s="145">
        <f t="shared" si="102"/>
        <v>281480.29312000005</v>
      </c>
    </row>
    <row r="495" spans="1:9" s="7" customFormat="1">
      <c r="A495" s="33" t="s">
        <v>631</v>
      </c>
      <c r="B495" s="43" t="s">
        <v>632</v>
      </c>
      <c r="C495" s="44" t="s">
        <v>9</v>
      </c>
      <c r="D495" s="193">
        <f>D492*1.04*0.05</f>
        <v>28.912000000000003</v>
      </c>
      <c r="E495" s="37"/>
      <c r="F495" s="37">
        <v>4476.7700000000004</v>
      </c>
      <c r="G495" s="145"/>
      <c r="H495" s="145">
        <f t="shared" si="103"/>
        <v>129432.37424000002</v>
      </c>
      <c r="I495" s="145">
        <f t="shared" si="102"/>
        <v>129432.37424000002</v>
      </c>
    </row>
    <row r="496" spans="1:9" s="7" customFormat="1">
      <c r="A496" s="33" t="s">
        <v>633</v>
      </c>
      <c r="B496" s="43" t="s">
        <v>634</v>
      </c>
      <c r="C496" s="44" t="s">
        <v>9</v>
      </c>
      <c r="D496" s="193">
        <v>8.9039999999999999</v>
      </c>
      <c r="E496" s="84"/>
      <c r="F496" s="37">
        <v>5500</v>
      </c>
      <c r="G496" s="145"/>
      <c r="H496" s="145">
        <f t="shared" si="103"/>
        <v>48972</v>
      </c>
      <c r="I496" s="145">
        <f t="shared" si="102"/>
        <v>48972</v>
      </c>
    </row>
    <row r="497" spans="1:9" s="7" customFormat="1">
      <c r="A497" s="33" t="s">
        <v>635</v>
      </c>
      <c r="B497" s="43" t="s">
        <v>634</v>
      </c>
      <c r="C497" s="44" t="s">
        <v>9</v>
      </c>
      <c r="D497" s="193">
        <v>19.032</v>
      </c>
      <c r="E497" s="84"/>
      <c r="F497" s="37">
        <v>5500</v>
      </c>
      <c r="G497" s="145"/>
      <c r="H497" s="145">
        <f t="shared" si="103"/>
        <v>104676</v>
      </c>
      <c r="I497" s="145">
        <f t="shared" si="102"/>
        <v>104676</v>
      </c>
    </row>
    <row r="498" spans="1:9" s="7" customFormat="1">
      <c r="A498" s="33" t="s">
        <v>636</v>
      </c>
      <c r="B498" s="43" t="s">
        <v>634</v>
      </c>
      <c r="C498" s="44" t="s">
        <v>9</v>
      </c>
      <c r="D498" s="193">
        <v>40.32</v>
      </c>
      <c r="E498" s="84"/>
      <c r="F498" s="37">
        <v>5500</v>
      </c>
      <c r="G498" s="145"/>
      <c r="H498" s="145">
        <f t="shared" si="103"/>
        <v>221760</v>
      </c>
      <c r="I498" s="145">
        <f t="shared" si="102"/>
        <v>221760</v>
      </c>
    </row>
    <row r="499" spans="1:9" s="7" customFormat="1">
      <c r="A499" s="33" t="s">
        <v>637</v>
      </c>
      <c r="B499" s="43" t="s">
        <v>638</v>
      </c>
      <c r="C499" s="44" t="s">
        <v>111</v>
      </c>
      <c r="D499" s="193">
        <f>D492*2*1.1</f>
        <v>1223.2</v>
      </c>
      <c r="E499" s="37"/>
      <c r="F499" s="37">
        <v>283.5</v>
      </c>
      <c r="G499" s="145"/>
      <c r="H499" s="145">
        <f t="shared" si="103"/>
        <v>346777.2</v>
      </c>
      <c r="I499" s="145">
        <f t="shared" si="102"/>
        <v>346777.2</v>
      </c>
    </row>
    <row r="500" spans="1:9" s="7" customFormat="1">
      <c r="A500" s="33" t="s">
        <v>639</v>
      </c>
      <c r="B500" s="43" t="s">
        <v>640</v>
      </c>
      <c r="C500" s="44" t="s">
        <v>159</v>
      </c>
      <c r="D500" s="193">
        <f>D499*2/3.3</f>
        <v>741.33333333333337</v>
      </c>
      <c r="E500" s="37"/>
      <c r="F500" s="37">
        <v>108.35</v>
      </c>
      <c r="G500" s="145"/>
      <c r="H500" s="145">
        <f t="shared" si="103"/>
        <v>80323.46666666666</v>
      </c>
      <c r="I500" s="145">
        <f t="shared" si="102"/>
        <v>80323.46666666666</v>
      </c>
    </row>
    <row r="501" spans="1:9" s="7" customFormat="1">
      <c r="A501" s="33" t="s">
        <v>641</v>
      </c>
      <c r="B501" s="43" t="s">
        <v>642</v>
      </c>
      <c r="C501" s="44" t="s">
        <v>111</v>
      </c>
      <c r="D501" s="193">
        <f>D492*1.2</f>
        <v>667.19999999999993</v>
      </c>
      <c r="E501" s="37"/>
      <c r="F501" s="37">
        <v>209.96</v>
      </c>
      <c r="G501" s="145"/>
      <c r="H501" s="145">
        <f t="shared" si="103"/>
        <v>140085.31200000001</v>
      </c>
      <c r="I501" s="145">
        <f t="shared" si="102"/>
        <v>140085.31200000001</v>
      </c>
    </row>
    <row r="502" spans="1:9" s="7" customFormat="1">
      <c r="A502" s="33" t="s">
        <v>643</v>
      </c>
      <c r="B502" s="43" t="s">
        <v>644</v>
      </c>
      <c r="C502" s="44" t="s">
        <v>111</v>
      </c>
      <c r="D502" s="193">
        <f>D492*1.18</f>
        <v>656.07999999999993</v>
      </c>
      <c r="E502" s="37"/>
      <c r="F502" s="37">
        <v>224.25</v>
      </c>
      <c r="G502" s="145"/>
      <c r="H502" s="145">
        <f t="shared" si="103"/>
        <v>147125.93999999997</v>
      </c>
      <c r="I502" s="145">
        <f t="shared" si="102"/>
        <v>147125.93999999997</v>
      </c>
    </row>
    <row r="503" spans="1:9" s="7" customFormat="1">
      <c r="A503" s="33" t="s">
        <v>645</v>
      </c>
      <c r="B503" s="40" t="s">
        <v>132</v>
      </c>
      <c r="C503" s="41" t="s">
        <v>133</v>
      </c>
      <c r="D503" s="72">
        <f>ROUND(2*D492/100,0)</f>
        <v>11</v>
      </c>
      <c r="E503" s="37"/>
      <c r="F503" s="37">
        <v>1095</v>
      </c>
      <c r="G503" s="145"/>
      <c r="H503" s="145">
        <f t="shared" si="103"/>
        <v>12045</v>
      </c>
      <c r="I503" s="145">
        <f t="shared" si="102"/>
        <v>12045</v>
      </c>
    </row>
    <row r="504" spans="1:9" s="8" customFormat="1">
      <c r="A504" s="33" t="s">
        <v>646</v>
      </c>
      <c r="B504" s="43" t="s">
        <v>647</v>
      </c>
      <c r="C504" s="44" t="s">
        <v>120</v>
      </c>
      <c r="D504" s="193">
        <v>117</v>
      </c>
      <c r="E504" s="37">
        <v>450</v>
      </c>
      <c r="F504" s="37"/>
      <c r="G504" s="145">
        <f t="shared" ref="G504:G559" si="104">D504*E504</f>
        <v>52650</v>
      </c>
      <c r="H504" s="145"/>
      <c r="I504" s="145">
        <f t="shared" si="102"/>
        <v>52650</v>
      </c>
    </row>
    <row r="505" spans="1:9" s="7" customFormat="1" ht="27.6">
      <c r="A505" s="33" t="s">
        <v>648</v>
      </c>
      <c r="B505" s="43" t="s">
        <v>649</v>
      </c>
      <c r="C505" s="44" t="s">
        <v>9</v>
      </c>
      <c r="D505" s="193">
        <f>D504*1*1.04*0.1</f>
        <v>12.168000000000001</v>
      </c>
      <c r="E505" s="74"/>
      <c r="F505" s="74">
        <v>3650</v>
      </c>
      <c r="G505" s="145"/>
      <c r="H505" s="145">
        <f t="shared" si="103"/>
        <v>44413.200000000004</v>
      </c>
      <c r="I505" s="145">
        <f t="shared" si="102"/>
        <v>44413.200000000004</v>
      </c>
    </row>
    <row r="506" spans="1:9" s="7" customFormat="1">
      <c r="A506" s="33" t="s">
        <v>650</v>
      </c>
      <c r="B506" s="43" t="s">
        <v>651</v>
      </c>
      <c r="C506" s="44" t="s">
        <v>111</v>
      </c>
      <c r="D506" s="193">
        <f>D504*1.1*1.8</f>
        <v>231.66000000000003</v>
      </c>
      <c r="E506" s="74"/>
      <c r="F506" s="74">
        <v>248.61</v>
      </c>
      <c r="G506" s="145"/>
      <c r="H506" s="145">
        <f t="shared" si="103"/>
        <v>57592.992600000012</v>
      </c>
      <c r="I506" s="145">
        <f t="shared" si="102"/>
        <v>57592.992600000012</v>
      </c>
    </row>
    <row r="507" spans="1:9" s="7" customFormat="1">
      <c r="A507" s="33" t="s">
        <v>652</v>
      </c>
      <c r="B507" s="43" t="s">
        <v>653</v>
      </c>
      <c r="C507" s="44" t="s">
        <v>159</v>
      </c>
      <c r="D507" s="193">
        <f>D506/3.3</f>
        <v>70.200000000000017</v>
      </c>
      <c r="E507" s="74"/>
      <c r="F507" s="74">
        <v>108.35</v>
      </c>
      <c r="G507" s="145"/>
      <c r="H507" s="145">
        <f t="shared" si="103"/>
        <v>7606.1700000000019</v>
      </c>
      <c r="I507" s="145">
        <f t="shared" si="102"/>
        <v>7606.1700000000019</v>
      </c>
    </row>
    <row r="508" spans="1:9" s="7" customFormat="1">
      <c r="A508" s="33" t="s">
        <v>654</v>
      </c>
      <c r="B508" s="43" t="s">
        <v>655</v>
      </c>
      <c r="C508" s="44" t="s">
        <v>111</v>
      </c>
      <c r="D508" s="193">
        <f>D504*1.1*1.15</f>
        <v>148.005</v>
      </c>
      <c r="E508" s="74"/>
      <c r="F508" s="74">
        <v>470</v>
      </c>
      <c r="G508" s="145"/>
      <c r="H508" s="145">
        <f t="shared" si="103"/>
        <v>69562.349999999991</v>
      </c>
      <c r="I508" s="145">
        <f t="shared" si="102"/>
        <v>69562.349999999991</v>
      </c>
    </row>
    <row r="509" spans="1:9" s="7" customFormat="1">
      <c r="A509" s="33" t="s">
        <v>656</v>
      </c>
      <c r="B509" s="43" t="s">
        <v>657</v>
      </c>
      <c r="C509" s="44" t="s">
        <v>20</v>
      </c>
      <c r="D509" s="194">
        <f>D504/0.6+1</f>
        <v>196</v>
      </c>
      <c r="E509" s="74"/>
      <c r="F509" s="74">
        <v>50</v>
      </c>
      <c r="G509" s="145"/>
      <c r="H509" s="145">
        <f t="shared" si="103"/>
        <v>9800</v>
      </c>
      <c r="I509" s="145">
        <f t="shared" si="102"/>
        <v>9800</v>
      </c>
    </row>
    <row r="510" spans="1:9" s="7" customFormat="1">
      <c r="A510" s="33" t="s">
        <v>658</v>
      </c>
      <c r="B510" s="43" t="s">
        <v>642</v>
      </c>
      <c r="C510" s="44" t="s">
        <v>111</v>
      </c>
      <c r="D510" s="193">
        <f>1.9*D504*1.15</f>
        <v>255.64499999999995</v>
      </c>
      <c r="E510" s="74"/>
      <c r="F510" s="74">
        <v>151.63999999999999</v>
      </c>
      <c r="G510" s="145"/>
      <c r="H510" s="145">
        <f t="shared" si="103"/>
        <v>38766.007799999992</v>
      </c>
      <c r="I510" s="145">
        <f t="shared" si="102"/>
        <v>38766.007799999992</v>
      </c>
    </row>
    <row r="511" spans="1:9" s="7" customFormat="1">
      <c r="A511" s="33" t="s">
        <v>659</v>
      </c>
      <c r="B511" s="43" t="s">
        <v>644</v>
      </c>
      <c r="C511" s="44" t="s">
        <v>111</v>
      </c>
      <c r="D511" s="193">
        <f>1.9*D504*1.15+0.2*D504*1.15</f>
        <v>282.55499999999995</v>
      </c>
      <c r="E511" s="74"/>
      <c r="F511" s="74">
        <v>224.25</v>
      </c>
      <c r="G511" s="145"/>
      <c r="H511" s="145">
        <f t="shared" si="103"/>
        <v>63362.958749999991</v>
      </c>
      <c r="I511" s="145">
        <f t="shared" si="102"/>
        <v>63362.958749999991</v>
      </c>
    </row>
    <row r="512" spans="1:9" s="7" customFormat="1">
      <c r="A512" s="33" t="s">
        <v>660</v>
      </c>
      <c r="B512" s="40" t="s">
        <v>132</v>
      </c>
      <c r="C512" s="41" t="s">
        <v>133</v>
      </c>
      <c r="D512" s="72">
        <v>5</v>
      </c>
      <c r="E512" s="37"/>
      <c r="F512" s="37">
        <v>1095</v>
      </c>
      <c r="G512" s="145"/>
      <c r="H512" s="145">
        <f t="shared" si="103"/>
        <v>5475</v>
      </c>
      <c r="I512" s="145">
        <f t="shared" si="102"/>
        <v>5475</v>
      </c>
    </row>
    <row r="513" spans="1:9" s="8" customFormat="1">
      <c r="A513" s="33" t="s">
        <v>661</v>
      </c>
      <c r="B513" s="43" t="s">
        <v>662</v>
      </c>
      <c r="C513" s="44" t="s">
        <v>111</v>
      </c>
      <c r="D513" s="194">
        <v>18</v>
      </c>
      <c r="E513" s="74">
        <v>1800</v>
      </c>
      <c r="F513" s="74"/>
      <c r="G513" s="145">
        <f t="shared" si="104"/>
        <v>32400</v>
      </c>
      <c r="H513" s="145"/>
      <c r="I513" s="145">
        <f t="shared" si="102"/>
        <v>32400</v>
      </c>
    </row>
    <row r="514" spans="1:9" s="7" customFormat="1">
      <c r="A514" s="33" t="s">
        <v>663</v>
      </c>
      <c r="B514" s="43" t="s">
        <v>628</v>
      </c>
      <c r="C514" s="44" t="s">
        <v>111</v>
      </c>
      <c r="D514" s="193">
        <f>D513*1.15</f>
        <v>20.7</v>
      </c>
      <c r="E514" s="74"/>
      <c r="F514" s="74">
        <v>48</v>
      </c>
      <c r="G514" s="145"/>
      <c r="H514" s="145">
        <f t="shared" si="103"/>
        <v>993.59999999999991</v>
      </c>
      <c r="I514" s="145">
        <f t="shared" si="102"/>
        <v>993.59999999999991</v>
      </c>
    </row>
    <row r="515" spans="1:9" s="7" customFormat="1">
      <c r="A515" s="33" t="s">
        <v>664</v>
      </c>
      <c r="B515" s="43" t="s">
        <v>665</v>
      </c>
      <c r="C515" s="44" t="s">
        <v>9</v>
      </c>
      <c r="D515" s="193">
        <f>D513*0.02</f>
        <v>0.36</v>
      </c>
      <c r="E515" s="74"/>
      <c r="F515" s="74">
        <v>3255</v>
      </c>
      <c r="G515" s="145"/>
      <c r="H515" s="145">
        <f t="shared" si="103"/>
        <v>1171.8</v>
      </c>
      <c r="I515" s="145">
        <f t="shared" si="102"/>
        <v>1171.8</v>
      </c>
    </row>
    <row r="516" spans="1:9" s="7" customFormat="1" ht="27.6">
      <c r="A516" s="33" t="s">
        <v>666</v>
      </c>
      <c r="B516" s="43" t="s">
        <v>667</v>
      </c>
      <c r="C516" s="44" t="s">
        <v>9</v>
      </c>
      <c r="D516" s="193">
        <f>D513*1.6*0.2</f>
        <v>5.7600000000000007</v>
      </c>
      <c r="E516" s="37"/>
      <c r="F516" s="37">
        <v>4990</v>
      </c>
      <c r="G516" s="145"/>
      <c r="H516" s="145">
        <f t="shared" si="103"/>
        <v>28742.400000000005</v>
      </c>
      <c r="I516" s="145">
        <f t="shared" si="102"/>
        <v>28742.400000000005</v>
      </c>
    </row>
    <row r="517" spans="1:9" s="7" customFormat="1">
      <c r="A517" s="33" t="s">
        <v>668</v>
      </c>
      <c r="B517" s="43" t="s">
        <v>638</v>
      </c>
      <c r="C517" s="44" t="s">
        <v>111</v>
      </c>
      <c r="D517" s="193">
        <f>D513*2*1.1</f>
        <v>39.6</v>
      </c>
      <c r="E517" s="37"/>
      <c r="F517" s="37">
        <v>283.5</v>
      </c>
      <c r="G517" s="145"/>
      <c r="H517" s="145">
        <f t="shared" si="103"/>
        <v>11226.6</v>
      </c>
      <c r="I517" s="145">
        <f t="shared" si="102"/>
        <v>11226.6</v>
      </c>
    </row>
    <row r="518" spans="1:9" s="7" customFormat="1">
      <c r="A518" s="33" t="s">
        <v>669</v>
      </c>
      <c r="B518" s="43" t="s">
        <v>640</v>
      </c>
      <c r="C518" s="44" t="s">
        <v>159</v>
      </c>
      <c r="D518" s="193">
        <f>D517*2/3.3</f>
        <v>24.000000000000004</v>
      </c>
      <c r="E518" s="37"/>
      <c r="F518" s="37">
        <v>108.35</v>
      </c>
      <c r="G518" s="145"/>
      <c r="H518" s="145">
        <f t="shared" si="103"/>
        <v>2600.4</v>
      </c>
      <c r="I518" s="145">
        <f t="shared" si="102"/>
        <v>2600.4</v>
      </c>
    </row>
    <row r="519" spans="1:9" s="7" customFormat="1">
      <c r="A519" s="33" t="s">
        <v>670</v>
      </c>
      <c r="B519" s="43" t="s">
        <v>671</v>
      </c>
      <c r="C519" s="44" t="s">
        <v>111</v>
      </c>
      <c r="D519" s="193">
        <f>D513*1.4</f>
        <v>25.2</v>
      </c>
      <c r="E519" s="37"/>
      <c r="F519" s="37">
        <v>151.63999999999999</v>
      </c>
      <c r="G519" s="145"/>
      <c r="H519" s="145">
        <f t="shared" si="103"/>
        <v>3821.3279999999995</v>
      </c>
      <c r="I519" s="145">
        <f t="shared" si="102"/>
        <v>3821.3279999999995</v>
      </c>
    </row>
    <row r="520" spans="1:9" s="7" customFormat="1">
      <c r="A520" s="33" t="s">
        <v>672</v>
      </c>
      <c r="B520" s="43" t="s">
        <v>673</v>
      </c>
      <c r="C520" s="44" t="s">
        <v>111</v>
      </c>
      <c r="D520" s="193">
        <f>D513*1.4</f>
        <v>25.2</v>
      </c>
      <c r="E520" s="37"/>
      <c r="F520" s="37">
        <v>223.12</v>
      </c>
      <c r="G520" s="145"/>
      <c r="H520" s="145">
        <f t="shared" si="103"/>
        <v>5622.6239999999998</v>
      </c>
      <c r="I520" s="145">
        <f t="shared" si="102"/>
        <v>5622.6239999999998</v>
      </c>
    </row>
    <row r="521" spans="1:9" s="7" customFormat="1">
      <c r="A521" s="33" t="s">
        <v>674</v>
      </c>
      <c r="B521" s="43" t="s">
        <v>644</v>
      </c>
      <c r="C521" s="44" t="s">
        <v>111</v>
      </c>
      <c r="D521" s="193">
        <f>D513*1.5</f>
        <v>27</v>
      </c>
      <c r="E521" s="37"/>
      <c r="F521" s="37">
        <v>224.25</v>
      </c>
      <c r="G521" s="145"/>
      <c r="H521" s="145">
        <f t="shared" si="103"/>
        <v>6054.75</v>
      </c>
      <c r="I521" s="145">
        <f t="shared" si="102"/>
        <v>6054.75</v>
      </c>
    </row>
    <row r="522" spans="1:9" s="7" customFormat="1">
      <c r="A522" s="33" t="s">
        <v>675</v>
      </c>
      <c r="B522" s="43" t="s">
        <v>676</v>
      </c>
      <c r="C522" s="44" t="s">
        <v>20</v>
      </c>
      <c r="D522" s="194">
        <f>D521/0.6+1</f>
        <v>46</v>
      </c>
      <c r="E522" s="37"/>
      <c r="F522" s="37">
        <v>125</v>
      </c>
      <c r="G522" s="145"/>
      <c r="H522" s="145">
        <f t="shared" si="103"/>
        <v>5750</v>
      </c>
      <c r="I522" s="145">
        <f t="shared" si="102"/>
        <v>5750</v>
      </c>
    </row>
    <row r="523" spans="1:9" s="7" customFormat="1">
      <c r="A523" s="33" t="s">
        <v>677</v>
      </c>
      <c r="B523" s="43" t="s">
        <v>678</v>
      </c>
      <c r="C523" s="44" t="s">
        <v>20</v>
      </c>
      <c r="D523" s="195">
        <v>140</v>
      </c>
      <c r="E523" s="37"/>
      <c r="F523" s="37">
        <v>13.8</v>
      </c>
      <c r="G523" s="145"/>
      <c r="H523" s="145">
        <f t="shared" si="103"/>
        <v>1932</v>
      </c>
      <c r="I523" s="145">
        <f t="shared" si="102"/>
        <v>1932</v>
      </c>
    </row>
    <row r="524" spans="1:9" s="7" customFormat="1">
      <c r="A524" s="33" t="s">
        <v>679</v>
      </c>
      <c r="B524" s="43" t="s">
        <v>680</v>
      </c>
      <c r="C524" s="44" t="s">
        <v>681</v>
      </c>
      <c r="D524" s="195">
        <v>18</v>
      </c>
      <c r="E524" s="37"/>
      <c r="F524" s="37">
        <v>120</v>
      </c>
      <c r="G524" s="145"/>
      <c r="H524" s="145">
        <f t="shared" si="103"/>
        <v>2160</v>
      </c>
      <c r="I524" s="145">
        <f t="shared" si="102"/>
        <v>2160</v>
      </c>
    </row>
    <row r="525" spans="1:9" s="7" customFormat="1">
      <c r="A525" s="33" t="s">
        <v>682</v>
      </c>
      <c r="B525" s="43" t="s">
        <v>683</v>
      </c>
      <c r="C525" s="44" t="s">
        <v>681</v>
      </c>
      <c r="D525" s="195">
        <f>D524*2</f>
        <v>36</v>
      </c>
      <c r="E525" s="37"/>
      <c r="F525" s="37">
        <v>47</v>
      </c>
      <c r="G525" s="145"/>
      <c r="H525" s="145">
        <f t="shared" si="103"/>
        <v>1692</v>
      </c>
      <c r="I525" s="145">
        <f t="shared" si="102"/>
        <v>1692</v>
      </c>
    </row>
    <row r="526" spans="1:9" s="7" customFormat="1">
      <c r="A526" s="33" t="s">
        <v>684</v>
      </c>
      <c r="B526" s="43" t="s">
        <v>685</v>
      </c>
      <c r="C526" s="44" t="s">
        <v>20</v>
      </c>
      <c r="D526" s="195">
        <v>15</v>
      </c>
      <c r="E526" s="37"/>
      <c r="F526" s="37">
        <v>350</v>
      </c>
      <c r="G526" s="145"/>
      <c r="H526" s="145">
        <f t="shared" si="103"/>
        <v>5250</v>
      </c>
      <c r="I526" s="145">
        <f t="shared" si="102"/>
        <v>5250</v>
      </c>
    </row>
    <row r="527" spans="1:9" s="7" customFormat="1">
      <c r="A527" s="33" t="s">
        <v>686</v>
      </c>
      <c r="B527" s="40" t="s">
        <v>132</v>
      </c>
      <c r="C527" s="41" t="s">
        <v>133</v>
      </c>
      <c r="D527" s="48">
        <v>0.5</v>
      </c>
      <c r="E527" s="37"/>
      <c r="F527" s="37">
        <v>1095</v>
      </c>
      <c r="G527" s="145"/>
      <c r="H527" s="145">
        <f t="shared" si="103"/>
        <v>547.5</v>
      </c>
      <c r="I527" s="145">
        <f t="shared" si="102"/>
        <v>547.5</v>
      </c>
    </row>
    <row r="528" spans="1:9" s="8" customFormat="1">
      <c r="A528" s="33" t="s">
        <v>687</v>
      </c>
      <c r="B528" s="43" t="s">
        <v>688</v>
      </c>
      <c r="C528" s="44" t="s">
        <v>111</v>
      </c>
      <c r="D528" s="193">
        <v>32</v>
      </c>
      <c r="E528" s="37">
        <v>1200</v>
      </c>
      <c r="F528" s="37"/>
      <c r="G528" s="145">
        <f t="shared" si="104"/>
        <v>38400</v>
      </c>
      <c r="H528" s="145"/>
      <c r="I528" s="145">
        <f t="shared" si="102"/>
        <v>38400</v>
      </c>
    </row>
    <row r="529" spans="1:9" s="7" customFormat="1">
      <c r="A529" s="33" t="s">
        <v>689</v>
      </c>
      <c r="B529" s="43" t="s">
        <v>628</v>
      </c>
      <c r="C529" s="44" t="s">
        <v>111</v>
      </c>
      <c r="D529" s="193">
        <f>D528*1.15</f>
        <v>36.799999999999997</v>
      </c>
      <c r="E529" s="37"/>
      <c r="F529" s="37">
        <v>48</v>
      </c>
      <c r="G529" s="145"/>
      <c r="H529" s="145">
        <f t="shared" si="103"/>
        <v>1766.3999999999999</v>
      </c>
      <c r="I529" s="145">
        <f t="shared" si="102"/>
        <v>1766.3999999999999</v>
      </c>
    </row>
    <row r="530" spans="1:9" s="7" customFormat="1">
      <c r="A530" s="33" t="s">
        <v>690</v>
      </c>
      <c r="B530" s="43" t="s">
        <v>691</v>
      </c>
      <c r="C530" s="44" t="s">
        <v>9</v>
      </c>
      <c r="D530" s="193">
        <f>D528*0.02</f>
        <v>0.64</v>
      </c>
      <c r="E530" s="37"/>
      <c r="F530" s="37">
        <v>3255</v>
      </c>
      <c r="G530" s="145"/>
      <c r="H530" s="145">
        <f t="shared" si="103"/>
        <v>2083.1999999999998</v>
      </c>
      <c r="I530" s="145">
        <f t="shared" si="102"/>
        <v>2083.1999999999998</v>
      </c>
    </row>
    <row r="531" spans="1:9" s="7" customFormat="1">
      <c r="A531" s="33" t="s">
        <v>692</v>
      </c>
      <c r="B531" s="43" t="s">
        <v>693</v>
      </c>
      <c r="C531" s="44" t="s">
        <v>111</v>
      </c>
      <c r="D531" s="193">
        <f>D528*1.4</f>
        <v>44.8</v>
      </c>
      <c r="E531" s="37"/>
      <c r="F531" s="37">
        <v>154</v>
      </c>
      <c r="G531" s="145"/>
      <c r="H531" s="145">
        <f t="shared" si="103"/>
        <v>6899.2</v>
      </c>
      <c r="I531" s="145">
        <f t="shared" si="102"/>
        <v>6899.2</v>
      </c>
    </row>
    <row r="532" spans="1:9" s="7" customFormat="1">
      <c r="A532" s="33" t="s">
        <v>694</v>
      </c>
      <c r="B532" s="43" t="s">
        <v>644</v>
      </c>
      <c r="C532" s="44" t="s">
        <v>111</v>
      </c>
      <c r="D532" s="193">
        <f>D528*1.5</f>
        <v>48</v>
      </c>
      <c r="E532" s="74"/>
      <c r="F532" s="74">
        <v>174.6</v>
      </c>
      <c r="G532" s="145"/>
      <c r="H532" s="145">
        <f t="shared" si="103"/>
        <v>8380.7999999999993</v>
      </c>
      <c r="I532" s="145">
        <f t="shared" si="102"/>
        <v>8380.7999999999993</v>
      </c>
    </row>
    <row r="533" spans="1:9" s="7" customFormat="1">
      <c r="A533" s="33" t="s">
        <v>695</v>
      </c>
      <c r="B533" s="43" t="s">
        <v>680</v>
      </c>
      <c r="C533" s="44" t="s">
        <v>681</v>
      </c>
      <c r="D533" s="195">
        <v>32</v>
      </c>
      <c r="E533" s="74"/>
      <c r="F533" s="74">
        <v>94</v>
      </c>
      <c r="G533" s="145"/>
      <c r="H533" s="145">
        <f t="shared" si="103"/>
        <v>3008</v>
      </c>
      <c r="I533" s="145">
        <f t="shared" si="102"/>
        <v>3008</v>
      </c>
    </row>
    <row r="534" spans="1:9" s="7" customFormat="1">
      <c r="A534" s="33" t="s">
        <v>696</v>
      </c>
      <c r="B534" s="43" t="s">
        <v>697</v>
      </c>
      <c r="C534" s="44" t="s">
        <v>20</v>
      </c>
      <c r="D534" s="195">
        <v>20</v>
      </c>
      <c r="E534" s="74"/>
      <c r="F534" s="74">
        <v>350</v>
      </c>
      <c r="G534" s="145"/>
      <c r="H534" s="145">
        <f t="shared" si="103"/>
        <v>7000</v>
      </c>
      <c r="I534" s="145">
        <f t="shared" si="102"/>
        <v>7000</v>
      </c>
    </row>
    <row r="535" spans="1:9" s="7" customFormat="1" ht="27.6">
      <c r="A535" s="33" t="s">
        <v>698</v>
      </c>
      <c r="B535" s="43" t="s">
        <v>699</v>
      </c>
      <c r="C535" s="44" t="s">
        <v>9</v>
      </c>
      <c r="D535" s="193">
        <f>D533*0.6*0.1</f>
        <v>1.92</v>
      </c>
      <c r="E535" s="74"/>
      <c r="F535" s="74">
        <v>4990</v>
      </c>
      <c r="G535" s="145"/>
      <c r="H535" s="145">
        <f t="shared" si="103"/>
        <v>9580.7999999999993</v>
      </c>
      <c r="I535" s="145">
        <f t="shared" si="102"/>
        <v>9580.7999999999993</v>
      </c>
    </row>
    <row r="536" spans="1:9" s="7" customFormat="1">
      <c r="A536" s="33" t="s">
        <v>700</v>
      </c>
      <c r="B536" s="40" t="s">
        <v>132</v>
      </c>
      <c r="C536" s="41" t="s">
        <v>133</v>
      </c>
      <c r="D536" s="48">
        <v>1</v>
      </c>
      <c r="E536" s="74"/>
      <c r="F536" s="74">
        <v>1095</v>
      </c>
      <c r="G536" s="145"/>
      <c r="H536" s="145">
        <f t="shared" si="103"/>
        <v>1095</v>
      </c>
      <c r="I536" s="145">
        <f t="shared" si="102"/>
        <v>1095</v>
      </c>
    </row>
    <row r="537" spans="1:9" s="8" customFormat="1">
      <c r="A537" s="33" t="s">
        <v>701</v>
      </c>
      <c r="B537" s="43" t="s">
        <v>702</v>
      </c>
      <c r="C537" s="44" t="s">
        <v>111</v>
      </c>
      <c r="D537" s="193">
        <f>16.95+49.89</f>
        <v>66.84</v>
      </c>
      <c r="E537" s="74">
        <v>600</v>
      </c>
      <c r="F537" s="74"/>
      <c r="G537" s="145">
        <f t="shared" si="104"/>
        <v>40104</v>
      </c>
      <c r="H537" s="145"/>
      <c r="I537" s="145">
        <f t="shared" si="102"/>
        <v>40104</v>
      </c>
    </row>
    <row r="538" spans="1:9" s="7" customFormat="1">
      <c r="A538" s="33" t="s">
        <v>703</v>
      </c>
      <c r="B538" s="43" t="s">
        <v>704</v>
      </c>
      <c r="C538" s="44" t="s">
        <v>111</v>
      </c>
      <c r="D538" s="193">
        <f>D537*1.2</f>
        <v>80.207999999999998</v>
      </c>
      <c r="E538" s="74"/>
      <c r="F538" s="74">
        <v>240</v>
      </c>
      <c r="G538" s="145"/>
      <c r="H538" s="145">
        <f t="shared" si="103"/>
        <v>19249.919999999998</v>
      </c>
      <c r="I538" s="145">
        <f t="shared" si="102"/>
        <v>19249.919999999998</v>
      </c>
    </row>
    <row r="539" spans="1:9" s="7" customFormat="1">
      <c r="A539" s="33" t="s">
        <v>705</v>
      </c>
      <c r="B539" s="43" t="s">
        <v>628</v>
      </c>
      <c r="C539" s="44" t="s">
        <v>111</v>
      </c>
      <c r="D539" s="193">
        <f>D537*1.15</f>
        <v>76.866</v>
      </c>
      <c r="E539" s="74"/>
      <c r="F539" s="74">
        <v>48</v>
      </c>
      <c r="G539" s="145"/>
      <c r="H539" s="145">
        <f t="shared" si="103"/>
        <v>3689.5680000000002</v>
      </c>
      <c r="I539" s="145">
        <f t="shared" si="102"/>
        <v>3689.5680000000002</v>
      </c>
    </row>
    <row r="540" spans="1:9" s="7" customFormat="1">
      <c r="A540" s="33" t="s">
        <v>706</v>
      </c>
      <c r="B540" s="43" t="s">
        <v>630</v>
      </c>
      <c r="C540" s="44" t="s">
        <v>9</v>
      </c>
      <c r="D540" s="193">
        <f>D537*0.1*1.04</f>
        <v>6.9513600000000011</v>
      </c>
      <c r="E540" s="74"/>
      <c r="F540" s="74">
        <v>4867.88</v>
      </c>
      <c r="G540" s="145"/>
      <c r="H540" s="145">
        <f t="shared" si="103"/>
        <v>33838.386316800003</v>
      </c>
      <c r="I540" s="145">
        <f t="shared" si="102"/>
        <v>33838.386316800003</v>
      </c>
    </row>
    <row r="541" spans="1:9" s="7" customFormat="1">
      <c r="A541" s="33" t="s">
        <v>707</v>
      </c>
      <c r="B541" s="43" t="s">
        <v>632</v>
      </c>
      <c r="C541" s="44" t="s">
        <v>9</v>
      </c>
      <c r="D541" s="193">
        <f>D537*1.04*0.05</f>
        <v>3.4756800000000005</v>
      </c>
      <c r="E541" s="74"/>
      <c r="F541" s="74">
        <v>4476.7700000000004</v>
      </c>
      <c r="G541" s="145"/>
      <c r="H541" s="145">
        <f t="shared" si="103"/>
        <v>15559.819953600005</v>
      </c>
      <c r="I541" s="145">
        <f t="shared" si="102"/>
        <v>15559.819953600005</v>
      </c>
    </row>
    <row r="542" spans="1:9" s="7" customFormat="1" ht="27.6">
      <c r="A542" s="33" t="s">
        <v>708</v>
      </c>
      <c r="B542" s="43" t="s">
        <v>709</v>
      </c>
      <c r="C542" s="44" t="s">
        <v>9</v>
      </c>
      <c r="D542" s="193">
        <f>D537*1.04*0.05</f>
        <v>3.4756800000000005</v>
      </c>
      <c r="E542" s="74"/>
      <c r="F542" s="74">
        <v>6500</v>
      </c>
      <c r="G542" s="145"/>
      <c r="H542" s="145">
        <f t="shared" si="103"/>
        <v>22591.920000000002</v>
      </c>
      <c r="I542" s="145">
        <f t="shared" si="102"/>
        <v>22591.920000000002</v>
      </c>
    </row>
    <row r="543" spans="1:9" s="7" customFormat="1">
      <c r="A543" s="33" t="s">
        <v>710</v>
      </c>
      <c r="B543" s="43" t="s">
        <v>638</v>
      </c>
      <c r="C543" s="44" t="s">
        <v>111</v>
      </c>
      <c r="D543" s="193">
        <f>D537*2*1.1</f>
        <v>147.04800000000003</v>
      </c>
      <c r="E543" s="74"/>
      <c r="F543" s="74">
        <v>263</v>
      </c>
      <c r="G543" s="145"/>
      <c r="H543" s="145">
        <f t="shared" si="103"/>
        <v>38673.624000000011</v>
      </c>
      <c r="I543" s="145">
        <f t="shared" si="102"/>
        <v>38673.624000000011</v>
      </c>
    </row>
    <row r="544" spans="1:9" s="7" customFormat="1">
      <c r="A544" s="33" t="s">
        <v>711</v>
      </c>
      <c r="B544" s="43" t="s">
        <v>642</v>
      </c>
      <c r="C544" s="44" t="s">
        <v>111</v>
      </c>
      <c r="D544" s="193">
        <f>D537*1.2</f>
        <v>80.207999999999998</v>
      </c>
      <c r="E544" s="74"/>
      <c r="F544" s="74">
        <v>154</v>
      </c>
      <c r="G544" s="145"/>
      <c r="H544" s="145">
        <f t="shared" si="103"/>
        <v>12352.031999999999</v>
      </c>
      <c r="I544" s="145">
        <f t="shared" si="102"/>
        <v>12352.031999999999</v>
      </c>
    </row>
    <row r="545" spans="1:9" s="7" customFormat="1">
      <c r="A545" s="33" t="s">
        <v>712</v>
      </c>
      <c r="B545" s="43" t="s">
        <v>644</v>
      </c>
      <c r="C545" s="44" t="s">
        <v>111</v>
      </c>
      <c r="D545" s="193">
        <f>D537*1.18</f>
        <v>78.871200000000002</v>
      </c>
      <c r="E545" s="74"/>
      <c r="F545" s="74">
        <v>223.81</v>
      </c>
      <c r="G545" s="145"/>
      <c r="H545" s="145">
        <f t="shared" si="103"/>
        <v>17652.163272000002</v>
      </c>
      <c r="I545" s="145">
        <f t="shared" si="102"/>
        <v>17652.163272000002</v>
      </c>
    </row>
    <row r="546" spans="1:9" s="7" customFormat="1">
      <c r="A546" s="33" t="s">
        <v>713</v>
      </c>
      <c r="B546" s="40" t="s">
        <v>132</v>
      </c>
      <c r="C546" s="41" t="s">
        <v>133</v>
      </c>
      <c r="D546" s="72">
        <f>ROUND(2*D537/100,0)</f>
        <v>1</v>
      </c>
      <c r="E546" s="74"/>
      <c r="F546" s="74">
        <v>1095</v>
      </c>
      <c r="G546" s="145"/>
      <c r="H546" s="145">
        <f t="shared" si="103"/>
        <v>1095</v>
      </c>
      <c r="I546" s="145">
        <f t="shared" si="102"/>
        <v>1095</v>
      </c>
    </row>
    <row r="547" spans="1:9" s="8" customFormat="1">
      <c r="A547" s="33" t="s">
        <v>714</v>
      </c>
      <c r="B547" s="43" t="s">
        <v>715</v>
      </c>
      <c r="C547" s="44" t="s">
        <v>120</v>
      </c>
      <c r="D547" s="193">
        <v>44.9</v>
      </c>
      <c r="E547" s="74">
        <v>450</v>
      </c>
      <c r="F547" s="74"/>
      <c r="G547" s="145">
        <f t="shared" si="104"/>
        <v>20205</v>
      </c>
      <c r="H547" s="145"/>
      <c r="I547" s="145">
        <f t="shared" si="102"/>
        <v>20205</v>
      </c>
    </row>
    <row r="548" spans="1:9" s="7" customFormat="1">
      <c r="A548" s="33" t="s">
        <v>716</v>
      </c>
      <c r="B548" s="43" t="s">
        <v>642</v>
      </c>
      <c r="C548" s="44" t="s">
        <v>111</v>
      </c>
      <c r="D548" s="193">
        <f>1.5*1.2*D547</f>
        <v>80.819999999999993</v>
      </c>
      <c r="E548" s="74"/>
      <c r="F548" s="74">
        <v>154</v>
      </c>
      <c r="G548" s="145"/>
      <c r="H548" s="145">
        <f t="shared" si="103"/>
        <v>12446.279999999999</v>
      </c>
      <c r="I548" s="145">
        <f t="shared" si="102"/>
        <v>12446.279999999999</v>
      </c>
    </row>
    <row r="549" spans="1:9" s="7" customFormat="1">
      <c r="A549" s="33" t="s">
        <v>717</v>
      </c>
      <c r="B549" s="43" t="s">
        <v>644</v>
      </c>
      <c r="C549" s="44" t="s">
        <v>111</v>
      </c>
      <c r="D549" s="193">
        <f>D548</f>
        <v>80.819999999999993</v>
      </c>
      <c r="E549" s="74"/>
      <c r="F549" s="74">
        <v>223.81</v>
      </c>
      <c r="G549" s="145"/>
      <c r="H549" s="145">
        <f t="shared" si="103"/>
        <v>18088.324199999999</v>
      </c>
      <c r="I549" s="145">
        <f t="shared" si="102"/>
        <v>18088.324199999999</v>
      </c>
    </row>
    <row r="550" spans="1:9" s="7" customFormat="1">
      <c r="A550" s="33" t="s">
        <v>718</v>
      </c>
      <c r="B550" s="43" t="s">
        <v>719</v>
      </c>
      <c r="C550" s="44" t="s">
        <v>111</v>
      </c>
      <c r="D550" s="193">
        <f>D547*1.1*1.15</f>
        <v>56.798499999999997</v>
      </c>
      <c r="E550" s="74"/>
      <c r="F550" s="74">
        <v>470</v>
      </c>
      <c r="G550" s="145"/>
      <c r="H550" s="145">
        <f t="shared" si="103"/>
        <v>26695.294999999998</v>
      </c>
      <c r="I550" s="145">
        <f t="shared" si="102"/>
        <v>26695.294999999998</v>
      </c>
    </row>
    <row r="551" spans="1:9" s="7" customFormat="1">
      <c r="A551" s="33" t="s">
        <v>720</v>
      </c>
      <c r="B551" s="43" t="s">
        <v>657</v>
      </c>
      <c r="C551" s="44" t="s">
        <v>20</v>
      </c>
      <c r="D551" s="194">
        <f>D547/0.6+1</f>
        <v>75.833333333333329</v>
      </c>
      <c r="E551" s="74"/>
      <c r="F551" s="74">
        <v>50</v>
      </c>
      <c r="G551" s="145"/>
      <c r="H551" s="145">
        <f t="shared" si="103"/>
        <v>3791.6666666666665</v>
      </c>
      <c r="I551" s="145">
        <f t="shared" si="102"/>
        <v>3791.6666666666665</v>
      </c>
    </row>
    <row r="552" spans="1:9" s="7" customFormat="1">
      <c r="A552" s="33" t="s">
        <v>721</v>
      </c>
      <c r="B552" s="40" t="s">
        <v>132</v>
      </c>
      <c r="C552" s="41" t="s">
        <v>133</v>
      </c>
      <c r="D552" s="72">
        <v>0.5</v>
      </c>
      <c r="E552" s="74"/>
      <c r="F552" s="74">
        <v>1095</v>
      </c>
      <c r="G552" s="145"/>
      <c r="H552" s="145">
        <f t="shared" si="103"/>
        <v>547.5</v>
      </c>
      <c r="I552" s="145">
        <f t="shared" si="102"/>
        <v>547.5</v>
      </c>
    </row>
    <row r="553" spans="1:9" s="8" customFormat="1">
      <c r="A553" s="33" t="s">
        <v>722</v>
      </c>
      <c r="B553" s="43" t="s">
        <v>723</v>
      </c>
      <c r="C553" s="44" t="s">
        <v>120</v>
      </c>
      <c r="D553" s="193">
        <v>40</v>
      </c>
      <c r="E553" s="74">
        <v>450</v>
      </c>
      <c r="F553" s="74"/>
      <c r="G553" s="145">
        <f t="shared" si="104"/>
        <v>18000</v>
      </c>
      <c r="H553" s="145"/>
      <c r="I553" s="145">
        <f t="shared" si="102"/>
        <v>18000</v>
      </c>
    </row>
    <row r="554" spans="1:9" s="7" customFormat="1">
      <c r="A554" s="33" t="s">
        <v>724</v>
      </c>
      <c r="B554" s="43" t="s">
        <v>680</v>
      </c>
      <c r="C554" s="44" t="s">
        <v>681</v>
      </c>
      <c r="D554" s="194">
        <f>D553</f>
        <v>40</v>
      </c>
      <c r="E554" s="74"/>
      <c r="F554" s="74">
        <v>94</v>
      </c>
      <c r="G554" s="145"/>
      <c r="H554" s="145">
        <f t="shared" si="103"/>
        <v>3760</v>
      </c>
      <c r="I554" s="145">
        <f t="shared" si="102"/>
        <v>3760</v>
      </c>
    </row>
    <row r="555" spans="1:9" s="7" customFormat="1">
      <c r="A555" s="33" t="s">
        <v>725</v>
      </c>
      <c r="B555" s="43" t="s">
        <v>683</v>
      </c>
      <c r="C555" s="44" t="s">
        <v>681</v>
      </c>
      <c r="D555" s="193">
        <f>D553*2</f>
        <v>80</v>
      </c>
      <c r="E555" s="74"/>
      <c r="F555" s="74">
        <v>47</v>
      </c>
      <c r="G555" s="145"/>
      <c r="H555" s="145">
        <f t="shared" si="103"/>
        <v>3760</v>
      </c>
      <c r="I555" s="145">
        <f t="shared" si="102"/>
        <v>3760</v>
      </c>
    </row>
    <row r="556" spans="1:9" s="7" customFormat="1">
      <c r="A556" s="33" t="s">
        <v>726</v>
      </c>
      <c r="B556" s="43" t="s">
        <v>697</v>
      </c>
      <c r="C556" s="44" t="s">
        <v>20</v>
      </c>
      <c r="D556" s="193">
        <f>20</f>
        <v>20</v>
      </c>
      <c r="E556" s="74"/>
      <c r="F556" s="74">
        <v>350</v>
      </c>
      <c r="G556" s="145"/>
      <c r="H556" s="145">
        <f t="shared" si="103"/>
        <v>7000</v>
      </c>
      <c r="I556" s="145">
        <f t="shared" si="102"/>
        <v>7000</v>
      </c>
    </row>
    <row r="557" spans="1:9" s="7" customFormat="1">
      <c r="A557" s="33" t="s">
        <v>727</v>
      </c>
      <c r="B557" s="43" t="s">
        <v>638</v>
      </c>
      <c r="C557" s="44" t="s">
        <v>111</v>
      </c>
      <c r="D557" s="193">
        <f>D553*0.6*1.15</f>
        <v>27.599999999999998</v>
      </c>
      <c r="E557" s="74"/>
      <c r="F557" s="74">
        <v>263</v>
      </c>
      <c r="G557" s="145"/>
      <c r="H557" s="145">
        <f t="shared" si="103"/>
        <v>7258.7999999999993</v>
      </c>
      <c r="I557" s="145">
        <f t="shared" si="102"/>
        <v>7258.7999999999993</v>
      </c>
    </row>
    <row r="558" spans="1:9" s="7" customFormat="1" ht="27.6">
      <c r="A558" s="33" t="s">
        <v>728</v>
      </c>
      <c r="B558" s="43" t="s">
        <v>729</v>
      </c>
      <c r="C558" s="44" t="s">
        <v>9</v>
      </c>
      <c r="D558" s="193">
        <f>D553*0.15*1.1</f>
        <v>6.6000000000000005</v>
      </c>
      <c r="E558" s="74"/>
      <c r="F558" s="74">
        <v>4990</v>
      </c>
      <c r="G558" s="145"/>
      <c r="H558" s="145">
        <f t="shared" si="103"/>
        <v>32934</v>
      </c>
      <c r="I558" s="145">
        <f t="shared" si="102"/>
        <v>32934</v>
      </c>
    </row>
    <row r="559" spans="1:9" s="8" customFormat="1">
      <c r="A559" s="33" t="s">
        <v>730</v>
      </c>
      <c r="B559" s="43" t="s">
        <v>731</v>
      </c>
      <c r="C559" s="44" t="s">
        <v>120</v>
      </c>
      <c r="D559" s="193">
        <v>29</v>
      </c>
      <c r="E559" s="37">
        <v>450</v>
      </c>
      <c r="F559" s="37"/>
      <c r="G559" s="145">
        <f t="shared" si="104"/>
        <v>13050</v>
      </c>
      <c r="H559" s="145"/>
      <c r="I559" s="145">
        <f t="shared" si="102"/>
        <v>13050</v>
      </c>
    </row>
    <row r="560" spans="1:9" s="7" customFormat="1">
      <c r="A560" s="33" t="s">
        <v>732</v>
      </c>
      <c r="B560" s="43" t="s">
        <v>680</v>
      </c>
      <c r="C560" s="44" t="s">
        <v>681</v>
      </c>
      <c r="D560" s="194">
        <f>D559</f>
        <v>29</v>
      </c>
      <c r="E560" s="37"/>
      <c r="F560" s="37">
        <v>94</v>
      </c>
      <c r="G560" s="145"/>
      <c r="H560" s="145">
        <f t="shared" si="103"/>
        <v>2726</v>
      </c>
      <c r="I560" s="145">
        <f t="shared" si="102"/>
        <v>2726</v>
      </c>
    </row>
    <row r="561" spans="1:9" s="7" customFormat="1">
      <c r="A561" s="33" t="s">
        <v>733</v>
      </c>
      <c r="B561" s="43" t="s">
        <v>683</v>
      </c>
      <c r="C561" s="44" t="s">
        <v>681</v>
      </c>
      <c r="D561" s="193">
        <f>D559</f>
        <v>29</v>
      </c>
      <c r="E561" s="37"/>
      <c r="F561" s="37">
        <v>240</v>
      </c>
      <c r="G561" s="145"/>
      <c r="H561" s="145">
        <f t="shared" si="103"/>
        <v>6960</v>
      </c>
      <c r="I561" s="145">
        <f t="shared" si="102"/>
        <v>6960</v>
      </c>
    </row>
    <row r="562" spans="1:9" s="7" customFormat="1">
      <c r="A562" s="33" t="s">
        <v>734</v>
      </c>
      <c r="B562" s="43" t="s">
        <v>697</v>
      </c>
      <c r="C562" s="44" t="s">
        <v>20</v>
      </c>
      <c r="D562" s="193">
        <f>20</f>
        <v>20</v>
      </c>
      <c r="E562" s="37"/>
      <c r="F562" s="37">
        <v>350</v>
      </c>
      <c r="G562" s="145"/>
      <c r="H562" s="145">
        <f t="shared" si="103"/>
        <v>7000</v>
      </c>
      <c r="I562" s="145">
        <f t="shared" si="102"/>
        <v>7000</v>
      </c>
    </row>
    <row r="563" spans="1:9" s="7" customFormat="1">
      <c r="A563" s="33" t="s">
        <v>735</v>
      </c>
      <c r="B563" s="43" t="s">
        <v>638</v>
      </c>
      <c r="C563" s="44" t="s">
        <v>111</v>
      </c>
      <c r="D563" s="193">
        <f>D559*0.6*1.15</f>
        <v>20.009999999999998</v>
      </c>
      <c r="E563" s="37"/>
      <c r="F563" s="37">
        <v>263</v>
      </c>
      <c r="G563" s="145"/>
      <c r="H563" s="145">
        <f t="shared" si="103"/>
        <v>5262.6299999999992</v>
      </c>
      <c r="I563" s="145">
        <f t="shared" si="102"/>
        <v>5262.6299999999992</v>
      </c>
    </row>
    <row r="564" spans="1:9" s="7" customFormat="1" ht="27.6">
      <c r="A564" s="33" t="s">
        <v>736</v>
      </c>
      <c r="B564" s="43" t="s">
        <v>729</v>
      </c>
      <c r="C564" s="44" t="s">
        <v>9</v>
      </c>
      <c r="D564" s="193">
        <f>D559*0.15*1.1</f>
        <v>4.7850000000000001</v>
      </c>
      <c r="E564" s="37"/>
      <c r="F564" s="37">
        <v>4990</v>
      </c>
      <c r="G564" s="145"/>
      <c r="H564" s="145">
        <f t="shared" si="103"/>
        <v>23877.15</v>
      </c>
      <c r="I564" s="145">
        <f t="shared" si="102"/>
        <v>23877.15</v>
      </c>
    </row>
    <row r="565" spans="1:9" s="7" customFormat="1">
      <c r="A565" s="33" t="s">
        <v>737</v>
      </c>
      <c r="B565" s="43" t="s">
        <v>738</v>
      </c>
      <c r="C565" s="44" t="s">
        <v>120</v>
      </c>
      <c r="D565" s="193">
        <f>D559</f>
        <v>29</v>
      </c>
      <c r="E565" s="37"/>
      <c r="F565" s="37">
        <v>100</v>
      </c>
      <c r="G565" s="145"/>
      <c r="H565" s="145">
        <f t="shared" ref="H565:H622" si="105">D565*F565</f>
        <v>2900</v>
      </c>
      <c r="I565" s="145">
        <f t="shared" ref="I565:I623" si="106">G565+H565</f>
        <v>2900</v>
      </c>
    </row>
    <row r="566" spans="1:9" s="7" customFormat="1">
      <c r="A566" s="33" t="s">
        <v>739</v>
      </c>
      <c r="B566" s="43" t="s">
        <v>740</v>
      </c>
      <c r="C566" s="44" t="s">
        <v>111</v>
      </c>
      <c r="D566" s="193">
        <v>16.32</v>
      </c>
      <c r="E566" s="37">
        <v>450</v>
      </c>
      <c r="F566" s="37"/>
      <c r="G566" s="145">
        <f t="shared" ref="G566:G623" si="107">D566*E566</f>
        <v>7344</v>
      </c>
      <c r="H566" s="145"/>
      <c r="I566" s="145">
        <f t="shared" si="106"/>
        <v>7344</v>
      </c>
    </row>
    <row r="567" spans="1:9" s="7" customFormat="1">
      <c r="A567" s="33" t="s">
        <v>741</v>
      </c>
      <c r="B567" s="43" t="s">
        <v>216</v>
      </c>
      <c r="C567" s="44" t="s">
        <v>20</v>
      </c>
      <c r="D567" s="193">
        <v>2497</v>
      </c>
      <c r="E567" s="37"/>
      <c r="F567" s="37">
        <v>15.6</v>
      </c>
      <c r="G567" s="145"/>
      <c r="H567" s="145">
        <f t="shared" ref="H567:H568" si="108">D567*F567</f>
        <v>38953.199999999997</v>
      </c>
      <c r="I567" s="145">
        <f t="shared" si="106"/>
        <v>38953.199999999997</v>
      </c>
    </row>
    <row r="568" spans="1:9" s="7" customFormat="1">
      <c r="A568" s="33" t="s">
        <v>742</v>
      </c>
      <c r="B568" s="196" t="s">
        <v>172</v>
      </c>
      <c r="C568" s="197" t="s">
        <v>9</v>
      </c>
      <c r="D568" s="198">
        <v>0.9</v>
      </c>
      <c r="E568" s="37"/>
      <c r="F568" s="37">
        <v>3900</v>
      </c>
      <c r="G568" s="145"/>
      <c r="H568" s="145">
        <f t="shared" si="108"/>
        <v>3510</v>
      </c>
      <c r="I568" s="145">
        <f t="shared" si="106"/>
        <v>3510</v>
      </c>
    </row>
    <row r="569" spans="1:9" s="8" customFormat="1">
      <c r="A569" s="33" t="s">
        <v>743</v>
      </c>
      <c r="B569" s="43" t="s">
        <v>744</v>
      </c>
      <c r="C569" s="44" t="s">
        <v>20</v>
      </c>
      <c r="D569" s="193">
        <v>1</v>
      </c>
      <c r="E569" s="74"/>
      <c r="F569" s="74">
        <v>30000</v>
      </c>
      <c r="G569" s="462"/>
      <c r="H569" s="462">
        <f t="shared" si="105"/>
        <v>30000</v>
      </c>
      <c r="I569" s="462">
        <f t="shared" si="106"/>
        <v>30000</v>
      </c>
    </row>
    <row r="570" spans="1:9" s="8" customFormat="1">
      <c r="A570" s="33" t="s">
        <v>745</v>
      </c>
      <c r="B570" s="199" t="s">
        <v>746</v>
      </c>
      <c r="C570" s="33" t="s">
        <v>111</v>
      </c>
      <c r="D570" s="200">
        <f>15.65*1</f>
        <v>15.65</v>
      </c>
      <c r="E570" s="74">
        <v>350</v>
      </c>
      <c r="F570" s="74"/>
      <c r="G570" s="462">
        <f t="shared" si="107"/>
        <v>5477.5</v>
      </c>
      <c r="H570" s="462"/>
      <c r="I570" s="462">
        <f t="shared" si="106"/>
        <v>5477.5</v>
      </c>
    </row>
    <row r="571" spans="1:9" s="8" customFormat="1">
      <c r="A571" s="33" t="s">
        <v>747</v>
      </c>
      <c r="B571" s="93" t="s">
        <v>205</v>
      </c>
      <c r="C571" s="41" t="s">
        <v>9</v>
      </c>
      <c r="D571" s="81">
        <f>PRODUCT(D570,0.02)</f>
        <v>0.313</v>
      </c>
      <c r="E571" s="37"/>
      <c r="F571" s="37">
        <v>3900</v>
      </c>
      <c r="G571" s="145"/>
      <c r="H571" s="145">
        <f t="shared" si="105"/>
        <v>1220.7</v>
      </c>
      <c r="I571" s="145">
        <f t="shared" si="106"/>
        <v>1220.7</v>
      </c>
    </row>
    <row r="572" spans="1:9" s="8" customFormat="1">
      <c r="A572" s="33" t="s">
        <v>748</v>
      </c>
      <c r="B572" s="199" t="s">
        <v>749</v>
      </c>
      <c r="C572" s="33" t="s">
        <v>111</v>
      </c>
      <c r="D572" s="200">
        <f>PRODUCT(D570,1.1)</f>
        <v>17.215000000000003</v>
      </c>
      <c r="E572" s="74"/>
      <c r="F572" s="74">
        <v>350</v>
      </c>
      <c r="G572" s="145"/>
      <c r="H572" s="145">
        <f t="shared" si="105"/>
        <v>6025.2500000000009</v>
      </c>
      <c r="I572" s="145">
        <f t="shared" si="106"/>
        <v>6025.2500000000009</v>
      </c>
    </row>
    <row r="573" spans="1:9" s="8" customFormat="1">
      <c r="A573" s="33" t="s">
        <v>750</v>
      </c>
      <c r="B573" s="56" t="s">
        <v>751</v>
      </c>
      <c r="C573" s="41" t="s">
        <v>42</v>
      </c>
      <c r="D573" s="81">
        <f>SUM(D575)</f>
        <v>0.88311600000000012</v>
      </c>
      <c r="E573" s="37">
        <v>25000</v>
      </c>
      <c r="F573" s="37"/>
      <c r="G573" s="145">
        <f t="shared" si="107"/>
        <v>22077.9</v>
      </c>
      <c r="H573" s="145"/>
      <c r="I573" s="145">
        <f t="shared" si="106"/>
        <v>22077.9</v>
      </c>
    </row>
    <row r="574" spans="1:9" s="9" customFormat="1">
      <c r="A574" s="99" t="s">
        <v>752</v>
      </c>
      <c r="B574" s="100" t="s">
        <v>303</v>
      </c>
      <c r="C574" s="142" t="s">
        <v>42</v>
      </c>
      <c r="D574" s="201">
        <f>(106*1.95)/1000*1.04</f>
        <v>0.21496799999999999</v>
      </c>
      <c r="E574" s="168"/>
      <c r="F574" s="169">
        <v>45000</v>
      </c>
      <c r="G574" s="175"/>
      <c r="H574" s="175">
        <f t="shared" si="105"/>
        <v>9673.56</v>
      </c>
      <c r="I574" s="175">
        <f t="shared" si="106"/>
        <v>9673.56</v>
      </c>
    </row>
    <row r="575" spans="1:9" s="7" customFormat="1">
      <c r="A575" s="99" t="s">
        <v>753</v>
      </c>
      <c r="B575" s="56" t="s">
        <v>754</v>
      </c>
      <c r="C575" s="41" t="s">
        <v>42</v>
      </c>
      <c r="D575" s="81">
        <f>(106*3.825+104.4*4.25)/1000*1.04</f>
        <v>0.88311600000000012</v>
      </c>
      <c r="E575" s="37"/>
      <c r="F575" s="422">
        <v>45000</v>
      </c>
      <c r="G575" s="145"/>
      <c r="H575" s="145">
        <f t="shared" si="105"/>
        <v>39740.220000000008</v>
      </c>
      <c r="I575" s="145">
        <f t="shared" si="106"/>
        <v>39740.220000000008</v>
      </c>
    </row>
    <row r="576" spans="1:9" s="8" customFormat="1" ht="15.6">
      <c r="A576" s="99" t="s">
        <v>755</v>
      </c>
      <c r="B576" s="68" t="s">
        <v>756</v>
      </c>
      <c r="C576" s="69" t="s">
        <v>42</v>
      </c>
      <c r="D576" s="463">
        <f>0.825</f>
        <v>0.82499999999999996</v>
      </c>
      <c r="E576" s="202"/>
      <c r="F576" s="464">
        <v>44000</v>
      </c>
      <c r="G576" s="145"/>
      <c r="H576" s="145">
        <f t="shared" si="105"/>
        <v>36300</v>
      </c>
      <c r="I576" s="145">
        <f t="shared" si="106"/>
        <v>36300</v>
      </c>
    </row>
    <row r="577" spans="1:9" s="7" customFormat="1">
      <c r="A577" s="99" t="s">
        <v>757</v>
      </c>
      <c r="B577" s="56" t="s">
        <v>758</v>
      </c>
      <c r="C577" s="41" t="s">
        <v>42</v>
      </c>
      <c r="D577" s="81">
        <f>(312.1*1.58)/1000*1.04</f>
        <v>0.51284272000000009</v>
      </c>
      <c r="E577" s="37"/>
      <c r="F577" s="422">
        <v>40100</v>
      </c>
      <c r="G577" s="145"/>
      <c r="H577" s="145">
        <f t="shared" si="105"/>
        <v>20564.993072000005</v>
      </c>
      <c r="I577" s="145">
        <f t="shared" si="106"/>
        <v>20564.993072000005</v>
      </c>
    </row>
    <row r="578" spans="1:9" s="7" customFormat="1">
      <c r="A578" s="99" t="s">
        <v>759</v>
      </c>
      <c r="B578" s="56" t="s">
        <v>760</v>
      </c>
      <c r="C578" s="41" t="s">
        <v>125</v>
      </c>
      <c r="D578" s="81">
        <f>3.89*D573</f>
        <v>3.4353212400000004</v>
      </c>
      <c r="E578" s="37"/>
      <c r="F578" s="422">
        <v>65</v>
      </c>
      <c r="G578" s="145"/>
      <c r="H578" s="145">
        <f t="shared" si="105"/>
        <v>223.29588060000003</v>
      </c>
      <c r="I578" s="145">
        <f t="shared" si="106"/>
        <v>223.29588060000003</v>
      </c>
    </row>
    <row r="579" spans="1:9" s="7" customFormat="1">
      <c r="A579" s="99" t="s">
        <v>761</v>
      </c>
      <c r="B579" s="56" t="s">
        <v>305</v>
      </c>
      <c r="C579" s="41" t="s">
        <v>125</v>
      </c>
      <c r="D579" s="81">
        <f>3.37*2*D573</f>
        <v>5.9522018400000007</v>
      </c>
      <c r="E579" s="37"/>
      <c r="F579" s="422">
        <v>88.45</v>
      </c>
      <c r="G579" s="145"/>
      <c r="H579" s="145">
        <f t="shared" si="105"/>
        <v>526.47225274800007</v>
      </c>
      <c r="I579" s="145">
        <f t="shared" si="106"/>
        <v>526.47225274800007</v>
      </c>
    </row>
    <row r="580" spans="1:9" s="7" customFormat="1">
      <c r="A580" s="99" t="s">
        <v>762</v>
      </c>
      <c r="B580" s="56" t="s">
        <v>199</v>
      </c>
      <c r="C580" s="41" t="s">
        <v>42</v>
      </c>
      <c r="D580" s="203">
        <f>D573*0.019*1.2</f>
        <v>2.0135044800000002E-2</v>
      </c>
      <c r="E580" s="37"/>
      <c r="F580" s="422">
        <v>142000</v>
      </c>
      <c r="G580" s="145"/>
      <c r="H580" s="145">
        <f t="shared" si="105"/>
        <v>2859.1763616000003</v>
      </c>
      <c r="I580" s="145">
        <f t="shared" si="106"/>
        <v>2859.1763616000003</v>
      </c>
    </row>
    <row r="581" spans="1:9" s="10" customFormat="1">
      <c r="A581" s="99" t="s">
        <v>763</v>
      </c>
      <c r="B581" s="100" t="s">
        <v>764</v>
      </c>
      <c r="C581" s="142" t="s">
        <v>25</v>
      </c>
      <c r="D581" s="201">
        <f>ROUND((3.08*3+1.88+3.8*2+1.5+2.6+2.5*4+4*3+2.8+3+1.8+2.5*2),0)</f>
        <v>57</v>
      </c>
      <c r="E581" s="168">
        <v>2500</v>
      </c>
      <c r="F581" s="168"/>
      <c r="G581" s="175">
        <f t="shared" si="107"/>
        <v>142500</v>
      </c>
      <c r="H581" s="175"/>
      <c r="I581" s="175">
        <f t="shared" si="106"/>
        <v>142500</v>
      </c>
    </row>
    <row r="582" spans="1:9" s="9" customFormat="1">
      <c r="A582" s="99" t="s">
        <v>765</v>
      </c>
      <c r="B582" s="100" t="s">
        <v>312</v>
      </c>
      <c r="C582" s="142" t="s">
        <v>25</v>
      </c>
      <c r="D582" s="201">
        <f>D581</f>
        <v>57</v>
      </c>
      <c r="E582" s="168"/>
      <c r="F582" s="168">
        <v>2300</v>
      </c>
      <c r="G582" s="175"/>
      <c r="H582" s="175">
        <f t="shared" si="105"/>
        <v>131100</v>
      </c>
      <c r="I582" s="175">
        <f t="shared" si="106"/>
        <v>131100</v>
      </c>
    </row>
    <row r="583" spans="1:9" s="9" customFormat="1">
      <c r="A583" s="99" t="s">
        <v>766</v>
      </c>
      <c r="B583" s="100" t="s">
        <v>314</v>
      </c>
      <c r="C583" s="142" t="s">
        <v>20</v>
      </c>
      <c r="D583" s="201">
        <v>4</v>
      </c>
      <c r="E583" s="168"/>
      <c r="F583" s="168">
        <v>15000</v>
      </c>
      <c r="G583" s="175"/>
      <c r="H583" s="175">
        <f t="shared" si="105"/>
        <v>60000</v>
      </c>
      <c r="I583" s="175">
        <f t="shared" si="106"/>
        <v>60000</v>
      </c>
    </row>
    <row r="584" spans="1:9" s="9" customFormat="1">
      <c r="A584" s="99" t="s">
        <v>767</v>
      </c>
      <c r="B584" s="100" t="s">
        <v>315</v>
      </c>
      <c r="C584" s="142" t="s">
        <v>20</v>
      </c>
      <c r="D584" s="201">
        <v>26</v>
      </c>
      <c r="E584" s="168"/>
      <c r="F584" s="168">
        <v>700</v>
      </c>
      <c r="G584" s="175"/>
      <c r="H584" s="175">
        <f t="shared" si="105"/>
        <v>18200</v>
      </c>
      <c r="I584" s="175">
        <f t="shared" si="106"/>
        <v>18200</v>
      </c>
    </row>
    <row r="585" spans="1:9" s="8" customFormat="1">
      <c r="A585" s="33" t="s">
        <v>768</v>
      </c>
      <c r="B585" s="56" t="s">
        <v>769</v>
      </c>
      <c r="C585" s="41" t="s">
        <v>20</v>
      </c>
      <c r="D585" s="81">
        <f>SUM(D586:D590,D592)</f>
        <v>0.18674240000000003</v>
      </c>
      <c r="E585" s="37">
        <v>25000</v>
      </c>
      <c r="F585" s="37"/>
      <c r="G585" s="145">
        <f t="shared" si="107"/>
        <v>4668.5600000000004</v>
      </c>
      <c r="H585" s="145"/>
      <c r="I585" s="145">
        <f t="shared" si="106"/>
        <v>4668.5600000000004</v>
      </c>
    </row>
    <row r="586" spans="1:9" s="7" customFormat="1">
      <c r="A586" s="33" t="s">
        <v>770</v>
      </c>
      <c r="B586" s="56" t="s">
        <v>771</v>
      </c>
      <c r="C586" s="41" t="s">
        <v>42</v>
      </c>
      <c r="D586" s="81">
        <v>5.8032E-2</v>
      </c>
      <c r="E586" s="37"/>
      <c r="F586" s="37">
        <v>52200</v>
      </c>
      <c r="G586" s="145"/>
      <c r="H586" s="145">
        <f t="shared" si="105"/>
        <v>3029.2703999999999</v>
      </c>
      <c r="I586" s="145">
        <f t="shared" si="106"/>
        <v>3029.2703999999999</v>
      </c>
    </row>
    <row r="587" spans="1:9" s="7" customFormat="1">
      <c r="A587" s="33" t="s">
        <v>777</v>
      </c>
      <c r="B587" s="56" t="s">
        <v>772</v>
      </c>
      <c r="C587" s="41" t="s">
        <v>42</v>
      </c>
      <c r="D587" s="81">
        <v>6.6560000000000008E-2</v>
      </c>
      <c r="E587" s="37"/>
      <c r="F587" s="37">
        <v>44100</v>
      </c>
      <c r="G587" s="145"/>
      <c r="H587" s="145">
        <f t="shared" si="105"/>
        <v>2935.2960000000003</v>
      </c>
      <c r="I587" s="145">
        <f t="shared" si="106"/>
        <v>2935.2960000000003</v>
      </c>
    </row>
    <row r="588" spans="1:9" s="7" customFormat="1">
      <c r="A588" s="33" t="s">
        <v>778</v>
      </c>
      <c r="B588" s="56" t="s">
        <v>773</v>
      </c>
      <c r="C588" s="41" t="s">
        <v>42</v>
      </c>
      <c r="D588" s="81">
        <v>4.2848000000000009E-3</v>
      </c>
      <c r="E588" s="37"/>
      <c r="F588" s="37">
        <v>46400</v>
      </c>
      <c r="G588" s="145"/>
      <c r="H588" s="145">
        <f t="shared" si="105"/>
        <v>198.81472000000005</v>
      </c>
      <c r="I588" s="145">
        <f t="shared" si="106"/>
        <v>198.81472000000005</v>
      </c>
    </row>
    <row r="589" spans="1:9" s="7" customFormat="1">
      <c r="A589" s="33" t="s">
        <v>779</v>
      </c>
      <c r="B589" s="56" t="s">
        <v>774</v>
      </c>
      <c r="C589" s="41" t="s">
        <v>42</v>
      </c>
      <c r="D589" s="81">
        <v>4.7132799999999996E-2</v>
      </c>
      <c r="E589" s="37"/>
      <c r="F589" s="37">
        <v>54600</v>
      </c>
      <c r="G589" s="145"/>
      <c r="H589" s="145">
        <f t="shared" si="105"/>
        <v>2573.4508799999999</v>
      </c>
      <c r="I589" s="145">
        <f t="shared" si="106"/>
        <v>2573.4508799999999</v>
      </c>
    </row>
    <row r="590" spans="1:9" s="7" customFormat="1">
      <c r="A590" s="33" t="s">
        <v>2331</v>
      </c>
      <c r="B590" s="56" t="s">
        <v>775</v>
      </c>
      <c r="C590" s="41" t="s">
        <v>42</v>
      </c>
      <c r="D590" s="81">
        <v>2.9328000000000002E-3</v>
      </c>
      <c r="E590" s="37"/>
      <c r="F590" s="37">
        <v>54700</v>
      </c>
      <c r="G590" s="145"/>
      <c r="H590" s="145">
        <f t="shared" si="105"/>
        <v>160.42416</v>
      </c>
      <c r="I590" s="145">
        <f t="shared" si="106"/>
        <v>160.42416</v>
      </c>
    </row>
    <row r="591" spans="1:9" s="7" customFormat="1">
      <c r="A591" s="33" t="s">
        <v>2332</v>
      </c>
      <c r="B591" s="56" t="s">
        <v>776</v>
      </c>
      <c r="C591" s="41" t="s">
        <v>20</v>
      </c>
      <c r="D591" s="81">
        <v>6</v>
      </c>
      <c r="E591" s="37"/>
      <c r="F591" s="37">
        <v>350</v>
      </c>
      <c r="G591" s="145"/>
      <c r="H591" s="145">
        <f t="shared" si="105"/>
        <v>2100</v>
      </c>
      <c r="I591" s="145">
        <f t="shared" si="106"/>
        <v>2100</v>
      </c>
    </row>
    <row r="592" spans="1:9" s="7" customFormat="1">
      <c r="A592" s="33" t="s">
        <v>2334</v>
      </c>
      <c r="B592" s="56" t="s">
        <v>775</v>
      </c>
      <c r="C592" s="41" t="s">
        <v>42</v>
      </c>
      <c r="D592" s="81">
        <v>7.8000000000000005E-3</v>
      </c>
      <c r="E592" s="37"/>
      <c r="F592" s="37">
        <v>54700</v>
      </c>
      <c r="G592" s="145"/>
      <c r="H592" s="145">
        <f t="shared" si="105"/>
        <v>426.66</v>
      </c>
      <c r="I592" s="145">
        <f t="shared" si="106"/>
        <v>426.66</v>
      </c>
    </row>
    <row r="593" spans="1:9" s="7" customFormat="1">
      <c r="A593" s="33" t="s">
        <v>2333</v>
      </c>
      <c r="B593" s="56" t="s">
        <v>304</v>
      </c>
      <c r="C593" s="41" t="s">
        <v>125</v>
      </c>
      <c r="D593" s="81">
        <v>1.4528558720000002</v>
      </c>
      <c r="E593" s="37"/>
      <c r="F593" s="37">
        <v>65</v>
      </c>
      <c r="G593" s="145"/>
      <c r="H593" s="145">
        <f t="shared" si="105"/>
        <v>94.435631680000014</v>
      </c>
      <c r="I593" s="145">
        <f t="shared" si="106"/>
        <v>94.435631680000014</v>
      </c>
    </row>
    <row r="594" spans="1:9" s="7" customFormat="1">
      <c r="A594" s="33" t="s">
        <v>2335</v>
      </c>
      <c r="B594" s="56" t="s">
        <v>305</v>
      </c>
      <c r="C594" s="41" t="s">
        <v>125</v>
      </c>
      <c r="D594" s="81">
        <v>1.2586437760000002</v>
      </c>
      <c r="E594" s="37"/>
      <c r="F594" s="37">
        <v>88.45</v>
      </c>
      <c r="G594" s="145"/>
      <c r="H594" s="145">
        <f t="shared" si="105"/>
        <v>111.32704198720002</v>
      </c>
      <c r="I594" s="145">
        <f t="shared" si="106"/>
        <v>111.32704198720002</v>
      </c>
    </row>
    <row r="595" spans="1:9" s="8" customFormat="1">
      <c r="A595" s="33" t="s">
        <v>780</v>
      </c>
      <c r="B595" s="56" t="s">
        <v>781</v>
      </c>
      <c r="C595" s="41" t="s">
        <v>42</v>
      </c>
      <c r="D595" s="81">
        <f>0.254/1.04</f>
        <v>0.24423076923076922</v>
      </c>
      <c r="E595" s="37">
        <v>25000</v>
      </c>
      <c r="F595" s="37"/>
      <c r="G595" s="145">
        <f t="shared" si="107"/>
        <v>6105.7692307692305</v>
      </c>
      <c r="H595" s="145"/>
      <c r="I595" s="145">
        <f t="shared" si="106"/>
        <v>6105.7692307692305</v>
      </c>
    </row>
    <row r="596" spans="1:9" s="7" customFormat="1">
      <c r="A596" s="33" t="s">
        <v>782</v>
      </c>
      <c r="B596" s="56" t="s">
        <v>783</v>
      </c>
      <c r="C596" s="41" t="s">
        <v>42</v>
      </c>
      <c r="D596" s="81">
        <v>0.14356160000000001</v>
      </c>
      <c r="E596" s="37"/>
      <c r="F596" s="37">
        <v>46800</v>
      </c>
      <c r="G596" s="145"/>
      <c r="H596" s="145">
        <f t="shared" si="105"/>
        <v>6718.6828800000003</v>
      </c>
      <c r="I596" s="145">
        <f t="shared" si="106"/>
        <v>6718.6828800000003</v>
      </c>
    </row>
    <row r="597" spans="1:9" s="7" customFormat="1">
      <c r="A597" s="33" t="s">
        <v>787</v>
      </c>
      <c r="B597" s="56" t="s">
        <v>784</v>
      </c>
      <c r="C597" s="41" t="s">
        <v>42</v>
      </c>
      <c r="D597" s="81">
        <v>8.1244800000000006E-2</v>
      </c>
      <c r="E597" s="37"/>
      <c r="F597" s="37">
        <v>38600</v>
      </c>
      <c r="G597" s="145"/>
      <c r="H597" s="145">
        <f t="shared" si="105"/>
        <v>3136.0492800000002</v>
      </c>
      <c r="I597" s="145">
        <f t="shared" si="106"/>
        <v>3136.0492800000002</v>
      </c>
    </row>
    <row r="598" spans="1:9" s="7" customFormat="1">
      <c r="A598" s="33" t="s">
        <v>789</v>
      </c>
      <c r="B598" s="56" t="s">
        <v>785</v>
      </c>
      <c r="C598" s="41" t="s">
        <v>42</v>
      </c>
      <c r="D598" s="81">
        <v>8.8191999999999993E-3</v>
      </c>
      <c r="E598" s="37"/>
      <c r="F598" s="37">
        <v>54700</v>
      </c>
      <c r="G598" s="145"/>
      <c r="H598" s="145">
        <f t="shared" si="105"/>
        <v>482.41023999999999</v>
      </c>
      <c r="I598" s="145">
        <f t="shared" si="106"/>
        <v>482.41023999999999</v>
      </c>
    </row>
    <row r="599" spans="1:9" s="7" customFormat="1">
      <c r="A599" s="33" t="s">
        <v>791</v>
      </c>
      <c r="B599" s="56" t="s">
        <v>786</v>
      </c>
      <c r="C599" s="41" t="s">
        <v>42</v>
      </c>
      <c r="D599" s="81">
        <v>2.0529599999999999E-2</v>
      </c>
      <c r="E599" s="37"/>
      <c r="F599" s="37">
        <v>54700</v>
      </c>
      <c r="G599" s="145"/>
      <c r="H599" s="145">
        <f t="shared" si="105"/>
        <v>1122.96912</v>
      </c>
      <c r="I599" s="145">
        <f t="shared" si="106"/>
        <v>1122.96912</v>
      </c>
    </row>
    <row r="600" spans="1:9" s="7" customFormat="1">
      <c r="A600" s="33" t="s">
        <v>792</v>
      </c>
      <c r="B600" s="56" t="s">
        <v>788</v>
      </c>
      <c r="C600" s="41" t="s">
        <v>20</v>
      </c>
      <c r="D600" s="81">
        <v>16</v>
      </c>
      <c r="E600" s="37"/>
      <c r="F600" s="37">
        <v>180</v>
      </c>
      <c r="G600" s="145"/>
      <c r="H600" s="145">
        <f t="shared" si="105"/>
        <v>2880</v>
      </c>
      <c r="I600" s="145">
        <f t="shared" si="106"/>
        <v>2880</v>
      </c>
    </row>
    <row r="601" spans="1:9" s="7" customFormat="1">
      <c r="A601" s="33" t="s">
        <v>2336</v>
      </c>
      <c r="B601" s="56" t="s">
        <v>790</v>
      </c>
      <c r="C601" s="41" t="s">
        <v>20</v>
      </c>
      <c r="D601" s="81">
        <v>16</v>
      </c>
      <c r="E601" s="37"/>
      <c r="F601" s="37">
        <v>350</v>
      </c>
      <c r="G601" s="145"/>
      <c r="H601" s="145">
        <f t="shared" si="105"/>
        <v>5600</v>
      </c>
      <c r="I601" s="145">
        <f t="shared" si="106"/>
        <v>5600</v>
      </c>
    </row>
    <row r="602" spans="1:9" s="7" customFormat="1">
      <c r="A602" s="33" t="s">
        <v>2337</v>
      </c>
      <c r="B602" s="56" t="s">
        <v>304</v>
      </c>
      <c r="C602" s="41" t="s">
        <v>125</v>
      </c>
      <c r="D602" s="81">
        <v>1.9773274560000003</v>
      </c>
      <c r="E602" s="37"/>
      <c r="F602" s="37">
        <v>65</v>
      </c>
      <c r="G602" s="145"/>
      <c r="H602" s="145">
        <f t="shared" si="105"/>
        <v>128.52628464000003</v>
      </c>
      <c r="I602" s="145">
        <f t="shared" si="106"/>
        <v>128.52628464000003</v>
      </c>
    </row>
    <row r="603" spans="1:9" s="7" customFormat="1">
      <c r="A603" s="33" t="s">
        <v>2338</v>
      </c>
      <c r="B603" s="56" t="s">
        <v>305</v>
      </c>
      <c r="C603" s="41" t="s">
        <v>125</v>
      </c>
      <c r="D603" s="81">
        <v>1.7130060480000002</v>
      </c>
      <c r="E603" s="37"/>
      <c r="F603" s="37">
        <v>88.45</v>
      </c>
      <c r="G603" s="145"/>
      <c r="H603" s="145">
        <f t="shared" si="105"/>
        <v>151.51538494560003</v>
      </c>
      <c r="I603" s="145">
        <f t="shared" si="106"/>
        <v>151.51538494560003</v>
      </c>
    </row>
    <row r="604" spans="1:9" s="8" customFormat="1">
      <c r="A604" s="33" t="s">
        <v>793</v>
      </c>
      <c r="B604" s="56" t="s">
        <v>794</v>
      </c>
      <c r="C604" s="41" t="s">
        <v>20</v>
      </c>
      <c r="D604" s="81">
        <v>0.14347840000000001</v>
      </c>
      <c r="E604" s="37">
        <v>25000</v>
      </c>
      <c r="F604" s="37"/>
      <c r="G604" s="145">
        <f t="shared" si="107"/>
        <v>3586.96</v>
      </c>
      <c r="H604" s="145"/>
      <c r="I604" s="145">
        <f t="shared" si="106"/>
        <v>3586.96</v>
      </c>
    </row>
    <row r="605" spans="1:9" s="7" customFormat="1">
      <c r="A605" s="33" t="s">
        <v>795</v>
      </c>
      <c r="B605" s="56" t="s">
        <v>796</v>
      </c>
      <c r="C605" s="41" t="s">
        <v>42</v>
      </c>
      <c r="D605" s="81">
        <v>1.5807999999999999E-2</v>
      </c>
      <c r="E605" s="37"/>
      <c r="F605" s="37">
        <v>45000</v>
      </c>
      <c r="G605" s="145"/>
      <c r="H605" s="145">
        <f t="shared" ref="H605:H612" si="109">D605*F605</f>
        <v>711.36</v>
      </c>
      <c r="I605" s="145">
        <f t="shared" si="106"/>
        <v>711.36</v>
      </c>
    </row>
    <row r="606" spans="1:9" s="7" customFormat="1">
      <c r="A606" s="33" t="s">
        <v>799</v>
      </c>
      <c r="B606" s="56" t="s">
        <v>797</v>
      </c>
      <c r="C606" s="41" t="s">
        <v>42</v>
      </c>
      <c r="D606" s="81">
        <v>4.7007999999999998E-3</v>
      </c>
      <c r="E606" s="37"/>
      <c r="F606" s="37">
        <v>45000</v>
      </c>
      <c r="G606" s="145"/>
      <c r="H606" s="145">
        <f t="shared" si="109"/>
        <v>211.536</v>
      </c>
      <c r="I606" s="145">
        <f t="shared" si="106"/>
        <v>211.536</v>
      </c>
    </row>
    <row r="607" spans="1:9" s="7" customFormat="1">
      <c r="A607" s="33" t="s">
        <v>800</v>
      </c>
      <c r="B607" s="56" t="s">
        <v>798</v>
      </c>
      <c r="C607" s="41" t="s">
        <v>42</v>
      </c>
      <c r="D607" s="81">
        <v>2.9286400000000001E-2</v>
      </c>
      <c r="E607" s="37"/>
      <c r="F607" s="37">
        <v>42800</v>
      </c>
      <c r="G607" s="145"/>
      <c r="H607" s="145">
        <f t="shared" si="109"/>
        <v>1253.4579200000001</v>
      </c>
      <c r="I607" s="145">
        <f t="shared" si="106"/>
        <v>1253.4579200000001</v>
      </c>
    </row>
    <row r="608" spans="1:9" s="7" customFormat="1">
      <c r="A608" s="33" t="s">
        <v>801</v>
      </c>
      <c r="B608" s="56" t="s">
        <v>771</v>
      </c>
      <c r="C608" s="41" t="s">
        <v>42</v>
      </c>
      <c r="D608" s="81">
        <v>8.8316800000000001E-2</v>
      </c>
      <c r="E608" s="37"/>
      <c r="F608" s="37">
        <v>52200</v>
      </c>
      <c r="G608" s="145"/>
      <c r="H608" s="145">
        <f t="shared" si="109"/>
        <v>4610.1369599999998</v>
      </c>
      <c r="I608" s="145">
        <f t="shared" si="106"/>
        <v>4610.1369599999998</v>
      </c>
    </row>
    <row r="609" spans="1:9" s="7" customFormat="1">
      <c r="A609" s="33" t="s">
        <v>2339</v>
      </c>
      <c r="B609" s="56" t="s">
        <v>592</v>
      </c>
      <c r="C609" s="41" t="s">
        <v>42</v>
      </c>
      <c r="D609" s="81">
        <v>5.3664000000000003E-3</v>
      </c>
      <c r="E609" s="37"/>
      <c r="F609" s="37">
        <v>44100</v>
      </c>
      <c r="G609" s="145"/>
      <c r="H609" s="145">
        <f t="shared" si="109"/>
        <v>236.65824000000001</v>
      </c>
      <c r="I609" s="145">
        <f t="shared" si="106"/>
        <v>236.65824000000001</v>
      </c>
    </row>
    <row r="610" spans="1:9" s="7" customFormat="1">
      <c r="A610" s="33" t="s">
        <v>2340</v>
      </c>
      <c r="B610" s="56" t="s">
        <v>776</v>
      </c>
      <c r="C610" s="41" t="s">
        <v>20</v>
      </c>
      <c r="D610" s="81">
        <v>16</v>
      </c>
      <c r="E610" s="37"/>
      <c r="F610" s="37">
        <v>350</v>
      </c>
      <c r="G610" s="145"/>
      <c r="H610" s="145">
        <f t="shared" si="109"/>
        <v>5600</v>
      </c>
      <c r="I610" s="145">
        <f t="shared" si="106"/>
        <v>5600</v>
      </c>
    </row>
    <row r="611" spans="1:9" s="7" customFormat="1">
      <c r="A611" s="33" t="s">
        <v>2341</v>
      </c>
      <c r="B611" s="56" t="s">
        <v>304</v>
      </c>
      <c r="C611" s="41" t="s">
        <v>125</v>
      </c>
      <c r="D611" s="81">
        <v>1.1162619520000001</v>
      </c>
      <c r="E611" s="37"/>
      <c r="F611" s="37">
        <v>65</v>
      </c>
      <c r="G611" s="145"/>
      <c r="H611" s="145">
        <f t="shared" si="109"/>
        <v>72.557026880000009</v>
      </c>
      <c r="I611" s="145">
        <f t="shared" si="106"/>
        <v>72.557026880000009</v>
      </c>
    </row>
    <row r="612" spans="1:9" s="7" customFormat="1">
      <c r="A612" s="33" t="s">
        <v>2342</v>
      </c>
      <c r="B612" s="56" t="s">
        <v>305</v>
      </c>
      <c r="C612" s="41" t="s">
        <v>125</v>
      </c>
      <c r="D612" s="81">
        <v>0.96704441600000002</v>
      </c>
      <c r="E612" s="37"/>
      <c r="F612" s="37">
        <v>88.45</v>
      </c>
      <c r="G612" s="145"/>
      <c r="H612" s="145">
        <f t="shared" si="109"/>
        <v>85.535078595200005</v>
      </c>
      <c r="I612" s="145">
        <f t="shared" si="106"/>
        <v>85.535078595200005</v>
      </c>
    </row>
    <row r="613" spans="1:9" s="8" customFormat="1">
      <c r="A613" s="33" t="s">
        <v>802</v>
      </c>
      <c r="B613" s="204" t="s">
        <v>803</v>
      </c>
      <c r="C613" s="41" t="s">
        <v>111</v>
      </c>
      <c r="D613" s="81">
        <f>D620</f>
        <v>7.0299999999999994</v>
      </c>
      <c r="E613" s="37">
        <v>1150</v>
      </c>
      <c r="F613" s="37"/>
      <c r="G613" s="145">
        <f t="shared" ref="G613" si="110">D613*E613</f>
        <v>8084.4999999999991</v>
      </c>
      <c r="H613" s="145"/>
      <c r="I613" s="145">
        <f t="shared" ref="I613" si="111">G613+H613</f>
        <v>8084.4999999999991</v>
      </c>
    </row>
    <row r="614" spans="1:9" s="7" customFormat="1">
      <c r="A614" s="33" t="s">
        <v>804</v>
      </c>
      <c r="B614" s="204" t="s">
        <v>805</v>
      </c>
      <c r="C614" s="41" t="s">
        <v>42</v>
      </c>
      <c r="D614" s="81">
        <f>(4*13.15+2*6.71+4*12.15+2*7.72+4*14.02+2*7.58)/1000*1.04</f>
        <v>0.20935199999999998</v>
      </c>
      <c r="E614" s="37"/>
      <c r="F614" s="37">
        <v>41800</v>
      </c>
      <c r="G614" s="145"/>
      <c r="H614" s="145">
        <f t="shared" si="105"/>
        <v>8750.9135999999999</v>
      </c>
      <c r="I614" s="145">
        <f t="shared" si="106"/>
        <v>8750.9135999999999</v>
      </c>
    </row>
    <row r="615" spans="1:9" s="7" customFormat="1">
      <c r="A615" s="33" t="s">
        <v>809</v>
      </c>
      <c r="B615" s="204" t="s">
        <v>806</v>
      </c>
      <c r="C615" s="41" t="s">
        <v>42</v>
      </c>
      <c r="D615" s="81">
        <f>(2*4.47+2*1.72+2*4.88+2*1.81+2*5.74+2*2.07)/1000*1.04</f>
        <v>4.3035200000000003E-2</v>
      </c>
      <c r="E615" s="37"/>
      <c r="F615" s="37">
        <v>42200</v>
      </c>
      <c r="G615" s="145"/>
      <c r="H615" s="145">
        <f t="shared" si="105"/>
        <v>1816.0854400000001</v>
      </c>
      <c r="I615" s="145">
        <f t="shared" si="106"/>
        <v>1816.0854400000001</v>
      </c>
    </row>
    <row r="616" spans="1:9" s="7" customFormat="1">
      <c r="A616" s="33" t="s">
        <v>811</v>
      </c>
      <c r="B616" s="204" t="s">
        <v>807</v>
      </c>
      <c r="C616" s="41" t="s">
        <v>42</v>
      </c>
      <c r="D616" s="81">
        <f>(2*1.4+2*1.12+2*1.45+2*1.19+2*1.45+2*1.12)/1000*1.04</f>
        <v>1.6078400000000003E-2</v>
      </c>
      <c r="E616" s="37"/>
      <c r="F616" s="37">
        <v>41400</v>
      </c>
      <c r="G616" s="145"/>
      <c r="H616" s="145">
        <f t="shared" si="105"/>
        <v>665.64576000000011</v>
      </c>
      <c r="I616" s="145">
        <f t="shared" si="106"/>
        <v>665.64576000000011</v>
      </c>
    </row>
    <row r="617" spans="1:9" s="7" customFormat="1">
      <c r="A617" s="33" t="s">
        <v>813</v>
      </c>
      <c r="B617" s="204" t="s">
        <v>808</v>
      </c>
      <c r="C617" s="41" t="s">
        <v>42</v>
      </c>
      <c r="D617" s="81">
        <f>(4*4.41+4*4.03+4*4.03)/1000*1.04</f>
        <v>5.187520000000001E-2</v>
      </c>
      <c r="E617" s="37"/>
      <c r="F617" s="37">
        <v>55400</v>
      </c>
      <c r="G617" s="145"/>
      <c r="H617" s="145">
        <f t="shared" si="105"/>
        <v>2873.8860800000007</v>
      </c>
      <c r="I617" s="145">
        <f t="shared" si="106"/>
        <v>2873.8860800000007</v>
      </c>
    </row>
    <row r="618" spans="1:9" s="7" customFormat="1">
      <c r="A618" s="33" t="s">
        <v>815</v>
      </c>
      <c r="B618" s="204" t="s">
        <v>810</v>
      </c>
      <c r="C618" s="41" t="s">
        <v>20</v>
      </c>
      <c r="D618" s="81">
        <f>4+4+4</f>
        <v>12</v>
      </c>
      <c r="E618" s="37"/>
      <c r="F618" s="37">
        <v>180</v>
      </c>
      <c r="G618" s="145"/>
      <c r="H618" s="145">
        <f t="shared" si="105"/>
        <v>2160</v>
      </c>
      <c r="I618" s="145">
        <f t="shared" si="106"/>
        <v>2160</v>
      </c>
    </row>
    <row r="619" spans="1:9" s="7" customFormat="1">
      <c r="A619" s="33" t="s">
        <v>816</v>
      </c>
      <c r="B619" s="204" t="s">
        <v>812</v>
      </c>
      <c r="C619" s="41" t="s">
        <v>20</v>
      </c>
      <c r="D619" s="81">
        <f>8+8+9</f>
        <v>25</v>
      </c>
      <c r="E619" s="37"/>
      <c r="F619" s="37">
        <v>345</v>
      </c>
      <c r="G619" s="145"/>
      <c r="H619" s="145">
        <f t="shared" si="105"/>
        <v>8625</v>
      </c>
      <c r="I619" s="145">
        <f t="shared" si="106"/>
        <v>8625</v>
      </c>
    </row>
    <row r="620" spans="1:9" s="7" customFormat="1">
      <c r="A620" s="33" t="s">
        <v>2343</v>
      </c>
      <c r="B620" s="204" t="s">
        <v>814</v>
      </c>
      <c r="C620" s="41" t="s">
        <v>111</v>
      </c>
      <c r="D620" s="81">
        <f>2.04+2.34+2.65</f>
        <v>7.0299999999999994</v>
      </c>
      <c r="E620" s="37"/>
      <c r="F620" s="37">
        <v>829</v>
      </c>
      <c r="G620" s="145"/>
      <c r="H620" s="145">
        <f t="shared" si="105"/>
        <v>5827.87</v>
      </c>
      <c r="I620" s="145">
        <f t="shared" si="106"/>
        <v>5827.87</v>
      </c>
    </row>
    <row r="621" spans="1:9" s="7" customFormat="1">
      <c r="A621" s="33" t="s">
        <v>2344</v>
      </c>
      <c r="B621" s="56" t="s">
        <v>304</v>
      </c>
      <c r="C621" s="41" t="s">
        <v>125</v>
      </c>
      <c r="D621" s="81">
        <v>2.492251424</v>
      </c>
      <c r="E621" s="37"/>
      <c r="F621" s="37">
        <v>65</v>
      </c>
      <c r="G621" s="145"/>
      <c r="H621" s="145">
        <f t="shared" si="105"/>
        <v>161.99634255999999</v>
      </c>
      <c r="I621" s="145">
        <f t="shared" si="106"/>
        <v>161.99634255999999</v>
      </c>
    </row>
    <row r="622" spans="1:9" s="7" customFormat="1">
      <c r="A622" s="33" t="s">
        <v>2345</v>
      </c>
      <c r="B622" s="56" t="s">
        <v>305</v>
      </c>
      <c r="C622" s="41" t="s">
        <v>125</v>
      </c>
      <c r="D622" s="81">
        <v>2.1590969919999998</v>
      </c>
      <c r="E622" s="37"/>
      <c r="F622" s="37">
        <v>88.45</v>
      </c>
      <c r="G622" s="145"/>
      <c r="H622" s="145">
        <f t="shared" si="105"/>
        <v>190.97212894239999</v>
      </c>
      <c r="I622" s="145">
        <f t="shared" si="106"/>
        <v>190.97212894239999</v>
      </c>
    </row>
    <row r="623" spans="1:9" s="8" customFormat="1">
      <c r="A623" s="33" t="s">
        <v>817</v>
      </c>
      <c r="B623" s="56" t="s">
        <v>818</v>
      </c>
      <c r="C623" s="41" t="s">
        <v>20</v>
      </c>
      <c r="D623" s="81">
        <v>4</v>
      </c>
      <c r="E623" s="37">
        <v>1100</v>
      </c>
      <c r="F623" s="37"/>
      <c r="G623" s="145">
        <f t="shared" si="107"/>
        <v>4400</v>
      </c>
      <c r="H623" s="145"/>
      <c r="I623" s="145">
        <f t="shared" si="106"/>
        <v>4400</v>
      </c>
    </row>
    <row r="624" spans="1:9" s="8" customFormat="1">
      <c r="A624" s="33" t="s">
        <v>819</v>
      </c>
      <c r="B624" s="56" t="s">
        <v>820</v>
      </c>
      <c r="C624" s="41" t="s">
        <v>111</v>
      </c>
      <c r="D624" s="81">
        <f>(0.6+0.6)*(0.6+0.6)*D623</f>
        <v>5.76</v>
      </c>
      <c r="E624" s="37"/>
      <c r="F624" s="37">
        <v>240</v>
      </c>
      <c r="G624" s="145"/>
      <c r="H624" s="145">
        <f t="shared" ref="H624:H627" si="112">D624*F624</f>
        <v>1382.3999999999999</v>
      </c>
      <c r="I624" s="145">
        <f t="shared" ref="I624:I627" si="113">G624+H624</f>
        <v>1382.3999999999999</v>
      </c>
    </row>
    <row r="625" spans="1:9" s="8" customFormat="1" ht="27.6">
      <c r="A625" s="33" t="s">
        <v>821</v>
      </c>
      <c r="B625" s="56" t="s">
        <v>729</v>
      </c>
      <c r="C625" s="41" t="s">
        <v>9</v>
      </c>
      <c r="D625" s="81">
        <f>D624*0.15</f>
        <v>0.86399999999999999</v>
      </c>
      <c r="E625" s="37"/>
      <c r="F625" s="37">
        <v>4990</v>
      </c>
      <c r="G625" s="145"/>
      <c r="H625" s="145">
        <f t="shared" si="112"/>
        <v>4311.3599999999997</v>
      </c>
      <c r="I625" s="145">
        <f t="shared" si="113"/>
        <v>4311.3599999999997</v>
      </c>
    </row>
    <row r="626" spans="1:9" s="8" customFormat="1">
      <c r="A626" s="33" t="s">
        <v>822</v>
      </c>
      <c r="B626" s="56" t="s">
        <v>823</v>
      </c>
      <c r="C626" s="41" t="s">
        <v>332</v>
      </c>
      <c r="D626" s="81">
        <f>D623</f>
        <v>4</v>
      </c>
      <c r="E626" s="37"/>
      <c r="F626" s="37">
        <v>225</v>
      </c>
      <c r="G626" s="145"/>
      <c r="H626" s="145">
        <f t="shared" si="112"/>
        <v>900</v>
      </c>
      <c r="I626" s="145">
        <f t="shared" si="113"/>
        <v>900</v>
      </c>
    </row>
    <row r="627" spans="1:9" s="8" customFormat="1">
      <c r="A627" s="33" t="s">
        <v>824</v>
      </c>
      <c r="B627" s="56" t="s">
        <v>685</v>
      </c>
      <c r="C627" s="41" t="s">
        <v>20</v>
      </c>
      <c r="D627" s="81">
        <f>D623</f>
        <v>4</v>
      </c>
      <c r="E627" s="37"/>
      <c r="F627" s="37">
        <v>350</v>
      </c>
      <c r="G627" s="145"/>
      <c r="H627" s="145">
        <f t="shared" si="112"/>
        <v>1400</v>
      </c>
      <c r="I627" s="145">
        <f t="shared" si="113"/>
        <v>1400</v>
      </c>
    </row>
    <row r="628" spans="1:9" s="8" customFormat="1" ht="13.8">
      <c r="A628" s="27"/>
      <c r="B628" s="427" t="s">
        <v>2085</v>
      </c>
      <c r="C628" s="533" t="s">
        <v>2346</v>
      </c>
      <c r="D628" s="534"/>
      <c r="E628" s="534"/>
      <c r="F628" s="535"/>
      <c r="G628" s="32">
        <f>SUM(G492:G627)</f>
        <v>752654.18923076929</v>
      </c>
      <c r="H628" s="32">
        <f t="shared" ref="H628:I628" si="114">SUM(H492:H627)</f>
        <v>2770964.4167529112</v>
      </c>
      <c r="I628" s="32">
        <f t="shared" si="114"/>
        <v>3523618.6059836787</v>
      </c>
    </row>
    <row r="629" spans="1:9" s="8" customFormat="1" ht="13.8">
      <c r="A629" s="27"/>
      <c r="B629" s="427" t="s">
        <v>2088</v>
      </c>
      <c r="C629" s="530"/>
      <c r="D629" s="531"/>
      <c r="E629" s="531"/>
      <c r="F629" s="532"/>
      <c r="G629" s="32">
        <f>PRODUCT(G628,1/1.2,0.2)</f>
        <v>125442.3648717949</v>
      </c>
      <c r="H629" s="32">
        <f>PRODUCT(H628,1/1.2,0.2)</f>
        <v>461827.40279215196</v>
      </c>
      <c r="I629" s="32">
        <f>PRODUCT(I628,1/1.2,0.2)</f>
        <v>587269.76766394649</v>
      </c>
    </row>
    <row r="630" spans="1:9" s="11" customFormat="1">
      <c r="A630" s="207"/>
      <c r="B630" s="208" t="s">
        <v>2347</v>
      </c>
      <c r="C630" s="209"/>
      <c r="D630" s="210"/>
      <c r="E630" s="31"/>
      <c r="F630" s="211"/>
      <c r="G630" s="212"/>
      <c r="H630" s="212"/>
      <c r="I630" s="212"/>
    </row>
    <row r="631" spans="1:9" s="12" customFormat="1">
      <c r="A631" s="213" t="s">
        <v>825</v>
      </c>
      <c r="B631" s="216" t="s">
        <v>826</v>
      </c>
      <c r="C631" s="214" t="s">
        <v>111</v>
      </c>
      <c r="D631" s="215">
        <f>D635</f>
        <v>4.0599999999999996</v>
      </c>
      <c r="E631" s="37">
        <v>370</v>
      </c>
      <c r="F631" s="37"/>
      <c r="G631" s="145">
        <f t="shared" ref="G631" si="115">D631*E631</f>
        <v>1502.1999999999998</v>
      </c>
      <c r="H631" s="145"/>
      <c r="I631" s="145">
        <f t="shared" ref="I631" si="116">G631+H631</f>
        <v>1502.1999999999998</v>
      </c>
    </row>
    <row r="632" spans="1:9" s="11" customFormat="1">
      <c r="A632" s="213" t="s">
        <v>827</v>
      </c>
      <c r="B632" s="216" t="s">
        <v>828</v>
      </c>
      <c r="C632" s="214" t="s">
        <v>42</v>
      </c>
      <c r="D632" s="215">
        <f>(2*4.19+2*2.03+2*1.9)*2/1000*1.04</f>
        <v>3.3779200000000002E-2</v>
      </c>
      <c r="E632" s="37"/>
      <c r="F632" s="37">
        <v>45000</v>
      </c>
      <c r="G632" s="145"/>
      <c r="H632" s="145">
        <f t="shared" ref="H632:H639" si="117">D632*F632</f>
        <v>1520.0640000000001</v>
      </c>
      <c r="I632" s="145">
        <f t="shared" ref="I632:I639" si="118">G632+H632</f>
        <v>1520.0640000000001</v>
      </c>
    </row>
    <row r="633" spans="1:9" s="11" customFormat="1">
      <c r="A633" s="213" t="s">
        <v>829</v>
      </c>
      <c r="B633" s="216" t="s">
        <v>828</v>
      </c>
      <c r="C633" s="214" t="s">
        <v>42</v>
      </c>
      <c r="D633" s="215">
        <f>(4*4.06+2*0.54+2*0.07)*2/1000*1.04</f>
        <v>3.6316800000000003E-2</v>
      </c>
      <c r="E633" s="37"/>
      <c r="F633" s="37">
        <v>45000</v>
      </c>
      <c r="G633" s="145"/>
      <c r="H633" s="145">
        <f t="shared" si="117"/>
        <v>1634.2560000000001</v>
      </c>
      <c r="I633" s="145">
        <f t="shared" si="118"/>
        <v>1634.2560000000001</v>
      </c>
    </row>
    <row r="634" spans="1:9" s="11" customFormat="1">
      <c r="A634" s="213" t="s">
        <v>830</v>
      </c>
      <c r="B634" s="216" t="s">
        <v>828</v>
      </c>
      <c r="C634" s="214" t="s">
        <v>42</v>
      </c>
      <c r="D634" s="215">
        <f>(1*2.03+1*1.97+1*0.69+1*0.32+1*0.2)*2*2/1000*1.04</f>
        <v>2.1673600000000001E-2</v>
      </c>
      <c r="E634" s="37"/>
      <c r="F634" s="37">
        <v>45000</v>
      </c>
      <c r="G634" s="145"/>
      <c r="H634" s="145">
        <f t="shared" si="117"/>
        <v>975.31200000000001</v>
      </c>
      <c r="I634" s="145">
        <f t="shared" si="118"/>
        <v>975.31200000000001</v>
      </c>
    </row>
    <row r="635" spans="1:9" s="11" customFormat="1">
      <c r="A635" s="213" t="s">
        <v>831</v>
      </c>
      <c r="B635" s="216" t="s">
        <v>832</v>
      </c>
      <c r="C635" s="214" t="s">
        <v>111</v>
      </c>
      <c r="D635" s="215">
        <f>2.03*2</f>
        <v>4.0599999999999996</v>
      </c>
      <c r="E635" s="37"/>
      <c r="F635" s="37">
        <v>1567.45</v>
      </c>
      <c r="G635" s="145"/>
      <c r="H635" s="145">
        <f t="shared" si="117"/>
        <v>6363.8469999999998</v>
      </c>
      <c r="I635" s="145">
        <f t="shared" si="118"/>
        <v>6363.8469999999998</v>
      </c>
    </row>
    <row r="636" spans="1:9" s="11" customFormat="1">
      <c r="A636" s="213" t="s">
        <v>833</v>
      </c>
      <c r="B636" s="216" t="s">
        <v>834</v>
      </c>
      <c r="C636" s="214" t="s">
        <v>20</v>
      </c>
      <c r="D636" s="215">
        <f>7*2</f>
        <v>14</v>
      </c>
      <c r="E636" s="37"/>
      <c r="F636" s="37">
        <v>178.5</v>
      </c>
      <c r="G636" s="145"/>
      <c r="H636" s="145">
        <f t="shared" si="117"/>
        <v>2499</v>
      </c>
      <c r="I636" s="145">
        <f t="shared" si="118"/>
        <v>2499</v>
      </c>
    </row>
    <row r="637" spans="1:9" s="11" customFormat="1">
      <c r="A637" s="213" t="s">
        <v>835</v>
      </c>
      <c r="B637" s="216" t="s">
        <v>836</v>
      </c>
      <c r="C637" s="214" t="s">
        <v>20</v>
      </c>
      <c r="D637" s="215">
        <f>2*2</f>
        <v>4</v>
      </c>
      <c r="E637" s="37"/>
      <c r="F637" s="37">
        <v>50</v>
      </c>
      <c r="G637" s="145"/>
      <c r="H637" s="145">
        <f t="shared" si="117"/>
        <v>200</v>
      </c>
      <c r="I637" s="145">
        <f t="shared" si="118"/>
        <v>200</v>
      </c>
    </row>
    <row r="638" spans="1:9" s="11" customFormat="1">
      <c r="A638" s="213" t="s">
        <v>837</v>
      </c>
      <c r="B638" s="216" t="s">
        <v>225</v>
      </c>
      <c r="C638" s="214" t="s">
        <v>125</v>
      </c>
      <c r="D638" s="215">
        <f>3.89*2*(D632+D633+D634)</f>
        <v>0.71396748800000009</v>
      </c>
      <c r="E638" s="37"/>
      <c r="F638" s="37">
        <v>65</v>
      </c>
      <c r="G638" s="145"/>
      <c r="H638" s="145">
        <f t="shared" si="117"/>
        <v>46.407886720000008</v>
      </c>
      <c r="I638" s="145">
        <f t="shared" si="118"/>
        <v>46.407886720000008</v>
      </c>
    </row>
    <row r="639" spans="1:9" s="11" customFormat="1">
      <c r="A639" s="213" t="s">
        <v>838</v>
      </c>
      <c r="B639" s="216" t="s">
        <v>226</v>
      </c>
      <c r="C639" s="214" t="s">
        <v>125</v>
      </c>
      <c r="D639" s="215">
        <f>3.37*2*(D632+D633+D634)</f>
        <v>0.61852710400000011</v>
      </c>
      <c r="E639" s="37"/>
      <c r="F639" s="37">
        <v>88.45</v>
      </c>
      <c r="G639" s="145"/>
      <c r="H639" s="145">
        <f t="shared" si="117"/>
        <v>54.708722348800009</v>
      </c>
      <c r="I639" s="145">
        <f t="shared" si="118"/>
        <v>54.708722348800009</v>
      </c>
    </row>
    <row r="640" spans="1:9" s="12" customFormat="1">
      <c r="A640" s="213" t="s">
        <v>839</v>
      </c>
      <c r="B640" s="216" t="s">
        <v>840</v>
      </c>
      <c r="C640" s="214" t="s">
        <v>111</v>
      </c>
      <c r="D640" s="215">
        <f>D653</f>
        <v>14.36</v>
      </c>
      <c r="E640" s="37">
        <v>370</v>
      </c>
      <c r="F640" s="37"/>
      <c r="G640" s="145">
        <f t="shared" ref="G640" si="119">D640*E640</f>
        <v>5313.2</v>
      </c>
      <c r="H640" s="145"/>
      <c r="I640" s="145">
        <f t="shared" ref="I640" si="120">G640+H640</f>
        <v>5313.2</v>
      </c>
    </row>
    <row r="641" spans="1:9" s="11" customFormat="1">
      <c r="A641" s="213" t="s">
        <v>841</v>
      </c>
      <c r="B641" s="216" t="s">
        <v>828</v>
      </c>
      <c r="C641" s="214" t="s">
        <v>42</v>
      </c>
      <c r="D641" s="215">
        <f>(2*6.24+2*2.48+3*2.35+4*1.48)*2/1000*1.04</f>
        <v>6.3252800000000012E-2</v>
      </c>
      <c r="E641" s="37"/>
      <c r="F641" s="37">
        <v>45000</v>
      </c>
      <c r="G641" s="145"/>
      <c r="H641" s="145">
        <f t="shared" ref="H641:H657" si="121">D641*F641</f>
        <v>2846.3760000000007</v>
      </c>
      <c r="I641" s="145">
        <f t="shared" ref="I641:I657" si="122">G641+H641</f>
        <v>2846.3760000000007</v>
      </c>
    </row>
    <row r="642" spans="1:9" s="11" customFormat="1">
      <c r="A642" s="213" t="s">
        <v>842</v>
      </c>
      <c r="B642" s="216" t="s">
        <v>843</v>
      </c>
      <c r="C642" s="214" t="s">
        <v>42</v>
      </c>
      <c r="D642" s="215">
        <f>(1*26.11)*2/1000*1.04</f>
        <v>5.4308799999999997E-2</v>
      </c>
      <c r="E642" s="37"/>
      <c r="F642" s="37">
        <v>45000</v>
      </c>
      <c r="G642" s="145"/>
      <c r="H642" s="145">
        <f t="shared" si="121"/>
        <v>2443.8959999999997</v>
      </c>
      <c r="I642" s="145">
        <f t="shared" si="122"/>
        <v>2443.8959999999997</v>
      </c>
    </row>
    <row r="643" spans="1:9" s="11" customFormat="1">
      <c r="A643" s="213" t="s">
        <v>849</v>
      </c>
      <c r="B643" s="216" t="s">
        <v>844</v>
      </c>
      <c r="C643" s="214" t="s">
        <v>42</v>
      </c>
      <c r="D643" s="215">
        <f>(5*1.83)*2/1000*1.04</f>
        <v>1.9032E-2</v>
      </c>
      <c r="E643" s="37"/>
      <c r="F643" s="37">
        <v>45000</v>
      </c>
      <c r="G643" s="145"/>
      <c r="H643" s="145">
        <f t="shared" si="121"/>
        <v>856.44</v>
      </c>
      <c r="I643" s="145">
        <f t="shared" si="122"/>
        <v>856.44</v>
      </c>
    </row>
    <row r="644" spans="1:9" s="11" customFormat="1">
      <c r="A644" s="213" t="s">
        <v>850</v>
      </c>
      <c r="B644" s="216" t="s">
        <v>807</v>
      </c>
      <c r="C644" s="214" t="s">
        <v>42</v>
      </c>
      <c r="D644" s="215">
        <f>(3*8.16+13*2.68)*2/1000*1.04</f>
        <v>0.12338560000000001</v>
      </c>
      <c r="E644" s="37"/>
      <c r="F644" s="37">
        <v>41400</v>
      </c>
      <c r="G644" s="145"/>
      <c r="H644" s="145">
        <f t="shared" si="121"/>
        <v>5108.1638400000002</v>
      </c>
      <c r="I644" s="145">
        <f t="shared" si="122"/>
        <v>5108.1638400000002</v>
      </c>
    </row>
    <row r="645" spans="1:9" s="11" customFormat="1">
      <c r="A645" s="213" t="s">
        <v>851</v>
      </c>
      <c r="B645" s="216" t="s">
        <v>845</v>
      </c>
      <c r="C645" s="214" t="s">
        <v>42</v>
      </c>
      <c r="D645" s="215">
        <f>(3*1.37+1*1.29+1*0.37+3*0.14)*2/1000*1.04</f>
        <v>1.2875200000000002E-2</v>
      </c>
      <c r="E645" s="37"/>
      <c r="F645" s="37">
        <v>46000</v>
      </c>
      <c r="G645" s="145"/>
      <c r="H645" s="145">
        <f t="shared" si="121"/>
        <v>592.25920000000008</v>
      </c>
      <c r="I645" s="145">
        <f t="shared" si="122"/>
        <v>592.25920000000008</v>
      </c>
    </row>
    <row r="646" spans="1:9" s="11" customFormat="1">
      <c r="A646" s="213" t="s">
        <v>852</v>
      </c>
      <c r="B646" s="216" t="s">
        <v>846</v>
      </c>
      <c r="C646" s="214" t="s">
        <v>42</v>
      </c>
      <c r="D646" s="215">
        <f>(5*1.81)/1000*1.04</f>
        <v>9.412000000000002E-3</v>
      </c>
      <c r="E646" s="37"/>
      <c r="F646" s="37">
        <v>55400</v>
      </c>
      <c r="G646" s="145"/>
      <c r="H646" s="145">
        <f t="shared" si="121"/>
        <v>521.42480000000012</v>
      </c>
      <c r="I646" s="145">
        <f t="shared" si="122"/>
        <v>521.42480000000012</v>
      </c>
    </row>
    <row r="647" spans="1:9" s="11" customFormat="1">
      <c r="A647" s="213" t="s">
        <v>853</v>
      </c>
      <c r="B647" s="216" t="s">
        <v>847</v>
      </c>
      <c r="C647" s="214" t="s">
        <v>42</v>
      </c>
      <c r="D647" s="215">
        <f>(1*1.11)/1000*1.04</f>
        <v>1.1544000000000001E-3</v>
      </c>
      <c r="E647" s="37"/>
      <c r="F647" s="37">
        <v>55400</v>
      </c>
      <c r="G647" s="145"/>
      <c r="H647" s="145">
        <f t="shared" si="121"/>
        <v>63.953760000000003</v>
      </c>
      <c r="I647" s="145">
        <f t="shared" si="122"/>
        <v>63.953760000000003</v>
      </c>
    </row>
    <row r="648" spans="1:9" s="11" customFormat="1">
      <c r="A648" s="213" t="s">
        <v>854</v>
      </c>
      <c r="B648" s="216" t="s">
        <v>848</v>
      </c>
      <c r="C648" s="214" t="s">
        <v>42</v>
      </c>
      <c r="D648" s="215">
        <f>(2*0.25)/1000*1.04</f>
        <v>5.2000000000000006E-4</v>
      </c>
      <c r="E648" s="37"/>
      <c r="F648" s="37">
        <v>54600</v>
      </c>
      <c r="G648" s="145"/>
      <c r="H648" s="145">
        <f t="shared" si="121"/>
        <v>28.392000000000003</v>
      </c>
      <c r="I648" s="145">
        <f t="shared" si="122"/>
        <v>28.392000000000003</v>
      </c>
    </row>
    <row r="649" spans="1:9" s="11" customFormat="1">
      <c r="A649" s="213" t="s">
        <v>855</v>
      </c>
      <c r="B649" s="216" t="s">
        <v>807</v>
      </c>
      <c r="C649" s="214" t="s">
        <v>42</v>
      </c>
      <c r="D649" s="215">
        <f>(1*3.27+1*3.13)*3*2/1000*1.04</f>
        <v>3.9936000000000006E-2</v>
      </c>
      <c r="E649" s="37"/>
      <c r="F649" s="37">
        <v>41400</v>
      </c>
      <c r="G649" s="145"/>
      <c r="H649" s="145">
        <f t="shared" si="121"/>
        <v>1653.3504000000003</v>
      </c>
      <c r="I649" s="145">
        <f t="shared" si="122"/>
        <v>1653.3504000000003</v>
      </c>
    </row>
    <row r="650" spans="1:9" s="11" customFormat="1">
      <c r="A650" s="213" t="s">
        <v>2349</v>
      </c>
      <c r="B650" s="216" t="s">
        <v>845</v>
      </c>
      <c r="C650" s="214" t="s">
        <v>42</v>
      </c>
      <c r="D650" s="215">
        <f>(1*1.58+1*0.45+1*0.42)*3*2/1000*1.04</f>
        <v>1.5288000000000001E-2</v>
      </c>
      <c r="E650" s="37"/>
      <c r="F650" s="37">
        <v>46000</v>
      </c>
      <c r="G650" s="145"/>
      <c r="H650" s="145">
        <f t="shared" si="121"/>
        <v>703.24800000000005</v>
      </c>
      <c r="I650" s="145">
        <f t="shared" si="122"/>
        <v>703.24800000000005</v>
      </c>
    </row>
    <row r="651" spans="1:9" s="11" customFormat="1">
      <c r="A651" s="213" t="s">
        <v>2350</v>
      </c>
      <c r="B651" s="216" t="s">
        <v>807</v>
      </c>
      <c r="C651" s="214" t="s">
        <v>42</v>
      </c>
      <c r="D651" s="215">
        <f>(1*3.27+1*3.13)*2/1000*1.04</f>
        <v>1.3312000000000001E-2</v>
      </c>
      <c r="E651" s="37"/>
      <c r="F651" s="37">
        <v>41400</v>
      </c>
      <c r="G651" s="145"/>
      <c r="H651" s="145">
        <f t="shared" si="121"/>
        <v>551.11680000000001</v>
      </c>
      <c r="I651" s="145">
        <f t="shared" si="122"/>
        <v>551.11680000000001</v>
      </c>
    </row>
    <row r="652" spans="1:9" s="11" customFormat="1">
      <c r="A652" s="213" t="s">
        <v>2351</v>
      </c>
      <c r="B652" s="216" t="s">
        <v>845</v>
      </c>
      <c r="C652" s="214" t="s">
        <v>42</v>
      </c>
      <c r="D652" s="215">
        <f>(1*0.85+1*0.45+1*0.42)*2/1000*1.04</f>
        <v>3.5776000000000002E-3</v>
      </c>
      <c r="E652" s="37"/>
      <c r="F652" s="37">
        <v>46000</v>
      </c>
      <c r="G652" s="145"/>
      <c r="H652" s="145">
        <f t="shared" si="121"/>
        <v>164.56960000000001</v>
      </c>
      <c r="I652" s="145">
        <f t="shared" si="122"/>
        <v>164.56960000000001</v>
      </c>
    </row>
    <row r="653" spans="1:9" s="11" customFormat="1">
      <c r="A653" s="213" t="s">
        <v>2352</v>
      </c>
      <c r="B653" s="216" t="s">
        <v>2348</v>
      </c>
      <c r="C653" s="214" t="s">
        <v>111</v>
      </c>
      <c r="D653" s="215">
        <f>7.18*2</f>
        <v>14.36</v>
      </c>
      <c r="E653" s="37"/>
      <c r="F653" s="37">
        <v>1567.45</v>
      </c>
      <c r="G653" s="145"/>
      <c r="H653" s="145">
        <f t="shared" si="121"/>
        <v>22508.581999999999</v>
      </c>
      <c r="I653" s="145">
        <f t="shared" si="122"/>
        <v>22508.581999999999</v>
      </c>
    </row>
    <row r="654" spans="1:9" s="11" customFormat="1">
      <c r="A654" s="213" t="s">
        <v>2353</v>
      </c>
      <c r="B654" s="216" t="s">
        <v>834</v>
      </c>
      <c r="C654" s="214" t="s">
        <v>20</v>
      </c>
      <c r="D654" s="215">
        <f>34*2</f>
        <v>68</v>
      </c>
      <c r="E654" s="37"/>
      <c r="F654" s="37">
        <v>178.5</v>
      </c>
      <c r="G654" s="145"/>
      <c r="H654" s="145">
        <f t="shared" si="121"/>
        <v>12138</v>
      </c>
      <c r="I654" s="145">
        <f t="shared" si="122"/>
        <v>12138</v>
      </c>
    </row>
    <row r="655" spans="1:9" s="11" customFormat="1">
      <c r="A655" s="213" t="s">
        <v>2354</v>
      </c>
      <c r="B655" s="216" t="s">
        <v>836</v>
      </c>
      <c r="C655" s="214" t="s">
        <v>20</v>
      </c>
      <c r="D655" s="215">
        <f>3*2</f>
        <v>6</v>
      </c>
      <c r="E655" s="37"/>
      <c r="F655" s="37">
        <v>50</v>
      </c>
      <c r="G655" s="145"/>
      <c r="H655" s="145">
        <f t="shared" si="121"/>
        <v>300</v>
      </c>
      <c r="I655" s="145">
        <f t="shared" si="122"/>
        <v>300</v>
      </c>
    </row>
    <row r="656" spans="1:9" s="11" customFormat="1">
      <c r="A656" s="213" t="s">
        <v>2355</v>
      </c>
      <c r="B656" s="216" t="s">
        <v>225</v>
      </c>
      <c r="C656" s="214" t="s">
        <v>125</v>
      </c>
      <c r="D656" s="215">
        <f>3.89*2*(D641+D642+D643+D644+D645+D646+D647+D648+D649+D650+D651+D652)</f>
        <v>2.7701032320000003</v>
      </c>
      <c r="E656" s="37"/>
      <c r="F656" s="37">
        <v>65</v>
      </c>
      <c r="G656" s="145"/>
      <c r="H656" s="145">
        <f t="shared" si="121"/>
        <v>180.05671008000002</v>
      </c>
      <c r="I656" s="145">
        <f t="shared" si="122"/>
        <v>180.05671008000002</v>
      </c>
    </row>
    <row r="657" spans="1:9" s="11" customFormat="1">
      <c r="A657" s="213" t="s">
        <v>2356</v>
      </c>
      <c r="B657" s="216" t="s">
        <v>226</v>
      </c>
      <c r="C657" s="214" t="s">
        <v>125</v>
      </c>
      <c r="D657" s="215">
        <f>3.37*2*(D641+D642+D643+D644+D645+D646+D647+D648+D649+D650+D651+D652)</f>
        <v>2.3998066560000004</v>
      </c>
      <c r="E657" s="37"/>
      <c r="F657" s="37">
        <v>88.45</v>
      </c>
      <c r="G657" s="145"/>
      <c r="H657" s="145">
        <f t="shared" si="121"/>
        <v>212.26289872320004</v>
      </c>
      <c r="I657" s="145">
        <f t="shared" si="122"/>
        <v>212.26289872320004</v>
      </c>
    </row>
    <row r="658" spans="1:9" s="11" customFormat="1">
      <c r="A658" s="213" t="s">
        <v>856</v>
      </c>
      <c r="B658" s="216" t="s">
        <v>857</v>
      </c>
      <c r="C658" s="214" t="s">
        <v>42</v>
      </c>
      <c r="D658" s="215">
        <f>SUM(D659:D664)</f>
        <v>0.4924712</v>
      </c>
      <c r="E658" s="37">
        <v>15000</v>
      </c>
      <c r="F658" s="37"/>
      <c r="G658" s="145">
        <f t="shared" ref="G658" si="123">D658*E658</f>
        <v>7387.0680000000002</v>
      </c>
      <c r="H658" s="145"/>
      <c r="I658" s="145">
        <f t="shared" ref="I658" si="124">G658+H658</f>
        <v>7387.0680000000002</v>
      </c>
    </row>
    <row r="659" spans="1:9" s="11" customFormat="1">
      <c r="A659" s="213" t="s">
        <v>858</v>
      </c>
      <c r="B659" s="216" t="s">
        <v>859</v>
      </c>
      <c r="C659" s="214" t="s">
        <v>42</v>
      </c>
      <c r="D659" s="215">
        <f>7*11.5/1000*1.04</f>
        <v>8.3720000000000003E-2</v>
      </c>
      <c r="E659" s="37"/>
      <c r="F659" s="37">
        <v>62800</v>
      </c>
      <c r="G659" s="145"/>
      <c r="H659" s="145">
        <f t="shared" ref="H659:H724" si="125">D659*F659</f>
        <v>5257.616</v>
      </c>
      <c r="I659" s="145">
        <f t="shared" ref="I659:I724" si="126">G659+H659</f>
        <v>5257.616</v>
      </c>
    </row>
    <row r="660" spans="1:9" s="11" customFormat="1">
      <c r="A660" s="213" t="s">
        <v>860</v>
      </c>
      <c r="B660" s="216" t="s">
        <v>182</v>
      </c>
      <c r="C660" s="214" t="s">
        <v>42</v>
      </c>
      <c r="D660" s="215">
        <f>(25.37*5+5.1*4+4.62*4+2.18*11+0.92*7)/1000*1.04</f>
        <v>0.20399600000000001</v>
      </c>
      <c r="E660" s="37"/>
      <c r="F660" s="37">
        <v>41800</v>
      </c>
      <c r="G660" s="145"/>
      <c r="H660" s="145">
        <f t="shared" si="125"/>
        <v>8527.0328000000009</v>
      </c>
      <c r="I660" s="145">
        <f t="shared" si="126"/>
        <v>8527.0328000000009</v>
      </c>
    </row>
    <row r="661" spans="1:9" s="11" customFormat="1">
      <c r="A661" s="213" t="s">
        <v>861</v>
      </c>
      <c r="B661" s="216" t="s">
        <v>862</v>
      </c>
      <c r="C661" s="214" t="s">
        <v>42</v>
      </c>
      <c r="D661" s="215">
        <f>49.84*2/1000*1.04</f>
        <v>0.10366720000000001</v>
      </c>
      <c r="E661" s="37"/>
      <c r="F661" s="37">
        <v>41400</v>
      </c>
      <c r="G661" s="145"/>
      <c r="H661" s="145">
        <f t="shared" si="125"/>
        <v>4291.8220800000008</v>
      </c>
      <c r="I661" s="145">
        <f t="shared" si="126"/>
        <v>4291.8220800000008</v>
      </c>
    </row>
    <row r="662" spans="1:9" s="11" customFormat="1">
      <c r="A662" s="213" t="s">
        <v>863</v>
      </c>
      <c r="B662" s="216" t="s">
        <v>864</v>
      </c>
      <c r="C662" s="214" t="s">
        <v>42</v>
      </c>
      <c r="D662" s="215">
        <f>3*17.08/1000*1.04</f>
        <v>5.3289599999999993E-2</v>
      </c>
      <c r="E662" s="37"/>
      <c r="F662" s="37">
        <v>41800</v>
      </c>
      <c r="G662" s="145"/>
      <c r="H662" s="145">
        <f t="shared" si="125"/>
        <v>2227.5052799999999</v>
      </c>
      <c r="I662" s="145">
        <f t="shared" si="126"/>
        <v>2227.5052799999999</v>
      </c>
    </row>
    <row r="663" spans="1:9" s="11" customFormat="1">
      <c r="A663" s="213" t="s">
        <v>865</v>
      </c>
      <c r="B663" s="216" t="s">
        <v>828</v>
      </c>
      <c r="C663" s="214" t="s">
        <v>42</v>
      </c>
      <c r="D663" s="215">
        <f>13.05/1000*1.04</f>
        <v>1.3572000000000001E-2</v>
      </c>
      <c r="E663" s="37"/>
      <c r="F663" s="37">
        <v>45000</v>
      </c>
      <c r="G663" s="145"/>
      <c r="H663" s="145">
        <f t="shared" si="125"/>
        <v>610.74</v>
      </c>
      <c r="I663" s="145">
        <f t="shared" si="126"/>
        <v>610.74</v>
      </c>
    </row>
    <row r="664" spans="1:9" s="11" customFormat="1">
      <c r="A664" s="213" t="s">
        <v>866</v>
      </c>
      <c r="B664" s="216" t="s">
        <v>867</v>
      </c>
      <c r="C664" s="214" t="s">
        <v>42</v>
      </c>
      <c r="D664" s="215">
        <f>(2*1.54+2*4.52+7*2.97)/1000*1.04</f>
        <v>3.4226400000000004E-2</v>
      </c>
      <c r="E664" s="37"/>
      <c r="F664" s="37">
        <v>45100</v>
      </c>
      <c r="G664" s="145"/>
      <c r="H664" s="145">
        <f t="shared" si="125"/>
        <v>1543.6106400000001</v>
      </c>
      <c r="I664" s="145">
        <f t="shared" si="126"/>
        <v>1543.6106400000001</v>
      </c>
    </row>
    <row r="665" spans="1:9" s="11" customFormat="1">
      <c r="A665" s="213" t="s">
        <v>868</v>
      </c>
      <c r="B665" s="216" t="s">
        <v>869</v>
      </c>
      <c r="C665" s="214" t="s">
        <v>20</v>
      </c>
      <c r="D665" s="215">
        <v>8</v>
      </c>
      <c r="E665" s="37"/>
      <c r="F665" s="37">
        <v>178.5</v>
      </c>
      <c r="G665" s="145"/>
      <c r="H665" s="145">
        <f t="shared" si="125"/>
        <v>1428</v>
      </c>
      <c r="I665" s="145">
        <f t="shared" si="126"/>
        <v>1428</v>
      </c>
    </row>
    <row r="666" spans="1:9" s="11" customFormat="1">
      <c r="A666" s="213" t="s">
        <v>870</v>
      </c>
      <c r="B666" s="216" t="s">
        <v>871</v>
      </c>
      <c r="C666" s="214" t="s">
        <v>20</v>
      </c>
      <c r="D666" s="215">
        <f>28</f>
        <v>28</v>
      </c>
      <c r="E666" s="37"/>
      <c r="F666" s="37">
        <v>180</v>
      </c>
      <c r="G666" s="145"/>
      <c r="H666" s="145">
        <f t="shared" si="125"/>
        <v>5040</v>
      </c>
      <c r="I666" s="145">
        <f t="shared" si="126"/>
        <v>5040</v>
      </c>
    </row>
    <row r="667" spans="1:9" s="11" customFormat="1">
      <c r="A667" s="213" t="s">
        <v>872</v>
      </c>
      <c r="B667" s="216" t="s">
        <v>873</v>
      </c>
      <c r="C667" s="214" t="s">
        <v>111</v>
      </c>
      <c r="D667" s="215">
        <f>6.61</f>
        <v>6.61</v>
      </c>
      <c r="E667" s="37"/>
      <c r="F667" s="37">
        <v>588</v>
      </c>
      <c r="G667" s="145"/>
      <c r="H667" s="145">
        <f t="shared" si="125"/>
        <v>3886.6800000000003</v>
      </c>
      <c r="I667" s="145">
        <f t="shared" si="126"/>
        <v>3886.6800000000003</v>
      </c>
    </row>
    <row r="668" spans="1:9" s="11" customFormat="1">
      <c r="A668" s="213" t="s">
        <v>874</v>
      </c>
      <c r="B668" s="216" t="s">
        <v>814</v>
      </c>
      <c r="C668" s="214" t="s">
        <v>111</v>
      </c>
      <c r="D668" s="215">
        <f>14.96</f>
        <v>14.96</v>
      </c>
      <c r="E668" s="37"/>
      <c r="F668" s="37">
        <v>829</v>
      </c>
      <c r="G668" s="145"/>
      <c r="H668" s="145">
        <f t="shared" si="125"/>
        <v>12401.84</v>
      </c>
      <c r="I668" s="145">
        <f t="shared" si="126"/>
        <v>12401.84</v>
      </c>
    </row>
    <row r="669" spans="1:9" s="11" customFormat="1">
      <c r="A669" s="213" t="s">
        <v>875</v>
      </c>
      <c r="B669" s="217" t="s">
        <v>876</v>
      </c>
      <c r="C669" s="180" t="s">
        <v>20</v>
      </c>
      <c r="D669" s="218">
        <v>2</v>
      </c>
      <c r="E669" s="219"/>
      <c r="F669" s="37">
        <v>555</v>
      </c>
      <c r="G669" s="145"/>
      <c r="H669" s="145">
        <f t="shared" si="125"/>
        <v>1110</v>
      </c>
      <c r="I669" s="145">
        <f t="shared" si="126"/>
        <v>1110</v>
      </c>
    </row>
    <row r="670" spans="1:9" s="11" customFormat="1">
      <c r="A670" s="213" t="s">
        <v>877</v>
      </c>
      <c r="B670" s="217" t="s">
        <v>878</v>
      </c>
      <c r="C670" s="180" t="s">
        <v>20</v>
      </c>
      <c r="D670" s="218">
        <v>1</v>
      </c>
      <c r="E670" s="219"/>
      <c r="F670" s="37">
        <v>550</v>
      </c>
      <c r="G670" s="145"/>
      <c r="H670" s="145">
        <f t="shared" si="125"/>
        <v>550</v>
      </c>
      <c r="I670" s="145">
        <f t="shared" si="126"/>
        <v>550</v>
      </c>
    </row>
    <row r="671" spans="1:9" s="11" customFormat="1">
      <c r="A671" s="213" t="s">
        <v>879</v>
      </c>
      <c r="B671" s="217" t="s">
        <v>880</v>
      </c>
      <c r="C671" s="220" t="s">
        <v>20</v>
      </c>
      <c r="D671" s="221">
        <f>D669*4</f>
        <v>8</v>
      </c>
      <c r="E671" s="219"/>
      <c r="F671" s="37">
        <v>38</v>
      </c>
      <c r="G671" s="145"/>
      <c r="H671" s="145">
        <f t="shared" si="125"/>
        <v>304</v>
      </c>
      <c r="I671" s="145">
        <f t="shared" si="126"/>
        <v>304</v>
      </c>
    </row>
    <row r="672" spans="1:9" s="11" customFormat="1">
      <c r="A672" s="213" t="s">
        <v>881</v>
      </c>
      <c r="B672" s="217" t="s">
        <v>882</v>
      </c>
      <c r="C672" s="220" t="s">
        <v>20</v>
      </c>
      <c r="D672" s="221">
        <v>1</v>
      </c>
      <c r="E672" s="219"/>
      <c r="F672" s="37">
        <v>96</v>
      </c>
      <c r="G672" s="145"/>
      <c r="H672" s="145">
        <f t="shared" si="125"/>
        <v>96</v>
      </c>
      <c r="I672" s="145">
        <f t="shared" si="126"/>
        <v>96</v>
      </c>
    </row>
    <row r="673" spans="1:9" s="11" customFormat="1">
      <c r="A673" s="213" t="s">
        <v>883</v>
      </c>
      <c r="B673" s="217" t="s">
        <v>884</v>
      </c>
      <c r="C673" s="220" t="s">
        <v>20</v>
      </c>
      <c r="D673" s="221">
        <f>2*D670</f>
        <v>2</v>
      </c>
      <c r="E673" s="219"/>
      <c r="F673" s="37">
        <v>140</v>
      </c>
      <c r="G673" s="145"/>
      <c r="H673" s="145">
        <f t="shared" si="125"/>
        <v>280</v>
      </c>
      <c r="I673" s="145">
        <f t="shared" si="126"/>
        <v>280</v>
      </c>
    </row>
    <row r="674" spans="1:9" s="11" customFormat="1">
      <c r="A674" s="213" t="s">
        <v>885</v>
      </c>
      <c r="B674" s="217" t="s">
        <v>886</v>
      </c>
      <c r="C674" s="220" t="s">
        <v>20</v>
      </c>
      <c r="D674" s="221">
        <v>2</v>
      </c>
      <c r="E674" s="219"/>
      <c r="F674" s="37">
        <v>360</v>
      </c>
      <c r="G674" s="145"/>
      <c r="H674" s="145">
        <f t="shared" si="125"/>
        <v>720</v>
      </c>
      <c r="I674" s="145">
        <f t="shared" si="126"/>
        <v>720</v>
      </c>
    </row>
    <row r="675" spans="1:9" s="11" customFormat="1">
      <c r="A675" s="213" t="s">
        <v>887</v>
      </c>
      <c r="B675" s="217" t="s">
        <v>888</v>
      </c>
      <c r="C675" s="220" t="s">
        <v>20</v>
      </c>
      <c r="D675" s="221">
        <v>1</v>
      </c>
      <c r="E675" s="219"/>
      <c r="F675" s="37">
        <v>650</v>
      </c>
      <c r="G675" s="145"/>
      <c r="H675" s="145">
        <f t="shared" si="125"/>
        <v>650</v>
      </c>
      <c r="I675" s="145">
        <f t="shared" si="126"/>
        <v>650</v>
      </c>
    </row>
    <row r="676" spans="1:9" s="11" customFormat="1">
      <c r="A676" s="213" t="s">
        <v>889</v>
      </c>
      <c r="B676" s="217" t="s">
        <v>890</v>
      </c>
      <c r="C676" s="220" t="s">
        <v>20</v>
      </c>
      <c r="D676" s="221">
        <v>2</v>
      </c>
      <c r="E676" s="219"/>
      <c r="F676" s="37">
        <v>93</v>
      </c>
      <c r="G676" s="145"/>
      <c r="H676" s="145">
        <f t="shared" si="125"/>
        <v>186</v>
      </c>
      <c r="I676" s="145">
        <f t="shared" si="126"/>
        <v>186</v>
      </c>
    </row>
    <row r="677" spans="1:9" s="11" customFormat="1">
      <c r="A677" s="213" t="s">
        <v>891</v>
      </c>
      <c r="B677" s="217" t="s">
        <v>892</v>
      </c>
      <c r="C677" s="220" t="s">
        <v>20</v>
      </c>
      <c r="D677" s="221">
        <v>1</v>
      </c>
      <c r="E677" s="219"/>
      <c r="F677" s="37">
        <v>93</v>
      </c>
      <c r="G677" s="145"/>
      <c r="H677" s="145">
        <f t="shared" si="125"/>
        <v>93</v>
      </c>
      <c r="I677" s="145">
        <f t="shared" si="126"/>
        <v>93</v>
      </c>
    </row>
    <row r="678" spans="1:9" s="11" customFormat="1">
      <c r="A678" s="213" t="s">
        <v>893</v>
      </c>
      <c r="B678" s="216" t="s">
        <v>225</v>
      </c>
      <c r="C678" s="214" t="s">
        <v>125</v>
      </c>
      <c r="D678" s="215">
        <f>3.89*2*(D659+D660+D661+D662+D663+D664)</f>
        <v>3.831425936</v>
      </c>
      <c r="E678" s="37"/>
      <c r="F678" s="37">
        <v>65</v>
      </c>
      <c r="G678" s="145"/>
      <c r="H678" s="145">
        <f t="shared" si="125"/>
        <v>249.04268583999999</v>
      </c>
      <c r="I678" s="145">
        <f t="shared" si="126"/>
        <v>249.04268583999999</v>
      </c>
    </row>
    <row r="679" spans="1:9" s="11" customFormat="1">
      <c r="A679" s="213" t="s">
        <v>894</v>
      </c>
      <c r="B679" s="216" t="s">
        <v>226</v>
      </c>
      <c r="C679" s="214" t="s">
        <v>125</v>
      </c>
      <c r="D679" s="215">
        <f>3.37*2*(D659+D660+D661+D662+D663+D664)</f>
        <v>3.3192558880000003</v>
      </c>
      <c r="E679" s="37"/>
      <c r="F679" s="37">
        <v>88.45</v>
      </c>
      <c r="G679" s="145"/>
      <c r="H679" s="145">
        <f t="shared" si="125"/>
        <v>293.58818329360003</v>
      </c>
      <c r="I679" s="145">
        <f t="shared" si="126"/>
        <v>293.58818329360003</v>
      </c>
    </row>
    <row r="680" spans="1:9" s="11" customFormat="1">
      <c r="A680" s="213" t="s">
        <v>895</v>
      </c>
      <c r="B680" s="216" t="s">
        <v>896</v>
      </c>
      <c r="C680" s="214" t="s">
        <v>42</v>
      </c>
      <c r="D680" s="215">
        <f>SUM(D681:D682)</f>
        <v>0.11771760000000001</v>
      </c>
      <c r="E680" s="37">
        <v>15000</v>
      </c>
      <c r="F680" s="37"/>
      <c r="G680" s="145">
        <f t="shared" ref="G680" si="127">D680*E680</f>
        <v>1765.7640000000001</v>
      </c>
      <c r="H680" s="145"/>
      <c r="I680" s="145">
        <f t="shared" si="126"/>
        <v>1765.7640000000001</v>
      </c>
    </row>
    <row r="681" spans="1:9" s="11" customFormat="1">
      <c r="A681" s="213" t="s">
        <v>897</v>
      </c>
      <c r="B681" s="216" t="s">
        <v>859</v>
      </c>
      <c r="C681" s="214" t="s">
        <v>42</v>
      </c>
      <c r="D681" s="215">
        <f>2.68*5/1000*1.04</f>
        <v>1.3936E-2</v>
      </c>
      <c r="E681" s="37"/>
      <c r="F681" s="37">
        <v>62800</v>
      </c>
      <c r="G681" s="145"/>
      <c r="H681" s="145">
        <f t="shared" si="125"/>
        <v>875.18079999999998</v>
      </c>
      <c r="I681" s="145">
        <f t="shared" si="126"/>
        <v>875.18079999999998</v>
      </c>
    </row>
    <row r="682" spans="1:9" s="11" customFormat="1">
      <c r="A682" s="213" t="s">
        <v>898</v>
      </c>
      <c r="B682" s="216" t="s">
        <v>182</v>
      </c>
      <c r="C682" s="214" t="s">
        <v>42</v>
      </c>
      <c r="D682" s="215">
        <f>(2*0.44+5*0.93+2*1.74+3*2.52+7*2.18+5.67*2+14.13*2+14.18*2)/1000*1.04</f>
        <v>0.1037816</v>
      </c>
      <c r="E682" s="37"/>
      <c r="F682" s="37">
        <v>41800</v>
      </c>
      <c r="G682" s="145"/>
      <c r="H682" s="145">
        <f t="shared" si="125"/>
        <v>4338.0708800000002</v>
      </c>
      <c r="I682" s="145">
        <f t="shared" si="126"/>
        <v>4338.0708800000002</v>
      </c>
    </row>
    <row r="683" spans="1:9" s="11" customFormat="1">
      <c r="A683" s="213" t="s">
        <v>899</v>
      </c>
      <c r="B683" s="216" t="s">
        <v>871</v>
      </c>
      <c r="C683" s="214" t="s">
        <v>20</v>
      </c>
      <c r="D683" s="215">
        <v>28</v>
      </c>
      <c r="E683" s="37"/>
      <c r="F683" s="37">
        <v>180</v>
      </c>
      <c r="G683" s="145"/>
      <c r="H683" s="145">
        <f t="shared" si="125"/>
        <v>5040</v>
      </c>
      <c r="I683" s="145">
        <f t="shared" si="126"/>
        <v>5040</v>
      </c>
    </row>
    <row r="684" spans="1:9" s="11" customFormat="1">
      <c r="A684" s="213" t="s">
        <v>900</v>
      </c>
      <c r="B684" s="216" t="s">
        <v>873</v>
      </c>
      <c r="C684" s="214" t="s">
        <v>111</v>
      </c>
      <c r="D684" s="215">
        <v>0.86</v>
      </c>
      <c r="E684" s="37"/>
      <c r="F684" s="37">
        <v>588</v>
      </c>
      <c r="G684" s="145"/>
      <c r="H684" s="145">
        <f t="shared" si="125"/>
        <v>505.68</v>
      </c>
      <c r="I684" s="145">
        <f t="shared" si="126"/>
        <v>505.68</v>
      </c>
    </row>
    <row r="685" spans="1:9" s="11" customFormat="1">
      <c r="A685" s="213" t="s">
        <v>901</v>
      </c>
      <c r="B685" s="217" t="s">
        <v>876</v>
      </c>
      <c r="C685" s="180" t="s">
        <v>20</v>
      </c>
      <c r="D685" s="222">
        <v>2</v>
      </c>
      <c r="E685" s="219"/>
      <c r="F685" s="37">
        <v>555</v>
      </c>
      <c r="G685" s="145"/>
      <c r="H685" s="145">
        <f t="shared" si="125"/>
        <v>1110</v>
      </c>
      <c r="I685" s="145">
        <f t="shared" si="126"/>
        <v>1110</v>
      </c>
    </row>
    <row r="686" spans="1:9" s="11" customFormat="1">
      <c r="A686" s="213" t="s">
        <v>902</v>
      </c>
      <c r="B686" s="217" t="s">
        <v>878</v>
      </c>
      <c r="C686" s="180" t="s">
        <v>20</v>
      </c>
      <c r="D686" s="222">
        <v>1</v>
      </c>
      <c r="E686" s="219"/>
      <c r="F686" s="37">
        <v>550</v>
      </c>
      <c r="G686" s="145"/>
      <c r="H686" s="145">
        <f t="shared" si="125"/>
        <v>550</v>
      </c>
      <c r="I686" s="145">
        <f t="shared" si="126"/>
        <v>550</v>
      </c>
    </row>
    <row r="687" spans="1:9" s="11" customFormat="1">
      <c r="A687" s="213" t="s">
        <v>903</v>
      </c>
      <c r="B687" s="217" t="s">
        <v>882</v>
      </c>
      <c r="C687" s="220" t="s">
        <v>20</v>
      </c>
      <c r="D687" s="221">
        <v>1</v>
      </c>
      <c r="E687" s="219"/>
      <c r="F687" s="37">
        <v>38</v>
      </c>
      <c r="G687" s="145"/>
      <c r="H687" s="145">
        <f t="shared" si="125"/>
        <v>38</v>
      </c>
      <c r="I687" s="145">
        <f t="shared" si="126"/>
        <v>38</v>
      </c>
    </row>
    <row r="688" spans="1:9" s="11" customFormat="1">
      <c r="A688" s="213" t="s">
        <v>904</v>
      </c>
      <c r="B688" s="217" t="s">
        <v>880</v>
      </c>
      <c r="C688" s="220" t="s">
        <v>20</v>
      </c>
      <c r="D688" s="223">
        <f>D685*4</f>
        <v>8</v>
      </c>
      <c r="E688" s="219"/>
      <c r="F688" s="37">
        <v>96</v>
      </c>
      <c r="G688" s="145"/>
      <c r="H688" s="145">
        <f t="shared" si="125"/>
        <v>768</v>
      </c>
      <c r="I688" s="145">
        <f t="shared" si="126"/>
        <v>768</v>
      </c>
    </row>
    <row r="689" spans="1:9" s="11" customFormat="1">
      <c r="A689" s="213" t="s">
        <v>905</v>
      </c>
      <c r="B689" s="217" t="s">
        <v>884</v>
      </c>
      <c r="C689" s="220" t="s">
        <v>20</v>
      </c>
      <c r="D689" s="223">
        <f>D686*2</f>
        <v>2</v>
      </c>
      <c r="E689" s="219"/>
      <c r="F689" s="37">
        <v>140</v>
      </c>
      <c r="G689" s="145"/>
      <c r="H689" s="145">
        <f t="shared" si="125"/>
        <v>280</v>
      </c>
      <c r="I689" s="145">
        <f t="shared" si="126"/>
        <v>280</v>
      </c>
    </row>
    <row r="690" spans="1:9" s="11" customFormat="1">
      <c r="A690" s="213" t="s">
        <v>906</v>
      </c>
      <c r="B690" s="217" t="s">
        <v>886</v>
      </c>
      <c r="C690" s="220" t="s">
        <v>20</v>
      </c>
      <c r="D690" s="223">
        <v>2</v>
      </c>
      <c r="E690" s="219"/>
      <c r="F690" s="37">
        <v>360</v>
      </c>
      <c r="G690" s="145"/>
      <c r="H690" s="145">
        <f t="shared" si="125"/>
        <v>720</v>
      </c>
      <c r="I690" s="145">
        <f t="shared" si="126"/>
        <v>720</v>
      </c>
    </row>
    <row r="691" spans="1:9" s="11" customFormat="1">
      <c r="A691" s="213" t="s">
        <v>907</v>
      </c>
      <c r="B691" s="217" t="s">
        <v>888</v>
      </c>
      <c r="C691" s="220" t="s">
        <v>20</v>
      </c>
      <c r="D691" s="223">
        <v>1</v>
      </c>
      <c r="E691" s="219"/>
      <c r="F691" s="37">
        <v>650</v>
      </c>
      <c r="G691" s="145"/>
      <c r="H691" s="145">
        <f t="shared" si="125"/>
        <v>650</v>
      </c>
      <c r="I691" s="145">
        <f t="shared" si="126"/>
        <v>650</v>
      </c>
    </row>
    <row r="692" spans="1:9" s="11" customFormat="1">
      <c r="A692" s="213" t="s">
        <v>908</v>
      </c>
      <c r="B692" s="217" t="s">
        <v>890</v>
      </c>
      <c r="C692" s="220" t="s">
        <v>20</v>
      </c>
      <c r="D692" s="223">
        <v>2</v>
      </c>
      <c r="E692" s="219"/>
      <c r="F692" s="37">
        <v>93</v>
      </c>
      <c r="G692" s="145"/>
      <c r="H692" s="145">
        <f t="shared" si="125"/>
        <v>186</v>
      </c>
      <c r="I692" s="145">
        <f t="shared" si="126"/>
        <v>186</v>
      </c>
    </row>
    <row r="693" spans="1:9" s="11" customFormat="1">
      <c r="A693" s="213" t="s">
        <v>909</v>
      </c>
      <c r="B693" s="217" t="s">
        <v>892</v>
      </c>
      <c r="C693" s="220" t="s">
        <v>20</v>
      </c>
      <c r="D693" s="223">
        <v>1</v>
      </c>
      <c r="E693" s="219"/>
      <c r="F693" s="37">
        <v>93</v>
      </c>
      <c r="G693" s="145"/>
      <c r="H693" s="145">
        <f t="shared" si="125"/>
        <v>93</v>
      </c>
      <c r="I693" s="145">
        <f t="shared" si="126"/>
        <v>93</v>
      </c>
    </row>
    <row r="694" spans="1:9" s="11" customFormat="1">
      <c r="A694" s="213" t="s">
        <v>910</v>
      </c>
      <c r="B694" s="216" t="s">
        <v>225</v>
      </c>
      <c r="C694" s="214" t="s">
        <v>125</v>
      </c>
      <c r="D694" s="215">
        <f>3.89*2*(D681+D682)</f>
        <v>0.91584292800000011</v>
      </c>
      <c r="E694" s="37"/>
      <c r="F694" s="37">
        <v>65</v>
      </c>
      <c r="G694" s="145"/>
      <c r="H694" s="145">
        <f t="shared" si="125"/>
        <v>59.529790320000011</v>
      </c>
      <c r="I694" s="145">
        <f t="shared" si="126"/>
        <v>59.529790320000011</v>
      </c>
    </row>
    <row r="695" spans="1:9" s="11" customFormat="1">
      <c r="A695" s="213" t="s">
        <v>911</v>
      </c>
      <c r="B695" s="216" t="s">
        <v>226</v>
      </c>
      <c r="C695" s="214" t="s">
        <v>125</v>
      </c>
      <c r="D695" s="215">
        <f>3.37*2*(D681+D682)</f>
        <v>0.79341662400000001</v>
      </c>
      <c r="E695" s="37"/>
      <c r="F695" s="37">
        <v>88.45</v>
      </c>
      <c r="G695" s="145"/>
      <c r="H695" s="145">
        <f t="shared" si="125"/>
        <v>70.177700392800006</v>
      </c>
      <c r="I695" s="145">
        <f t="shared" si="126"/>
        <v>70.177700392800006</v>
      </c>
    </row>
    <row r="696" spans="1:9" s="11" customFormat="1">
      <c r="A696" s="213" t="s">
        <v>912</v>
      </c>
      <c r="B696" s="216" t="s">
        <v>913</v>
      </c>
      <c r="C696" s="214" t="s">
        <v>42</v>
      </c>
      <c r="D696" s="215">
        <f>SUM(D697:D699)</f>
        <v>0.5220072</v>
      </c>
      <c r="E696" s="37">
        <v>15000</v>
      </c>
      <c r="F696" s="37"/>
      <c r="G696" s="145">
        <f t="shared" ref="G696" si="128">D696*E696</f>
        <v>7830.1080000000002</v>
      </c>
      <c r="H696" s="145"/>
      <c r="I696" s="145">
        <f t="shared" ref="I696" si="129">G696+H696</f>
        <v>7830.1080000000002</v>
      </c>
    </row>
    <row r="697" spans="1:9" s="11" customFormat="1">
      <c r="A697" s="213" t="s">
        <v>914</v>
      </c>
      <c r="B697" s="216" t="s">
        <v>859</v>
      </c>
      <c r="C697" s="214" t="s">
        <v>42</v>
      </c>
      <c r="D697" s="215">
        <f>(11*15.02+4*6.3)/1000*1.04</f>
        <v>0.19803679999999999</v>
      </c>
      <c r="E697" s="37"/>
      <c r="F697" s="37">
        <v>62800</v>
      </c>
      <c r="G697" s="145"/>
      <c r="H697" s="145">
        <f t="shared" si="125"/>
        <v>12436.711039999998</v>
      </c>
      <c r="I697" s="145">
        <f t="shared" si="126"/>
        <v>12436.711039999998</v>
      </c>
    </row>
    <row r="698" spans="1:9" s="11" customFormat="1">
      <c r="A698" s="213" t="s">
        <v>915</v>
      </c>
      <c r="B698" s="216" t="s">
        <v>182</v>
      </c>
      <c r="C698" s="214" t="s">
        <v>42</v>
      </c>
      <c r="D698" s="215">
        <f>(15*0.92+15*2.18+2*2.52+4*5.92+3*25.87+3*32.68+14.89*2+28.77)/1000*1.04</f>
        <v>0.32179679999999999</v>
      </c>
      <c r="E698" s="37"/>
      <c r="F698" s="37">
        <v>41800</v>
      </c>
      <c r="G698" s="145"/>
      <c r="H698" s="145">
        <f t="shared" si="125"/>
        <v>13451.106239999999</v>
      </c>
      <c r="I698" s="145">
        <f t="shared" si="126"/>
        <v>13451.106239999999</v>
      </c>
    </row>
    <row r="699" spans="1:9" s="11" customFormat="1">
      <c r="A699" s="213" t="s">
        <v>916</v>
      </c>
      <c r="B699" s="216" t="s">
        <v>917</v>
      </c>
      <c r="C699" s="214" t="s">
        <v>42</v>
      </c>
      <c r="D699" s="215">
        <f>11*0.19/1000*1.04</f>
        <v>2.1735999999999999E-3</v>
      </c>
      <c r="E699" s="37"/>
      <c r="F699" s="37">
        <v>55600</v>
      </c>
      <c r="G699" s="145"/>
      <c r="H699" s="145">
        <f t="shared" si="125"/>
        <v>120.85216</v>
      </c>
      <c r="I699" s="145">
        <f t="shared" si="126"/>
        <v>120.85216</v>
      </c>
    </row>
    <row r="700" spans="1:9" s="11" customFormat="1">
      <c r="A700" s="213" t="s">
        <v>918</v>
      </c>
      <c r="B700" s="216" t="s">
        <v>814</v>
      </c>
      <c r="C700" s="214" t="s">
        <v>111</v>
      </c>
      <c r="D700" s="215">
        <f>32.68</f>
        <v>32.68</v>
      </c>
      <c r="E700" s="37"/>
      <c r="F700" s="37">
        <v>829</v>
      </c>
      <c r="G700" s="145"/>
      <c r="H700" s="145">
        <f t="shared" si="125"/>
        <v>27091.72</v>
      </c>
      <c r="I700" s="145">
        <f t="shared" si="126"/>
        <v>27091.72</v>
      </c>
    </row>
    <row r="701" spans="1:9" s="11" customFormat="1">
      <c r="A701" s="213" t="s">
        <v>919</v>
      </c>
      <c r="B701" s="217" t="s">
        <v>876</v>
      </c>
      <c r="C701" s="180" t="s">
        <v>20</v>
      </c>
      <c r="D701" s="222">
        <v>5</v>
      </c>
      <c r="E701" s="219"/>
      <c r="F701" s="37">
        <v>555</v>
      </c>
      <c r="G701" s="145"/>
      <c r="H701" s="145">
        <f t="shared" si="125"/>
        <v>2775</v>
      </c>
      <c r="I701" s="145">
        <f t="shared" si="126"/>
        <v>2775</v>
      </c>
    </row>
    <row r="702" spans="1:9" s="11" customFormat="1">
      <c r="A702" s="213" t="s">
        <v>920</v>
      </c>
      <c r="B702" s="217" t="s">
        <v>882</v>
      </c>
      <c r="C702" s="180" t="s">
        <v>20</v>
      </c>
      <c r="D702" s="218">
        <v>4</v>
      </c>
      <c r="E702" s="219"/>
      <c r="F702" s="37">
        <v>96</v>
      </c>
      <c r="G702" s="145"/>
      <c r="H702" s="145">
        <f t="shared" si="125"/>
        <v>384</v>
      </c>
      <c r="I702" s="145">
        <f t="shared" si="126"/>
        <v>384</v>
      </c>
    </row>
    <row r="703" spans="1:9" s="11" customFormat="1">
      <c r="A703" s="213" t="s">
        <v>921</v>
      </c>
      <c r="B703" s="217" t="s">
        <v>878</v>
      </c>
      <c r="C703" s="180" t="s">
        <v>20</v>
      </c>
      <c r="D703" s="222">
        <v>3</v>
      </c>
      <c r="E703" s="219"/>
      <c r="F703" s="37">
        <v>550</v>
      </c>
      <c r="G703" s="145"/>
      <c r="H703" s="145">
        <f t="shared" si="125"/>
        <v>1650</v>
      </c>
      <c r="I703" s="145">
        <f t="shared" si="126"/>
        <v>1650</v>
      </c>
    </row>
    <row r="704" spans="1:9" s="11" customFormat="1">
      <c r="A704" s="213" t="s">
        <v>922</v>
      </c>
      <c r="B704" s="217" t="s">
        <v>880</v>
      </c>
      <c r="C704" s="220" t="s">
        <v>20</v>
      </c>
      <c r="D704" s="223">
        <f>D701*4</f>
        <v>20</v>
      </c>
      <c r="E704" s="219"/>
      <c r="F704" s="37">
        <v>38</v>
      </c>
      <c r="G704" s="145"/>
      <c r="H704" s="145">
        <f t="shared" si="125"/>
        <v>760</v>
      </c>
      <c r="I704" s="145">
        <f t="shared" si="126"/>
        <v>760</v>
      </c>
    </row>
    <row r="705" spans="1:9" s="11" customFormat="1">
      <c r="A705" s="213" t="s">
        <v>923</v>
      </c>
      <c r="B705" s="217" t="s">
        <v>884</v>
      </c>
      <c r="C705" s="220" t="s">
        <v>20</v>
      </c>
      <c r="D705" s="223">
        <f>D703*2</f>
        <v>6</v>
      </c>
      <c r="E705" s="219"/>
      <c r="F705" s="37">
        <v>140</v>
      </c>
      <c r="G705" s="145"/>
      <c r="H705" s="145">
        <f t="shared" si="125"/>
        <v>840</v>
      </c>
      <c r="I705" s="145">
        <f t="shared" si="126"/>
        <v>840</v>
      </c>
    </row>
    <row r="706" spans="1:9" s="11" customFormat="1">
      <c r="A706" s="213" t="s">
        <v>924</v>
      </c>
      <c r="B706" s="217" t="s">
        <v>886</v>
      </c>
      <c r="C706" s="220" t="s">
        <v>20</v>
      </c>
      <c r="D706" s="223">
        <v>2</v>
      </c>
      <c r="E706" s="219"/>
      <c r="F706" s="37">
        <v>360</v>
      </c>
      <c r="G706" s="145"/>
      <c r="H706" s="145">
        <f t="shared" si="125"/>
        <v>720</v>
      </c>
      <c r="I706" s="145">
        <f t="shared" si="126"/>
        <v>720</v>
      </c>
    </row>
    <row r="707" spans="1:9" s="11" customFormat="1">
      <c r="A707" s="213" t="s">
        <v>925</v>
      </c>
      <c r="B707" s="217" t="s">
        <v>888</v>
      </c>
      <c r="C707" s="220" t="s">
        <v>20</v>
      </c>
      <c r="D707" s="223">
        <v>2</v>
      </c>
      <c r="E707" s="219"/>
      <c r="F707" s="37">
        <v>650</v>
      </c>
      <c r="G707" s="145"/>
      <c r="H707" s="145">
        <f t="shared" si="125"/>
        <v>1300</v>
      </c>
      <c r="I707" s="145">
        <f t="shared" si="126"/>
        <v>1300</v>
      </c>
    </row>
    <row r="708" spans="1:9" s="11" customFormat="1">
      <c r="A708" s="213" t="s">
        <v>926</v>
      </c>
      <c r="B708" s="217" t="s">
        <v>890</v>
      </c>
      <c r="C708" s="220" t="s">
        <v>20</v>
      </c>
      <c r="D708" s="223">
        <v>4</v>
      </c>
      <c r="E708" s="219"/>
      <c r="F708" s="37">
        <v>93</v>
      </c>
      <c r="G708" s="145"/>
      <c r="H708" s="145">
        <f t="shared" si="125"/>
        <v>372</v>
      </c>
      <c r="I708" s="145">
        <f t="shared" si="126"/>
        <v>372</v>
      </c>
    </row>
    <row r="709" spans="1:9" s="11" customFormat="1">
      <c r="A709" s="213" t="s">
        <v>927</v>
      </c>
      <c r="B709" s="217" t="s">
        <v>892</v>
      </c>
      <c r="C709" s="220" t="s">
        <v>20</v>
      </c>
      <c r="D709" s="223">
        <v>2</v>
      </c>
      <c r="E709" s="219"/>
      <c r="F709" s="37">
        <v>93</v>
      </c>
      <c r="G709" s="145"/>
      <c r="H709" s="145">
        <f t="shared" si="125"/>
        <v>186</v>
      </c>
      <c r="I709" s="145">
        <f t="shared" si="126"/>
        <v>186</v>
      </c>
    </row>
    <row r="710" spans="1:9" s="11" customFormat="1">
      <c r="A710" s="213" t="s">
        <v>928</v>
      </c>
      <c r="B710" s="216" t="s">
        <v>225</v>
      </c>
      <c r="C710" s="214" t="s">
        <v>125</v>
      </c>
      <c r="D710" s="215">
        <f>3.89*2*(D697+D698)</f>
        <v>4.0443054080000005</v>
      </c>
      <c r="E710" s="37"/>
      <c r="F710" s="37">
        <v>65</v>
      </c>
      <c r="G710" s="145"/>
      <c r="H710" s="145">
        <f t="shared" si="125"/>
        <v>262.87985152000005</v>
      </c>
      <c r="I710" s="145">
        <f t="shared" si="126"/>
        <v>262.87985152000005</v>
      </c>
    </row>
    <row r="711" spans="1:9" s="11" customFormat="1">
      <c r="A711" s="213" t="s">
        <v>929</v>
      </c>
      <c r="B711" s="216" t="s">
        <v>226</v>
      </c>
      <c r="C711" s="214" t="s">
        <v>125</v>
      </c>
      <c r="D711" s="215">
        <f>3.37*2*(D697+D698)</f>
        <v>3.503678464</v>
      </c>
      <c r="E711" s="37"/>
      <c r="F711" s="37">
        <v>88.45</v>
      </c>
      <c r="G711" s="145"/>
      <c r="H711" s="145">
        <f t="shared" si="125"/>
        <v>309.90036014079999</v>
      </c>
      <c r="I711" s="145">
        <f t="shared" si="126"/>
        <v>309.90036014079999</v>
      </c>
    </row>
    <row r="712" spans="1:9" s="11" customFormat="1">
      <c r="A712" s="213" t="s">
        <v>930</v>
      </c>
      <c r="B712" s="216" t="s">
        <v>931</v>
      </c>
      <c r="C712" s="214" t="s">
        <v>42</v>
      </c>
      <c r="D712" s="215">
        <f>SUM(D713:D715)</f>
        <v>0.14458080000000001</v>
      </c>
      <c r="E712" s="37">
        <v>15000</v>
      </c>
      <c r="F712" s="37"/>
      <c r="G712" s="145">
        <f t="shared" ref="G712" si="130">D712*E712</f>
        <v>2168.712</v>
      </c>
      <c r="H712" s="145"/>
      <c r="I712" s="145">
        <f t="shared" si="126"/>
        <v>2168.712</v>
      </c>
    </row>
    <row r="713" spans="1:9" s="11" customFormat="1">
      <c r="A713" s="213" t="s">
        <v>932</v>
      </c>
      <c r="B713" s="216" t="s">
        <v>859</v>
      </c>
      <c r="C713" s="214" t="s">
        <v>42</v>
      </c>
      <c r="D713" s="215">
        <f>(5*2.68)/1000*1.04</f>
        <v>1.3936E-2</v>
      </c>
      <c r="E713" s="37"/>
      <c r="F713" s="37">
        <v>62800</v>
      </c>
      <c r="G713" s="145"/>
      <c r="H713" s="145">
        <f t="shared" si="125"/>
        <v>875.18079999999998</v>
      </c>
      <c r="I713" s="145">
        <f t="shared" si="126"/>
        <v>875.18079999999998</v>
      </c>
    </row>
    <row r="714" spans="1:9" s="11" customFormat="1">
      <c r="A714" s="213" t="s">
        <v>933</v>
      </c>
      <c r="B714" s="216" t="s">
        <v>182</v>
      </c>
      <c r="C714" s="214" t="s">
        <v>42</v>
      </c>
      <c r="D714" s="215">
        <f>(4*0.44+5*0.93+7*2.18+4*2.52+4*5.67+2*14.83+14.8)/1000*1.04</f>
        <v>0.10284560000000001</v>
      </c>
      <c r="E714" s="37"/>
      <c r="F714" s="37">
        <v>41800</v>
      </c>
      <c r="G714" s="145"/>
      <c r="H714" s="145">
        <f t="shared" si="125"/>
        <v>4298.9460800000006</v>
      </c>
      <c r="I714" s="145">
        <f t="shared" si="126"/>
        <v>4298.9460800000006</v>
      </c>
    </row>
    <row r="715" spans="1:9" s="11" customFormat="1">
      <c r="A715" s="213" t="s">
        <v>934</v>
      </c>
      <c r="B715" s="216" t="s">
        <v>867</v>
      </c>
      <c r="C715" s="214" t="s">
        <v>42</v>
      </c>
      <c r="D715" s="215">
        <f>9*2.97/1000*1.04</f>
        <v>2.77992E-2</v>
      </c>
      <c r="E715" s="37"/>
      <c r="F715" s="37">
        <v>45100</v>
      </c>
      <c r="G715" s="145"/>
      <c r="H715" s="145">
        <f t="shared" si="125"/>
        <v>1253.7439199999999</v>
      </c>
      <c r="I715" s="145">
        <f t="shared" si="126"/>
        <v>1253.7439199999999</v>
      </c>
    </row>
    <row r="716" spans="1:9" s="11" customFormat="1">
      <c r="A716" s="213" t="s">
        <v>935</v>
      </c>
      <c r="B716" s="216" t="s">
        <v>871</v>
      </c>
      <c r="C716" s="214" t="s">
        <v>20</v>
      </c>
      <c r="D716" s="215">
        <v>36</v>
      </c>
      <c r="E716" s="37"/>
      <c r="F716" s="37">
        <v>180</v>
      </c>
      <c r="G716" s="145"/>
      <c r="H716" s="145">
        <f t="shared" si="125"/>
        <v>6480</v>
      </c>
      <c r="I716" s="145">
        <f t="shared" si="126"/>
        <v>6480</v>
      </c>
    </row>
    <row r="717" spans="1:9" s="11" customFormat="1">
      <c r="A717" s="213" t="s">
        <v>936</v>
      </c>
      <c r="B717" s="217" t="s">
        <v>937</v>
      </c>
      <c r="C717" s="180" t="s">
        <v>20</v>
      </c>
      <c r="D717" s="222">
        <v>1</v>
      </c>
      <c r="E717" s="219"/>
      <c r="F717" s="37">
        <v>740</v>
      </c>
      <c r="G717" s="145"/>
      <c r="H717" s="145">
        <f>D717*F717</f>
        <v>740</v>
      </c>
      <c r="I717" s="145">
        <f t="shared" si="126"/>
        <v>740</v>
      </c>
    </row>
    <row r="718" spans="1:9" s="11" customFormat="1">
      <c r="A718" s="213" t="s">
        <v>938</v>
      </c>
      <c r="B718" s="217" t="s">
        <v>878</v>
      </c>
      <c r="C718" s="180" t="s">
        <v>20</v>
      </c>
      <c r="D718" s="222">
        <v>1</v>
      </c>
      <c r="E718" s="219"/>
      <c r="F718" s="37">
        <v>550</v>
      </c>
      <c r="G718" s="145"/>
      <c r="H718" s="145">
        <f t="shared" si="125"/>
        <v>550</v>
      </c>
      <c r="I718" s="145">
        <f t="shared" si="126"/>
        <v>550</v>
      </c>
    </row>
    <row r="719" spans="1:9" s="11" customFormat="1">
      <c r="A719" s="213" t="s">
        <v>939</v>
      </c>
      <c r="B719" s="217" t="s">
        <v>880</v>
      </c>
      <c r="C719" s="220" t="s">
        <v>20</v>
      </c>
      <c r="D719" s="223">
        <f>D717*4</f>
        <v>4</v>
      </c>
      <c r="E719" s="219"/>
      <c r="F719" s="37">
        <v>38</v>
      </c>
      <c r="G719" s="145"/>
      <c r="H719" s="145">
        <f t="shared" si="125"/>
        <v>152</v>
      </c>
      <c r="I719" s="145">
        <f t="shared" si="126"/>
        <v>152</v>
      </c>
    </row>
    <row r="720" spans="1:9" s="11" customFormat="1">
      <c r="A720" s="213" t="s">
        <v>940</v>
      </c>
      <c r="B720" s="217" t="s">
        <v>884</v>
      </c>
      <c r="C720" s="220" t="s">
        <v>20</v>
      </c>
      <c r="D720" s="223">
        <f>D718*2</f>
        <v>2</v>
      </c>
      <c r="E720" s="219"/>
      <c r="F720" s="37">
        <v>140</v>
      </c>
      <c r="G720" s="145"/>
      <c r="H720" s="145">
        <f t="shared" si="125"/>
        <v>280</v>
      </c>
      <c r="I720" s="145">
        <f t="shared" si="126"/>
        <v>280</v>
      </c>
    </row>
    <row r="721" spans="1:9" s="11" customFormat="1">
      <c r="A721" s="213" t="s">
        <v>941</v>
      </c>
      <c r="B721" s="217" t="s">
        <v>886</v>
      </c>
      <c r="C721" s="220" t="s">
        <v>20</v>
      </c>
      <c r="D721" s="223">
        <v>2</v>
      </c>
      <c r="E721" s="219"/>
      <c r="F721" s="37">
        <v>360</v>
      </c>
      <c r="G721" s="145"/>
      <c r="H721" s="145">
        <f t="shared" si="125"/>
        <v>720</v>
      </c>
      <c r="I721" s="145">
        <f t="shared" si="126"/>
        <v>720</v>
      </c>
    </row>
    <row r="722" spans="1:9" s="11" customFormat="1">
      <c r="A722" s="213" t="s">
        <v>942</v>
      </c>
      <c r="B722" s="217" t="s">
        <v>888</v>
      </c>
      <c r="C722" s="220" t="s">
        <v>20</v>
      </c>
      <c r="D722" s="223">
        <v>1</v>
      </c>
      <c r="E722" s="219"/>
      <c r="F722" s="37">
        <v>650</v>
      </c>
      <c r="G722" s="145"/>
      <c r="H722" s="145">
        <f t="shared" si="125"/>
        <v>650</v>
      </c>
      <c r="I722" s="145">
        <f t="shared" si="126"/>
        <v>650</v>
      </c>
    </row>
    <row r="723" spans="1:9" s="11" customFormat="1">
      <c r="A723" s="213" t="s">
        <v>943</v>
      </c>
      <c r="B723" s="217" t="s">
        <v>890</v>
      </c>
      <c r="C723" s="220" t="s">
        <v>20</v>
      </c>
      <c r="D723" s="223">
        <v>2</v>
      </c>
      <c r="E723" s="219"/>
      <c r="F723" s="37">
        <v>93</v>
      </c>
      <c r="G723" s="145"/>
      <c r="H723" s="145">
        <f t="shared" si="125"/>
        <v>186</v>
      </c>
      <c r="I723" s="145">
        <f t="shared" si="126"/>
        <v>186</v>
      </c>
    </row>
    <row r="724" spans="1:9" s="11" customFormat="1">
      <c r="A724" s="213" t="s">
        <v>944</v>
      </c>
      <c r="B724" s="217" t="s">
        <v>892</v>
      </c>
      <c r="C724" s="220" t="s">
        <v>20</v>
      </c>
      <c r="D724" s="223">
        <v>1</v>
      </c>
      <c r="E724" s="219"/>
      <c r="F724" s="37">
        <v>93</v>
      </c>
      <c r="G724" s="145"/>
      <c r="H724" s="145">
        <f t="shared" si="125"/>
        <v>93</v>
      </c>
      <c r="I724" s="145">
        <f t="shared" si="126"/>
        <v>93</v>
      </c>
    </row>
    <row r="725" spans="1:9" s="11" customFormat="1">
      <c r="A725" s="213" t="s">
        <v>945</v>
      </c>
      <c r="B725" s="216" t="s">
        <v>225</v>
      </c>
      <c r="C725" s="214" t="s">
        <v>125</v>
      </c>
      <c r="D725" s="215">
        <f>3.89*2*(D714+D713+D715)</f>
        <v>1.1248386240000001</v>
      </c>
      <c r="E725" s="37"/>
      <c r="F725" s="37">
        <v>65</v>
      </c>
      <c r="G725" s="145"/>
      <c r="H725" s="145">
        <f t="shared" ref="H725:H726" si="131">D725*F725</f>
        <v>73.114510560000014</v>
      </c>
      <c r="I725" s="145">
        <f t="shared" ref="I725:I727" si="132">G725+H725</f>
        <v>73.114510560000014</v>
      </c>
    </row>
    <row r="726" spans="1:9" s="11" customFormat="1">
      <c r="A726" s="213" t="s">
        <v>946</v>
      </c>
      <c r="B726" s="216" t="s">
        <v>226</v>
      </c>
      <c r="C726" s="214" t="s">
        <v>125</v>
      </c>
      <c r="D726" s="215">
        <f>3.37*2*(D715+D713+D714)</f>
        <v>0.97447459200000008</v>
      </c>
      <c r="E726" s="37"/>
      <c r="F726" s="37">
        <v>88.45</v>
      </c>
      <c r="G726" s="145"/>
      <c r="H726" s="145">
        <f t="shared" si="131"/>
        <v>86.192277662400016</v>
      </c>
      <c r="I726" s="145">
        <f t="shared" si="132"/>
        <v>86.192277662400016</v>
      </c>
    </row>
    <row r="727" spans="1:9" s="11" customFormat="1">
      <c r="A727" s="213" t="s">
        <v>947</v>
      </c>
      <c r="B727" s="216" t="s">
        <v>948</v>
      </c>
      <c r="C727" s="214" t="s">
        <v>42</v>
      </c>
      <c r="D727" s="215">
        <f>SUM(D728:D735)</f>
        <v>0.70072080000000003</v>
      </c>
      <c r="E727" s="37">
        <v>15000</v>
      </c>
      <c r="F727" s="37"/>
      <c r="G727" s="145">
        <f t="shared" ref="G727" si="133">D727*E727</f>
        <v>10510.812</v>
      </c>
      <c r="H727" s="145"/>
      <c r="I727" s="145">
        <f t="shared" si="132"/>
        <v>10510.812</v>
      </c>
    </row>
    <row r="728" spans="1:9" s="11" customFormat="1">
      <c r="A728" s="213" t="s">
        <v>949</v>
      </c>
      <c r="B728" s="216" t="s">
        <v>859</v>
      </c>
      <c r="C728" s="214" t="s">
        <v>42</v>
      </c>
      <c r="D728" s="215">
        <f>(13.54*6+6.3*4)/1000*1.04</f>
        <v>0.11069759999999999</v>
      </c>
      <c r="E728" s="37"/>
      <c r="F728" s="37">
        <v>62800</v>
      </c>
      <c r="G728" s="145"/>
      <c r="H728" s="145">
        <f t="shared" ref="H728:H758" si="134">D728*F728</f>
        <v>6951.8092799999995</v>
      </c>
      <c r="I728" s="145">
        <f t="shared" ref="I728:I762" si="135">G728+H728</f>
        <v>6951.8092799999995</v>
      </c>
    </row>
    <row r="729" spans="1:9" s="11" customFormat="1">
      <c r="A729" s="213" t="s">
        <v>950</v>
      </c>
      <c r="B729" s="216" t="s">
        <v>771</v>
      </c>
      <c r="C729" s="214" t="s">
        <v>42</v>
      </c>
      <c r="D729" s="215">
        <f>49.56*2/1000*1.04</f>
        <v>0.1030848</v>
      </c>
      <c r="E729" s="37"/>
      <c r="F729" s="37">
        <v>47200</v>
      </c>
      <c r="G729" s="145"/>
      <c r="H729" s="145">
        <f t="shared" si="134"/>
        <v>4865.6025600000003</v>
      </c>
      <c r="I729" s="145">
        <f t="shared" si="135"/>
        <v>4865.6025600000003</v>
      </c>
    </row>
    <row r="730" spans="1:9" s="11" customFormat="1">
      <c r="A730" s="213" t="s">
        <v>951</v>
      </c>
      <c r="B730" s="216" t="s">
        <v>952</v>
      </c>
      <c r="C730" s="214" t="s">
        <v>42</v>
      </c>
      <c r="D730" s="215">
        <f>(12.8*2+10.87*2)/1000*1.04</f>
        <v>4.9233600000000002E-2</v>
      </c>
      <c r="E730" s="37"/>
      <c r="F730" s="37">
        <v>43300</v>
      </c>
      <c r="G730" s="145"/>
      <c r="H730" s="145">
        <f t="shared" si="134"/>
        <v>2131.8148799999999</v>
      </c>
      <c r="I730" s="145">
        <f t="shared" si="135"/>
        <v>2131.8148799999999</v>
      </c>
    </row>
    <row r="731" spans="1:9" s="11" customFormat="1">
      <c r="A731" s="213" t="s">
        <v>953</v>
      </c>
      <c r="B731" s="216" t="s">
        <v>182</v>
      </c>
      <c r="C731" s="214" t="s">
        <v>42</v>
      </c>
      <c r="D731" s="215">
        <f>(8*0.55+17*0.95+30*2.1+2*2.52+2*5.61+2*34.57+5*2.52+5*1.98+25.58)/1000*1.04</f>
        <v>0.22571119999999997</v>
      </c>
      <c r="E731" s="37"/>
      <c r="F731" s="37">
        <v>41800</v>
      </c>
      <c r="G731" s="145"/>
      <c r="H731" s="145">
        <f t="shared" si="134"/>
        <v>9434.7281599999988</v>
      </c>
      <c r="I731" s="145">
        <f t="shared" si="135"/>
        <v>9434.7281599999988</v>
      </c>
    </row>
    <row r="732" spans="1:9" s="11" customFormat="1">
      <c r="A732" s="213" t="s">
        <v>954</v>
      </c>
      <c r="B732" s="216" t="s">
        <v>805</v>
      </c>
      <c r="C732" s="214" t="s">
        <v>42</v>
      </c>
      <c r="D732" s="215">
        <f>(5*1.51+5*3.79)/1000*1.04</f>
        <v>2.7560000000000001E-2</v>
      </c>
      <c r="E732" s="37"/>
      <c r="F732" s="37">
        <v>41400</v>
      </c>
      <c r="G732" s="145"/>
      <c r="H732" s="145">
        <f t="shared" si="134"/>
        <v>1140.9840000000002</v>
      </c>
      <c r="I732" s="145">
        <f t="shared" si="135"/>
        <v>1140.9840000000002</v>
      </c>
    </row>
    <row r="733" spans="1:9" s="11" customFormat="1">
      <c r="A733" s="213" t="s">
        <v>955</v>
      </c>
      <c r="B733" s="216" t="s">
        <v>864</v>
      </c>
      <c r="C733" s="214" t="s">
        <v>42</v>
      </c>
      <c r="D733" s="215">
        <f>3*15.45/1000*1.04</f>
        <v>4.8203999999999997E-2</v>
      </c>
      <c r="E733" s="37"/>
      <c r="F733" s="37">
        <v>41800</v>
      </c>
      <c r="G733" s="145"/>
      <c r="H733" s="145">
        <f t="shared" si="134"/>
        <v>2014.9271999999999</v>
      </c>
      <c r="I733" s="145">
        <f t="shared" si="135"/>
        <v>2014.9271999999999</v>
      </c>
    </row>
    <row r="734" spans="1:9" s="11" customFormat="1">
      <c r="A734" s="213" t="s">
        <v>956</v>
      </c>
      <c r="B734" s="216" t="s">
        <v>191</v>
      </c>
      <c r="C734" s="214" t="s">
        <v>42</v>
      </c>
      <c r="D734" s="215">
        <f>(2*7.28+2*44.85)/1000*1.04</f>
        <v>0.10843040000000001</v>
      </c>
      <c r="E734" s="37"/>
      <c r="F734" s="37">
        <v>36900</v>
      </c>
      <c r="G734" s="145"/>
      <c r="H734" s="145">
        <f t="shared" si="134"/>
        <v>4001.0817600000005</v>
      </c>
      <c r="I734" s="145">
        <f t="shared" si="135"/>
        <v>4001.0817600000005</v>
      </c>
    </row>
    <row r="735" spans="1:9" s="11" customFormat="1">
      <c r="A735" s="213" t="s">
        <v>957</v>
      </c>
      <c r="B735" s="216" t="s">
        <v>867</v>
      </c>
      <c r="C735" s="214" t="s">
        <v>42</v>
      </c>
      <c r="D735" s="215">
        <f>9*2.97/1000*1.04</f>
        <v>2.77992E-2</v>
      </c>
      <c r="E735" s="37"/>
      <c r="F735" s="37">
        <v>45100</v>
      </c>
      <c r="G735" s="145"/>
      <c r="H735" s="145">
        <f t="shared" si="134"/>
        <v>1253.7439199999999</v>
      </c>
      <c r="I735" s="145">
        <f t="shared" si="135"/>
        <v>1253.7439199999999</v>
      </c>
    </row>
    <row r="736" spans="1:9" s="11" customFormat="1">
      <c r="A736" s="213" t="s">
        <v>958</v>
      </c>
      <c r="B736" s="216" t="s">
        <v>871</v>
      </c>
      <c r="C736" s="214" t="s">
        <v>20</v>
      </c>
      <c r="D736" s="215">
        <v>36</v>
      </c>
      <c r="E736" s="37"/>
      <c r="F736" s="37">
        <v>180</v>
      </c>
      <c r="G736" s="145"/>
      <c r="H736" s="145">
        <f t="shared" si="134"/>
        <v>6480</v>
      </c>
      <c r="I736" s="145">
        <f t="shared" si="135"/>
        <v>6480</v>
      </c>
    </row>
    <row r="737" spans="1:9" s="11" customFormat="1">
      <c r="A737" s="213" t="s">
        <v>959</v>
      </c>
      <c r="B737" s="216" t="s">
        <v>814</v>
      </c>
      <c r="C737" s="214" t="s">
        <v>111</v>
      </c>
      <c r="D737" s="215">
        <v>20.16</v>
      </c>
      <c r="E737" s="37"/>
      <c r="F737" s="37">
        <v>829</v>
      </c>
      <c r="G737" s="145"/>
      <c r="H737" s="145">
        <f t="shared" si="134"/>
        <v>16712.64</v>
      </c>
      <c r="I737" s="145">
        <f t="shared" si="135"/>
        <v>16712.64</v>
      </c>
    </row>
    <row r="738" spans="1:9" s="11" customFormat="1">
      <c r="A738" s="213" t="s">
        <v>960</v>
      </c>
      <c r="B738" s="217" t="s">
        <v>876</v>
      </c>
      <c r="C738" s="180" t="s">
        <v>20</v>
      </c>
      <c r="D738" s="222">
        <v>6</v>
      </c>
      <c r="E738" s="219"/>
      <c r="F738" s="37">
        <v>555</v>
      </c>
      <c r="G738" s="145"/>
      <c r="H738" s="145">
        <f t="shared" si="134"/>
        <v>3330</v>
      </c>
      <c r="I738" s="145">
        <f t="shared" si="135"/>
        <v>3330</v>
      </c>
    </row>
    <row r="739" spans="1:9" s="11" customFormat="1">
      <c r="A739" s="213" t="s">
        <v>961</v>
      </c>
      <c r="B739" s="217" t="s">
        <v>882</v>
      </c>
      <c r="C739" s="180" t="s">
        <v>20</v>
      </c>
      <c r="D739" s="218">
        <v>5</v>
      </c>
      <c r="E739" s="219"/>
      <c r="F739" s="37">
        <v>96</v>
      </c>
      <c r="G739" s="145"/>
      <c r="H739" s="145">
        <f t="shared" si="134"/>
        <v>480</v>
      </c>
      <c r="I739" s="145">
        <f t="shared" si="135"/>
        <v>480</v>
      </c>
    </row>
    <row r="740" spans="1:9" s="11" customFormat="1">
      <c r="A740" s="213" t="s">
        <v>962</v>
      </c>
      <c r="B740" s="217" t="s">
        <v>878</v>
      </c>
      <c r="C740" s="180" t="s">
        <v>20</v>
      </c>
      <c r="D740" s="222">
        <v>3</v>
      </c>
      <c r="E740" s="219"/>
      <c r="F740" s="37">
        <v>550</v>
      </c>
      <c r="G740" s="145"/>
      <c r="H740" s="145">
        <f t="shared" si="134"/>
        <v>1650</v>
      </c>
      <c r="I740" s="145">
        <f t="shared" si="135"/>
        <v>1650</v>
      </c>
    </row>
    <row r="741" spans="1:9" s="11" customFormat="1">
      <c r="A741" s="213" t="s">
        <v>963</v>
      </c>
      <c r="B741" s="217" t="s">
        <v>880</v>
      </c>
      <c r="C741" s="220" t="s">
        <v>20</v>
      </c>
      <c r="D741" s="223">
        <f>D738*4</f>
        <v>24</v>
      </c>
      <c r="E741" s="219"/>
      <c r="F741" s="37">
        <v>38</v>
      </c>
      <c r="G741" s="145"/>
      <c r="H741" s="145">
        <f t="shared" si="134"/>
        <v>912</v>
      </c>
      <c r="I741" s="145">
        <f t="shared" si="135"/>
        <v>912</v>
      </c>
    </row>
    <row r="742" spans="1:9" s="11" customFormat="1">
      <c r="A742" s="213" t="s">
        <v>964</v>
      </c>
      <c r="B742" s="217" t="s">
        <v>884</v>
      </c>
      <c r="C742" s="220" t="s">
        <v>20</v>
      </c>
      <c r="D742" s="223">
        <f>D740*2</f>
        <v>6</v>
      </c>
      <c r="E742" s="219"/>
      <c r="F742" s="37">
        <v>140</v>
      </c>
      <c r="G742" s="145"/>
      <c r="H742" s="145">
        <f t="shared" si="134"/>
        <v>840</v>
      </c>
      <c r="I742" s="145">
        <f t="shared" si="135"/>
        <v>840</v>
      </c>
    </row>
    <row r="743" spans="1:9" s="11" customFormat="1">
      <c r="A743" s="213" t="s">
        <v>965</v>
      </c>
      <c r="B743" s="217" t="s">
        <v>886</v>
      </c>
      <c r="C743" s="220" t="s">
        <v>20</v>
      </c>
      <c r="D743" s="223">
        <v>2</v>
      </c>
      <c r="E743" s="219"/>
      <c r="F743" s="37">
        <v>360</v>
      </c>
      <c r="G743" s="145"/>
      <c r="H743" s="145">
        <f t="shared" si="134"/>
        <v>720</v>
      </c>
      <c r="I743" s="145">
        <f t="shared" si="135"/>
        <v>720</v>
      </c>
    </row>
    <row r="744" spans="1:9" s="11" customFormat="1">
      <c r="A744" s="213" t="s">
        <v>966</v>
      </c>
      <c r="B744" s="217" t="s">
        <v>888</v>
      </c>
      <c r="C744" s="220" t="s">
        <v>20</v>
      </c>
      <c r="D744" s="223">
        <v>2</v>
      </c>
      <c r="E744" s="219"/>
      <c r="F744" s="37">
        <v>650</v>
      </c>
      <c r="G744" s="145"/>
      <c r="H744" s="145">
        <f t="shared" si="134"/>
        <v>1300</v>
      </c>
      <c r="I744" s="145">
        <f t="shared" si="135"/>
        <v>1300</v>
      </c>
    </row>
    <row r="745" spans="1:9" s="11" customFormat="1">
      <c r="A745" s="213" t="s">
        <v>967</v>
      </c>
      <c r="B745" s="217" t="s">
        <v>890</v>
      </c>
      <c r="C745" s="220" t="s">
        <v>20</v>
      </c>
      <c r="D745" s="223">
        <v>4</v>
      </c>
      <c r="E745" s="219"/>
      <c r="F745" s="37">
        <v>93</v>
      </c>
      <c r="G745" s="145"/>
      <c r="H745" s="145">
        <f t="shared" si="134"/>
        <v>372</v>
      </c>
      <c r="I745" s="145">
        <f t="shared" si="135"/>
        <v>372</v>
      </c>
    </row>
    <row r="746" spans="1:9" s="11" customFormat="1">
      <c r="A746" s="213" t="s">
        <v>968</v>
      </c>
      <c r="B746" s="217" t="s">
        <v>892</v>
      </c>
      <c r="C746" s="220" t="s">
        <v>20</v>
      </c>
      <c r="D746" s="223">
        <v>2</v>
      </c>
      <c r="E746" s="219"/>
      <c r="F746" s="37">
        <v>93</v>
      </c>
      <c r="G746" s="145"/>
      <c r="H746" s="145">
        <f t="shared" si="134"/>
        <v>186</v>
      </c>
      <c r="I746" s="145">
        <f t="shared" si="135"/>
        <v>186</v>
      </c>
    </row>
    <row r="747" spans="1:9" s="11" customFormat="1">
      <c r="A747" s="213" t="s">
        <v>969</v>
      </c>
      <c r="B747" s="216" t="s">
        <v>225</v>
      </c>
      <c r="C747" s="214" t="s">
        <v>125</v>
      </c>
      <c r="D747" s="215">
        <f>3.89*2*(D734+D735+D733+D732+D731+D730+D729+D728)</f>
        <v>5.4516078239999999</v>
      </c>
      <c r="E747" s="37"/>
      <c r="F747" s="37">
        <v>65</v>
      </c>
      <c r="G747" s="145"/>
      <c r="H747" s="145">
        <f t="shared" si="134"/>
        <v>354.35450856</v>
      </c>
      <c r="I747" s="145">
        <f t="shared" si="135"/>
        <v>354.35450856</v>
      </c>
    </row>
    <row r="748" spans="1:9" s="11" customFormat="1">
      <c r="A748" s="213" t="s">
        <v>970</v>
      </c>
      <c r="B748" s="216" t="s">
        <v>226</v>
      </c>
      <c r="C748" s="214" t="s">
        <v>125</v>
      </c>
      <c r="D748" s="215">
        <f>3.37*2*(D734+D735+D733+D732+D731+D730+D729+D728)</f>
        <v>4.7228581919999995</v>
      </c>
      <c r="E748" s="37"/>
      <c r="F748" s="37">
        <v>88.45</v>
      </c>
      <c r="G748" s="145"/>
      <c r="H748" s="145">
        <f t="shared" si="134"/>
        <v>417.73680708239999</v>
      </c>
      <c r="I748" s="145">
        <f t="shared" si="135"/>
        <v>417.73680708239999</v>
      </c>
    </row>
    <row r="749" spans="1:9" s="11" customFormat="1" ht="27.6">
      <c r="A749" s="213" t="s">
        <v>971</v>
      </c>
      <c r="B749" s="216" t="s">
        <v>975</v>
      </c>
      <c r="C749" s="214" t="s">
        <v>111</v>
      </c>
      <c r="D749" s="215">
        <f>77.84</f>
        <v>77.84</v>
      </c>
      <c r="E749" s="37">
        <v>350</v>
      </c>
      <c r="F749" s="37"/>
      <c r="G749" s="145">
        <f t="shared" ref="G749:G759" si="136">D749*E749</f>
        <v>27244</v>
      </c>
      <c r="H749" s="145"/>
      <c r="I749" s="145">
        <f t="shared" si="135"/>
        <v>27244</v>
      </c>
    </row>
    <row r="750" spans="1:9" s="11" customFormat="1">
      <c r="A750" s="213" t="s">
        <v>972</v>
      </c>
      <c r="B750" s="216" t="s">
        <v>977</v>
      </c>
      <c r="C750" s="214" t="s">
        <v>111</v>
      </c>
      <c r="D750" s="215">
        <f>D749*1.1</f>
        <v>85.624000000000009</v>
      </c>
      <c r="E750" s="37"/>
      <c r="F750" s="37">
        <v>1250</v>
      </c>
      <c r="G750" s="145"/>
      <c r="H750" s="145">
        <f t="shared" si="134"/>
        <v>107030.00000000001</v>
      </c>
      <c r="I750" s="145">
        <f t="shared" si="135"/>
        <v>107030.00000000001</v>
      </c>
    </row>
    <row r="751" spans="1:9" s="11" customFormat="1">
      <c r="A751" s="213" t="s">
        <v>973</v>
      </c>
      <c r="B751" s="216" t="s">
        <v>978</v>
      </c>
      <c r="C751" s="214" t="s">
        <v>125</v>
      </c>
      <c r="D751" s="215">
        <f>ROUND(D749*1.4*12,2)</f>
        <v>1307.71</v>
      </c>
      <c r="E751" s="37"/>
      <c r="F751" s="37">
        <v>10.6</v>
      </c>
      <c r="G751" s="145"/>
      <c r="H751" s="145">
        <f t="shared" si="134"/>
        <v>13861.726000000001</v>
      </c>
      <c r="I751" s="145">
        <f t="shared" si="135"/>
        <v>13861.726000000001</v>
      </c>
    </row>
    <row r="752" spans="1:9" s="11" customFormat="1">
      <c r="A752" s="213" t="s">
        <v>2357</v>
      </c>
      <c r="B752" s="216" t="s">
        <v>979</v>
      </c>
      <c r="C752" s="214" t="s">
        <v>125</v>
      </c>
      <c r="D752" s="215">
        <f>ROUND(D749*0.194,0)</f>
        <v>15</v>
      </c>
      <c r="E752" s="37"/>
      <c r="F752" s="37">
        <v>100</v>
      </c>
      <c r="G752" s="145"/>
      <c r="H752" s="145">
        <f t="shared" si="134"/>
        <v>1500</v>
      </c>
      <c r="I752" s="145">
        <f t="shared" si="135"/>
        <v>1500</v>
      </c>
    </row>
    <row r="753" spans="1:9" s="11" customFormat="1" ht="27.6">
      <c r="A753" s="213" t="s">
        <v>974</v>
      </c>
      <c r="B753" s="216" t="s">
        <v>980</v>
      </c>
      <c r="C753" s="214" t="s">
        <v>111</v>
      </c>
      <c r="D753" s="215">
        <v>81.61</v>
      </c>
      <c r="E753" s="37">
        <v>180</v>
      </c>
      <c r="F753" s="37"/>
      <c r="G753" s="145">
        <f t="shared" si="136"/>
        <v>14689.8</v>
      </c>
      <c r="H753" s="145"/>
      <c r="I753" s="145">
        <f t="shared" si="135"/>
        <v>14689.8</v>
      </c>
    </row>
    <row r="754" spans="1:9" s="11" customFormat="1">
      <c r="A754" s="213" t="s">
        <v>976</v>
      </c>
      <c r="B754" s="216" t="s">
        <v>35</v>
      </c>
      <c r="C754" s="214" t="s">
        <v>9</v>
      </c>
      <c r="D754" s="215">
        <v>5.6820000000000004</v>
      </c>
      <c r="E754" s="37"/>
      <c r="F754" s="37">
        <v>4300</v>
      </c>
      <c r="G754" s="145"/>
      <c r="H754" s="145">
        <f t="shared" ref="H754" si="137">D754*F754</f>
        <v>24432.600000000002</v>
      </c>
      <c r="I754" s="145">
        <f t="shared" ref="I754" si="138">G754+H754</f>
        <v>24432.600000000002</v>
      </c>
    </row>
    <row r="755" spans="1:9" s="11" customFormat="1">
      <c r="A755" s="213" t="s">
        <v>981</v>
      </c>
      <c r="B755" s="216" t="s">
        <v>982</v>
      </c>
      <c r="C755" s="214" t="s">
        <v>111</v>
      </c>
      <c r="D755" s="215">
        <v>3.77</v>
      </c>
      <c r="E755" s="37">
        <v>350</v>
      </c>
      <c r="F755" s="37"/>
      <c r="G755" s="145">
        <f t="shared" si="136"/>
        <v>1319.5</v>
      </c>
      <c r="H755" s="145"/>
      <c r="I755" s="145">
        <f t="shared" si="135"/>
        <v>1319.5</v>
      </c>
    </row>
    <row r="756" spans="1:9" s="11" customFormat="1">
      <c r="A756" s="213" t="s">
        <v>983</v>
      </c>
      <c r="B756" s="216" t="s">
        <v>977</v>
      </c>
      <c r="C756" s="214" t="s">
        <v>111</v>
      </c>
      <c r="D756" s="215">
        <f>D755*1.1</f>
        <v>4.1470000000000002</v>
      </c>
      <c r="E756" s="37"/>
      <c r="F756" s="37">
        <v>1250</v>
      </c>
      <c r="G756" s="145"/>
      <c r="H756" s="145">
        <f t="shared" si="134"/>
        <v>5183.75</v>
      </c>
      <c r="I756" s="145">
        <f t="shared" si="135"/>
        <v>5183.75</v>
      </c>
    </row>
    <row r="757" spans="1:9" s="11" customFormat="1">
      <c r="A757" s="213" t="s">
        <v>984</v>
      </c>
      <c r="B757" s="216" t="s">
        <v>978</v>
      </c>
      <c r="C757" s="214" t="s">
        <v>125</v>
      </c>
      <c r="D757" s="215">
        <f>ROUND(D755*1.4*12,2)</f>
        <v>63.34</v>
      </c>
      <c r="E757" s="37"/>
      <c r="F757" s="37">
        <v>10.6</v>
      </c>
      <c r="G757" s="145"/>
      <c r="H757" s="145">
        <f t="shared" si="134"/>
        <v>671.404</v>
      </c>
      <c r="I757" s="145">
        <f t="shared" si="135"/>
        <v>671.404</v>
      </c>
    </row>
    <row r="758" spans="1:9" s="11" customFormat="1">
      <c r="A758" s="213" t="s">
        <v>985</v>
      </c>
      <c r="B758" s="216" t="s">
        <v>979</v>
      </c>
      <c r="C758" s="214" t="s">
        <v>125</v>
      </c>
      <c r="D758" s="215">
        <f>ROUND(D755*0.194,0)</f>
        <v>1</v>
      </c>
      <c r="E758" s="37"/>
      <c r="F758" s="37">
        <v>100</v>
      </c>
      <c r="G758" s="145"/>
      <c r="H758" s="145">
        <f t="shared" si="134"/>
        <v>100</v>
      </c>
      <c r="I758" s="145">
        <f t="shared" si="135"/>
        <v>100</v>
      </c>
    </row>
    <row r="759" spans="1:9" s="11" customFormat="1">
      <c r="A759" s="213" t="s">
        <v>986</v>
      </c>
      <c r="B759" s="216" t="s">
        <v>987</v>
      </c>
      <c r="C759" s="214" t="s">
        <v>111</v>
      </c>
      <c r="D759" s="215">
        <v>3.79</v>
      </c>
      <c r="E759" s="37">
        <v>350</v>
      </c>
      <c r="F759" s="37"/>
      <c r="G759" s="145">
        <f t="shared" si="136"/>
        <v>1326.5</v>
      </c>
      <c r="H759" s="145"/>
      <c r="I759" s="145">
        <f t="shared" si="135"/>
        <v>1326.5</v>
      </c>
    </row>
    <row r="760" spans="1:9" s="11" customFormat="1">
      <c r="A760" s="213" t="s">
        <v>988</v>
      </c>
      <c r="B760" s="216" t="s">
        <v>977</v>
      </c>
      <c r="C760" s="214" t="s">
        <v>111</v>
      </c>
      <c r="D760" s="215">
        <f>D759*1.1</f>
        <v>4.1690000000000005</v>
      </c>
      <c r="E760" s="37"/>
      <c r="F760" s="37">
        <v>1250</v>
      </c>
      <c r="G760" s="145"/>
      <c r="H760" s="145">
        <f>D760*F760</f>
        <v>5211.2500000000009</v>
      </c>
      <c r="I760" s="145">
        <f t="shared" si="135"/>
        <v>5211.2500000000009</v>
      </c>
    </row>
    <row r="761" spans="1:9" s="11" customFormat="1">
      <c r="A761" s="213" t="s">
        <v>989</v>
      </c>
      <c r="B761" s="216" t="s">
        <v>978</v>
      </c>
      <c r="C761" s="214" t="s">
        <v>125</v>
      </c>
      <c r="D761" s="215">
        <f>ROUND(D760*1.4*12,2)</f>
        <v>70.040000000000006</v>
      </c>
      <c r="E761" s="37"/>
      <c r="F761" s="37">
        <v>10.6</v>
      </c>
      <c r="G761" s="145"/>
      <c r="H761" s="145">
        <f>D761*F761</f>
        <v>742.42400000000009</v>
      </c>
      <c r="I761" s="145">
        <f t="shared" si="135"/>
        <v>742.42400000000009</v>
      </c>
    </row>
    <row r="762" spans="1:9" s="11" customFormat="1">
      <c r="A762" s="213" t="s">
        <v>990</v>
      </c>
      <c r="B762" s="216" t="s">
        <v>979</v>
      </c>
      <c r="C762" s="214" t="s">
        <v>125</v>
      </c>
      <c r="D762" s="215">
        <f>ROUND(D759*0.194,0)</f>
        <v>1</v>
      </c>
      <c r="E762" s="37"/>
      <c r="F762" s="37">
        <v>100</v>
      </c>
      <c r="G762" s="145"/>
      <c r="H762" s="145">
        <f>D762*F762</f>
        <v>100</v>
      </c>
      <c r="I762" s="145">
        <f t="shared" si="135"/>
        <v>100</v>
      </c>
    </row>
    <row r="763" spans="1:9" s="11" customFormat="1">
      <c r="A763" s="27"/>
      <c r="B763" s="427" t="s">
        <v>2085</v>
      </c>
      <c r="C763" s="533" t="s">
        <v>2358</v>
      </c>
      <c r="D763" s="534"/>
      <c r="E763" s="534"/>
      <c r="F763" s="535"/>
      <c r="G763" s="32">
        <f>SUM(G631:G762)</f>
        <v>81057.664000000004</v>
      </c>
      <c r="H763" s="32">
        <f t="shared" ref="H763:I763" si="139">SUM(H631:H762)</f>
        <v>432676.7287732439</v>
      </c>
      <c r="I763" s="32">
        <f t="shared" si="139"/>
        <v>513734.39277324383</v>
      </c>
    </row>
    <row r="764" spans="1:9" s="11" customFormat="1">
      <c r="A764" s="27"/>
      <c r="B764" s="427" t="s">
        <v>2088</v>
      </c>
      <c r="C764" s="530"/>
      <c r="D764" s="531"/>
      <c r="E764" s="531"/>
      <c r="F764" s="532"/>
      <c r="G764" s="32">
        <f>PRODUCT(G763,1/1.2,0.2)</f>
        <v>13509.610666666669</v>
      </c>
      <c r="H764" s="32">
        <f>PRODUCT(H763,1/1.2,0.2)</f>
        <v>72112.788128873988</v>
      </c>
      <c r="I764" s="32">
        <f>PRODUCT(I763,1/1.2,0.2)</f>
        <v>85622.398795540648</v>
      </c>
    </row>
    <row r="765" spans="1:9" customFormat="1">
      <c r="A765" s="207"/>
      <c r="B765" s="208" t="s">
        <v>2369</v>
      </c>
      <c r="C765" s="209"/>
      <c r="D765" s="210"/>
      <c r="E765" s="31"/>
      <c r="F765" s="211"/>
      <c r="G765" s="212"/>
      <c r="H765" s="212"/>
      <c r="I765" s="212"/>
    </row>
    <row r="766" spans="1:9" customFormat="1" ht="27.6">
      <c r="A766" s="251" t="s">
        <v>991</v>
      </c>
      <c r="B766" s="465" t="s">
        <v>2081</v>
      </c>
      <c r="C766" s="466" t="s">
        <v>111</v>
      </c>
      <c r="D766" s="511">
        <v>2832.71</v>
      </c>
      <c r="E766" s="171">
        <v>430</v>
      </c>
      <c r="F766" s="512"/>
      <c r="G766" s="175">
        <f t="shared" ref="G766" si="140">D766*E766</f>
        <v>1218065.3</v>
      </c>
      <c r="H766" s="175"/>
      <c r="I766" s="175">
        <f t="shared" ref="I766" si="141">SUM(G766:H766)</f>
        <v>1218065.3</v>
      </c>
    </row>
    <row r="767" spans="1:9" customFormat="1" ht="27.6">
      <c r="A767" s="251" t="s">
        <v>1041</v>
      </c>
      <c r="B767" s="465" t="s">
        <v>2080</v>
      </c>
      <c r="C767" s="466" t="s">
        <v>111</v>
      </c>
      <c r="D767" s="493">
        <v>3945.48</v>
      </c>
      <c r="E767" s="177">
        <v>526.25</v>
      </c>
      <c r="F767" s="512"/>
      <c r="G767" s="175">
        <f t="shared" ref="G767" si="142">D767*E767</f>
        <v>2076308.85</v>
      </c>
      <c r="H767" s="175"/>
      <c r="I767" s="175">
        <f t="shared" ref="I767" si="143">SUM(G767:H767)</f>
        <v>2076308.85</v>
      </c>
    </row>
    <row r="768" spans="1:9" customFormat="1">
      <c r="A768" s="251" t="s">
        <v>992</v>
      </c>
      <c r="B768" s="465" t="s">
        <v>994</v>
      </c>
      <c r="C768" s="466" t="s">
        <v>111</v>
      </c>
      <c r="D768" s="490">
        <f>11.84+14.91+11.61+12.43</f>
        <v>50.79</v>
      </c>
      <c r="E768" s="510">
        <v>350</v>
      </c>
      <c r="F768" s="224"/>
      <c r="G768" s="175">
        <f t="shared" ref="G768:G825" si="144">D768*E768</f>
        <v>17776.5</v>
      </c>
      <c r="H768" s="175"/>
      <c r="I768" s="175">
        <f t="shared" ref="I768" si="145">SUM(G768:H768)</f>
        <v>17776.5</v>
      </c>
    </row>
    <row r="769" spans="1:9" customFormat="1">
      <c r="A769" s="251" t="s">
        <v>1076</v>
      </c>
      <c r="B769" s="476" t="s">
        <v>996</v>
      </c>
      <c r="C769" s="477" t="s">
        <v>125</v>
      </c>
      <c r="D769" s="478">
        <f>D768*3.5</f>
        <v>177.76499999999999</v>
      </c>
      <c r="E769" s="171"/>
      <c r="F769" s="224">
        <v>10.6</v>
      </c>
      <c r="G769" s="175"/>
      <c r="H769" s="175">
        <f t="shared" ref="H769:H810" si="146">D769*F769</f>
        <v>1884.3089999999997</v>
      </c>
      <c r="I769" s="175">
        <f>G769+H769</f>
        <v>1884.3089999999997</v>
      </c>
    </row>
    <row r="770" spans="1:9" customFormat="1">
      <c r="A770" s="251" t="s">
        <v>1078</v>
      </c>
      <c r="B770" s="476" t="s">
        <v>998</v>
      </c>
      <c r="C770" s="477" t="s">
        <v>111</v>
      </c>
      <c r="D770" s="478">
        <f>D768*1.05</f>
        <v>53.329500000000003</v>
      </c>
      <c r="E770" s="177"/>
      <c r="F770" s="224">
        <v>460</v>
      </c>
      <c r="G770" s="175"/>
      <c r="H770" s="175">
        <f t="shared" si="146"/>
        <v>24531.57</v>
      </c>
      <c r="I770" s="175">
        <f t="shared" ref="I770:I810" si="147">G770+H770</f>
        <v>24531.57</v>
      </c>
    </row>
    <row r="771" spans="1:9" customFormat="1">
      <c r="A771" s="251" t="s">
        <v>2374</v>
      </c>
      <c r="B771" s="476" t="s">
        <v>1000</v>
      </c>
      <c r="C771" s="477" t="s">
        <v>111</v>
      </c>
      <c r="D771" s="480">
        <f>(2.485+1.68+2.575*2)*2.86</f>
        <v>26.640900000000002</v>
      </c>
      <c r="E771" s="177">
        <v>200</v>
      </c>
      <c r="F771" s="224"/>
      <c r="G771" s="175">
        <f t="shared" si="144"/>
        <v>5328.18</v>
      </c>
      <c r="H771" s="175"/>
      <c r="I771" s="175">
        <f>SUM(G771:H771)</f>
        <v>5328.18</v>
      </c>
    </row>
    <row r="772" spans="1:9" customFormat="1">
      <c r="A772" s="251" t="s">
        <v>2375</v>
      </c>
      <c r="B772" s="479" t="s">
        <v>1002</v>
      </c>
      <c r="C772" s="477" t="s">
        <v>9</v>
      </c>
      <c r="D772" s="480">
        <f>(2.485+1.68)*2.86*0.05</f>
        <v>0.59559499999999999</v>
      </c>
      <c r="E772" s="177"/>
      <c r="F772" s="481">
        <v>3650</v>
      </c>
      <c r="G772" s="175"/>
      <c r="H772" s="175">
        <f t="shared" si="146"/>
        <v>2173.92175</v>
      </c>
      <c r="I772" s="175">
        <f t="shared" si="147"/>
        <v>2173.92175</v>
      </c>
    </row>
    <row r="773" spans="1:9" customFormat="1">
      <c r="A773" s="251" t="s">
        <v>2376</v>
      </c>
      <c r="B773" s="479" t="s">
        <v>1004</v>
      </c>
      <c r="C773" s="477" t="s">
        <v>9</v>
      </c>
      <c r="D773" s="480">
        <f>2.575*2*2.86*0.09</f>
        <v>1.32561</v>
      </c>
      <c r="E773" s="177"/>
      <c r="F773" s="481">
        <v>3650</v>
      </c>
      <c r="G773" s="175"/>
      <c r="H773" s="175">
        <f t="shared" si="146"/>
        <v>4838.4764999999998</v>
      </c>
      <c r="I773" s="175">
        <f t="shared" si="147"/>
        <v>4838.4764999999998</v>
      </c>
    </row>
    <row r="774" spans="1:9" customFormat="1">
      <c r="A774" s="251" t="s">
        <v>2377</v>
      </c>
      <c r="B774" s="479" t="s">
        <v>1005</v>
      </c>
      <c r="C774" s="482" t="s">
        <v>332</v>
      </c>
      <c r="D774" s="483">
        <f>PRODUCT(D771,6)</f>
        <v>159.84540000000001</v>
      </c>
      <c r="E774" s="225"/>
      <c r="F774" s="481">
        <v>13.6</v>
      </c>
      <c r="G774" s="226"/>
      <c r="H774" s="226">
        <f t="shared" si="146"/>
        <v>2173.8974400000002</v>
      </c>
      <c r="I774" s="226">
        <f t="shared" si="147"/>
        <v>2173.8974400000002</v>
      </c>
    </row>
    <row r="775" spans="1:9" customFormat="1">
      <c r="A775" s="251" t="s">
        <v>2378</v>
      </c>
      <c r="B775" s="485" t="s">
        <v>337</v>
      </c>
      <c r="C775" s="475" t="s">
        <v>338</v>
      </c>
      <c r="D775" s="483">
        <f>PRODUCT(D771,8,1/25)</f>
        <v>8.5250880000000002</v>
      </c>
      <c r="E775" s="225"/>
      <c r="F775" s="475">
        <v>360</v>
      </c>
      <c r="G775" s="226"/>
      <c r="H775" s="226">
        <f t="shared" si="146"/>
        <v>3069.0316800000001</v>
      </c>
      <c r="I775" s="226">
        <f t="shared" si="147"/>
        <v>3069.0316800000001</v>
      </c>
    </row>
    <row r="776" spans="1:9" customFormat="1">
      <c r="A776" s="251" t="s">
        <v>2379</v>
      </c>
      <c r="B776" s="486" t="s">
        <v>1007</v>
      </c>
      <c r="C776" s="487" t="s">
        <v>111</v>
      </c>
      <c r="D776" s="488">
        <f>11.84</f>
        <v>11.84</v>
      </c>
      <c r="E776" s="171">
        <v>450</v>
      </c>
      <c r="F776" s="103"/>
      <c r="G776" s="175">
        <f t="shared" ref="G776" si="148">D776*E776</f>
        <v>5328</v>
      </c>
      <c r="H776" s="175"/>
      <c r="I776" s="175">
        <f>SUM(G776:H776)</f>
        <v>5328</v>
      </c>
    </row>
    <row r="777" spans="1:9" customFormat="1">
      <c r="A777" s="251" t="s">
        <v>2380</v>
      </c>
      <c r="B777" s="486" t="s">
        <v>1009</v>
      </c>
      <c r="C777" s="487" t="s">
        <v>111</v>
      </c>
      <c r="D777" s="488">
        <f>D776</f>
        <v>11.84</v>
      </c>
      <c r="E777" s="171"/>
      <c r="F777" s="103">
        <v>196</v>
      </c>
      <c r="G777" s="175"/>
      <c r="H777" s="175">
        <f t="shared" ref="H777:H782" si="149">D777*F777</f>
        <v>2320.64</v>
      </c>
      <c r="I777" s="175">
        <f t="shared" ref="I777:I782" si="150">G777+H777</f>
        <v>2320.64</v>
      </c>
    </row>
    <row r="778" spans="1:9" customFormat="1">
      <c r="A778" s="251" t="s">
        <v>2381</v>
      </c>
      <c r="B778" s="295" t="s">
        <v>1011</v>
      </c>
      <c r="C778" s="487" t="s">
        <v>120</v>
      </c>
      <c r="D778" s="488">
        <f>2*D776</f>
        <v>23.68</v>
      </c>
      <c r="E778" s="171"/>
      <c r="F778" s="103">
        <v>52</v>
      </c>
      <c r="G778" s="175"/>
      <c r="H778" s="175">
        <f t="shared" si="149"/>
        <v>1231.3599999999999</v>
      </c>
      <c r="I778" s="175">
        <f t="shared" si="150"/>
        <v>1231.3599999999999</v>
      </c>
    </row>
    <row r="779" spans="1:9" customFormat="1">
      <c r="A779" s="251" t="s">
        <v>2382</v>
      </c>
      <c r="B779" s="295" t="s">
        <v>1012</v>
      </c>
      <c r="C779" s="487" t="s">
        <v>120</v>
      </c>
      <c r="D779" s="488">
        <f>0.7*D776</f>
        <v>8.2880000000000003</v>
      </c>
      <c r="E779" s="171"/>
      <c r="F779" s="103">
        <v>37.659999999999997</v>
      </c>
      <c r="G779" s="175"/>
      <c r="H779" s="175">
        <f t="shared" si="149"/>
        <v>312.12608</v>
      </c>
      <c r="I779" s="175">
        <f t="shared" si="150"/>
        <v>312.12608</v>
      </c>
    </row>
    <row r="780" spans="1:9" customFormat="1">
      <c r="A780" s="251" t="s">
        <v>2383</v>
      </c>
      <c r="B780" s="295" t="s">
        <v>1013</v>
      </c>
      <c r="C780" s="487" t="s">
        <v>20</v>
      </c>
      <c r="D780" s="488">
        <f>ROUND(0.7*D776,0.1)</f>
        <v>8</v>
      </c>
      <c r="E780" s="171"/>
      <c r="F780" s="103">
        <v>7</v>
      </c>
      <c r="G780" s="175"/>
      <c r="H780" s="175">
        <f t="shared" si="149"/>
        <v>56</v>
      </c>
      <c r="I780" s="175">
        <f t="shared" si="150"/>
        <v>56</v>
      </c>
    </row>
    <row r="781" spans="1:9" customFormat="1">
      <c r="A781" s="251" t="s">
        <v>2384</v>
      </c>
      <c r="B781" s="295" t="s">
        <v>1014</v>
      </c>
      <c r="C781" s="487" t="s">
        <v>20</v>
      </c>
      <c r="D781" s="488">
        <f>ROUND(1.6*D776,0.1)</f>
        <v>19</v>
      </c>
      <c r="E781" s="171"/>
      <c r="F781" s="103">
        <v>0.85</v>
      </c>
      <c r="G781" s="175"/>
      <c r="H781" s="175">
        <f t="shared" si="149"/>
        <v>16.149999999999999</v>
      </c>
      <c r="I781" s="175">
        <f t="shared" si="150"/>
        <v>16.149999999999999</v>
      </c>
    </row>
    <row r="782" spans="1:9" customFormat="1">
      <c r="A782" s="251" t="s">
        <v>2385</v>
      </c>
      <c r="B782" s="486" t="s">
        <v>1015</v>
      </c>
      <c r="C782" s="487" t="s">
        <v>20</v>
      </c>
      <c r="D782" s="488">
        <f>ROUND(1.4*D776,0.1)</f>
        <v>17</v>
      </c>
      <c r="E782" s="171"/>
      <c r="F782" s="103">
        <v>7</v>
      </c>
      <c r="G782" s="175"/>
      <c r="H782" s="175">
        <f t="shared" si="149"/>
        <v>119</v>
      </c>
      <c r="I782" s="175">
        <f t="shared" si="150"/>
        <v>119</v>
      </c>
    </row>
    <row r="783" spans="1:9" customFormat="1">
      <c r="A783" s="251" t="s">
        <v>2391</v>
      </c>
      <c r="B783" s="513" t="s">
        <v>2386</v>
      </c>
      <c r="C783" s="466" t="s">
        <v>111</v>
      </c>
      <c r="D783" s="467">
        <f>0.53+12.19+0.93+29.69</f>
        <v>43.34</v>
      </c>
      <c r="E783" s="510">
        <v>160</v>
      </c>
      <c r="F783" s="224"/>
      <c r="G783" s="175">
        <f t="shared" si="144"/>
        <v>6934.4000000000005</v>
      </c>
      <c r="H783" s="175"/>
      <c r="I783" s="175">
        <f>SUM(G783:H783)</f>
        <v>6934.4000000000005</v>
      </c>
    </row>
    <row r="784" spans="1:9" s="6" customFormat="1">
      <c r="A784" s="251" t="s">
        <v>2392</v>
      </c>
      <c r="B784" s="476" t="s">
        <v>1018</v>
      </c>
      <c r="C784" s="477" t="s">
        <v>125</v>
      </c>
      <c r="D784" s="489">
        <f>D783*8.5*1.5</f>
        <v>552.58500000000004</v>
      </c>
      <c r="E784" s="177"/>
      <c r="F784" s="206">
        <v>11.33</v>
      </c>
      <c r="G784" s="175"/>
      <c r="H784" s="175">
        <f t="shared" si="146"/>
        <v>6260.7880500000001</v>
      </c>
      <c r="I784" s="175">
        <f t="shared" si="147"/>
        <v>6260.7880500000001</v>
      </c>
    </row>
    <row r="785" spans="1:9" customFormat="1">
      <c r="A785" s="251" t="s">
        <v>2393</v>
      </c>
      <c r="B785" s="476" t="s">
        <v>1020</v>
      </c>
      <c r="C785" s="477" t="s">
        <v>159</v>
      </c>
      <c r="D785" s="478">
        <f>D783*0.35*2</f>
        <v>30.338000000000001</v>
      </c>
      <c r="E785" s="177"/>
      <c r="F785" s="224">
        <v>85</v>
      </c>
      <c r="G785" s="175"/>
      <c r="H785" s="175">
        <f t="shared" si="146"/>
        <v>2578.73</v>
      </c>
      <c r="I785" s="175">
        <f t="shared" si="147"/>
        <v>2578.73</v>
      </c>
    </row>
    <row r="786" spans="1:9" customFormat="1">
      <c r="A786" s="251" t="s">
        <v>993</v>
      </c>
      <c r="B786" s="513" t="s">
        <v>2387</v>
      </c>
      <c r="C786" s="466" t="s">
        <v>111</v>
      </c>
      <c r="D786" s="467">
        <f>53.34+1209.82+36.86+11.31</f>
        <v>1311.3299999999997</v>
      </c>
      <c r="E786" s="177">
        <v>200</v>
      </c>
      <c r="F786" s="224"/>
      <c r="G786" s="175">
        <f t="shared" si="144"/>
        <v>262265.99999999994</v>
      </c>
      <c r="H786" s="175"/>
      <c r="I786" s="175">
        <f>SUM(G786:H786)</f>
        <v>262265.99999999994</v>
      </c>
    </row>
    <row r="787" spans="1:9" customFormat="1">
      <c r="A787" s="251" t="s">
        <v>995</v>
      </c>
      <c r="B787" s="476" t="s">
        <v>1023</v>
      </c>
      <c r="C787" s="477" t="s">
        <v>125</v>
      </c>
      <c r="D787" s="478">
        <f>D786*8.5*2</f>
        <v>22292.609999999993</v>
      </c>
      <c r="E787" s="177"/>
      <c r="F787" s="224">
        <v>11.33</v>
      </c>
      <c r="G787" s="175"/>
      <c r="H787" s="175">
        <f t="shared" si="146"/>
        <v>252575.27129999993</v>
      </c>
      <c r="I787" s="175">
        <f t="shared" si="147"/>
        <v>252575.27129999993</v>
      </c>
    </row>
    <row r="788" spans="1:9" customFormat="1">
      <c r="A788" s="251" t="s">
        <v>997</v>
      </c>
      <c r="B788" s="476" t="s">
        <v>1025</v>
      </c>
      <c r="C788" s="477" t="s">
        <v>111</v>
      </c>
      <c r="D788" s="478">
        <f>D786*1.05</f>
        <v>1376.8964999999998</v>
      </c>
      <c r="E788" s="177"/>
      <c r="F788" s="224">
        <v>33</v>
      </c>
      <c r="G788" s="175"/>
      <c r="H788" s="175">
        <f t="shared" si="146"/>
        <v>45437.584499999997</v>
      </c>
      <c r="I788" s="175">
        <f t="shared" si="147"/>
        <v>45437.584499999997</v>
      </c>
    </row>
    <row r="789" spans="1:9" customFormat="1">
      <c r="A789" s="251" t="s">
        <v>2394</v>
      </c>
      <c r="B789" s="476" t="s">
        <v>1020</v>
      </c>
      <c r="C789" s="477" t="s">
        <v>159</v>
      </c>
      <c r="D789" s="478">
        <f>D786*0.35*2</f>
        <v>917.9309999999997</v>
      </c>
      <c r="E789" s="177"/>
      <c r="F789" s="224">
        <v>85</v>
      </c>
      <c r="G789" s="175"/>
      <c r="H789" s="175">
        <f t="shared" si="146"/>
        <v>78024.13499999998</v>
      </c>
      <c r="I789" s="175">
        <f t="shared" si="147"/>
        <v>78024.13499999998</v>
      </c>
    </row>
    <row r="790" spans="1:9" s="6" customFormat="1">
      <c r="A790" s="251" t="s">
        <v>999</v>
      </c>
      <c r="B790" s="465" t="s">
        <v>2388</v>
      </c>
      <c r="C790" s="466" t="s">
        <v>111</v>
      </c>
      <c r="D790" s="490">
        <f>0.53+12.19+0.93+29.69</f>
        <v>43.34</v>
      </c>
      <c r="E790" s="177">
        <v>90</v>
      </c>
      <c r="F790" s="206"/>
      <c r="G790" s="175">
        <f t="shared" si="144"/>
        <v>3900.6000000000004</v>
      </c>
      <c r="H790" s="175"/>
      <c r="I790" s="175">
        <f>SUM(G790:H790)</f>
        <v>3900.6000000000004</v>
      </c>
    </row>
    <row r="791" spans="1:9" customFormat="1">
      <c r="A791" s="251" t="s">
        <v>1001</v>
      </c>
      <c r="B791" s="465" t="s">
        <v>1029</v>
      </c>
      <c r="C791" s="466" t="s">
        <v>125</v>
      </c>
      <c r="D791" s="490">
        <f>0.8*D790</f>
        <v>34.672000000000004</v>
      </c>
      <c r="E791" s="177"/>
      <c r="F791" s="206">
        <v>17.5</v>
      </c>
      <c r="G791" s="175"/>
      <c r="H791" s="175">
        <f t="shared" si="146"/>
        <v>606.7600000000001</v>
      </c>
      <c r="I791" s="175">
        <f t="shared" si="147"/>
        <v>606.7600000000001</v>
      </c>
    </row>
    <row r="792" spans="1:9" customFormat="1">
      <c r="A792" s="251" t="s">
        <v>1003</v>
      </c>
      <c r="B792" s="476" t="s">
        <v>1031</v>
      </c>
      <c r="C792" s="477" t="s">
        <v>159</v>
      </c>
      <c r="D792" s="478">
        <f>D790*0.35</f>
        <v>15.169</v>
      </c>
      <c r="E792" s="177"/>
      <c r="F792" s="206">
        <v>85</v>
      </c>
      <c r="G792" s="175"/>
      <c r="H792" s="175">
        <f t="shared" si="146"/>
        <v>1289.365</v>
      </c>
      <c r="I792" s="175">
        <f t="shared" si="147"/>
        <v>1289.365</v>
      </c>
    </row>
    <row r="793" spans="1:9" customFormat="1">
      <c r="A793" s="251" t="s">
        <v>1016</v>
      </c>
      <c r="B793" s="465" t="s">
        <v>2389</v>
      </c>
      <c r="C793" s="466" t="s">
        <v>111</v>
      </c>
      <c r="D793" s="490">
        <f>0.53+53.34+1209.82+12.19+36.86+0.93+29.69+11.31</f>
        <v>1354.67</v>
      </c>
      <c r="E793" s="177">
        <v>80</v>
      </c>
      <c r="F793" s="206"/>
      <c r="G793" s="175">
        <f t="shared" si="144"/>
        <v>108373.6</v>
      </c>
      <c r="H793" s="175"/>
      <c r="I793" s="175">
        <f>SUM(G793:H793)</f>
        <v>108373.6</v>
      </c>
    </row>
    <row r="794" spans="1:9" customFormat="1">
      <c r="A794" s="251" t="s">
        <v>1017</v>
      </c>
      <c r="B794" s="491" t="s">
        <v>1035</v>
      </c>
      <c r="C794" s="466" t="s">
        <v>125</v>
      </c>
      <c r="D794" s="490">
        <f>D793*0.34*2</f>
        <v>921.17560000000014</v>
      </c>
      <c r="E794" s="177"/>
      <c r="F794" s="224">
        <v>69.23</v>
      </c>
      <c r="G794" s="175"/>
      <c r="H794" s="175">
        <f t="shared" si="146"/>
        <v>63772.986788000017</v>
      </c>
      <c r="I794" s="175">
        <f t="shared" si="147"/>
        <v>63772.986788000017</v>
      </c>
    </row>
    <row r="795" spans="1:9" customFormat="1">
      <c r="A795" s="251" t="s">
        <v>1019</v>
      </c>
      <c r="B795" s="476" t="s">
        <v>1031</v>
      </c>
      <c r="C795" s="477" t="s">
        <v>159</v>
      </c>
      <c r="D795" s="478">
        <f>D793*0.35</f>
        <v>474.1345</v>
      </c>
      <c r="E795" s="177"/>
      <c r="F795" s="224">
        <v>85</v>
      </c>
      <c r="G795" s="175"/>
      <c r="H795" s="175">
        <f t="shared" si="146"/>
        <v>40301.432500000003</v>
      </c>
      <c r="I795" s="175">
        <f t="shared" si="147"/>
        <v>40301.432500000003</v>
      </c>
    </row>
    <row r="796" spans="1:9" s="6" customFormat="1">
      <c r="A796" s="251" t="s">
        <v>1021</v>
      </c>
      <c r="B796" s="496" t="s">
        <v>2390</v>
      </c>
      <c r="C796" s="482" t="s">
        <v>111</v>
      </c>
      <c r="D796" s="495">
        <f>2.8*1.37+2.8*2.8*24+5.48*76.33+5.77*76.33+1.58*74.15+0.93*74.15+1.83*74.15</f>
        <v>1372.5194999999999</v>
      </c>
      <c r="E796" s="294">
        <v>200</v>
      </c>
      <c r="F796" s="481"/>
      <c r="G796" s="175">
        <f t="shared" si="144"/>
        <v>274503.89999999997</v>
      </c>
      <c r="H796" s="226"/>
      <c r="I796" s="175">
        <f>SUM(G796:H796)</f>
        <v>274503.89999999997</v>
      </c>
    </row>
    <row r="797" spans="1:9" s="6" customFormat="1">
      <c r="A797" s="251" t="s">
        <v>1022</v>
      </c>
      <c r="B797" s="465" t="s">
        <v>1004</v>
      </c>
      <c r="C797" s="492" t="s">
        <v>9</v>
      </c>
      <c r="D797" s="493">
        <f>(2.8*1.37+2.8*2.8*24+5.48*76.33+5.77*76.33)*0.09*1.3</f>
        <v>122.93289449999999</v>
      </c>
      <c r="E797" s="494"/>
      <c r="F797" s="481">
        <v>3650</v>
      </c>
      <c r="G797" s="175"/>
      <c r="H797" s="175">
        <f t="shared" si="146"/>
        <v>448705.06492499996</v>
      </c>
      <c r="I797" s="175">
        <f t="shared" si="147"/>
        <v>448705.06492499996</v>
      </c>
    </row>
    <row r="798" spans="1:9" s="6" customFormat="1">
      <c r="A798" s="251" t="s">
        <v>1024</v>
      </c>
      <c r="B798" s="465" t="s">
        <v>1040</v>
      </c>
      <c r="C798" s="492" t="s">
        <v>9</v>
      </c>
      <c r="D798" s="493">
        <f>1.58*74.15*0.12*1.3</f>
        <v>18.276492000000001</v>
      </c>
      <c r="E798" s="494"/>
      <c r="F798" s="481">
        <v>3650</v>
      </c>
      <c r="G798" s="175"/>
      <c r="H798" s="175">
        <f t="shared" si="146"/>
        <v>66709.195800000001</v>
      </c>
      <c r="I798" s="175">
        <f t="shared" si="147"/>
        <v>66709.195800000001</v>
      </c>
    </row>
    <row r="799" spans="1:9" s="6" customFormat="1">
      <c r="A799" s="251" t="s">
        <v>1026</v>
      </c>
      <c r="B799" s="465" t="s">
        <v>1002</v>
      </c>
      <c r="C799" s="492" t="s">
        <v>9</v>
      </c>
      <c r="D799" s="493">
        <f>(0.93*74.15+1.83*74.15)*0.05*1.3</f>
        <v>13.302510000000002</v>
      </c>
      <c r="E799" s="494"/>
      <c r="F799" s="481">
        <v>3650</v>
      </c>
      <c r="G799" s="175"/>
      <c r="H799" s="175">
        <f t="shared" si="146"/>
        <v>48554.161500000009</v>
      </c>
      <c r="I799" s="175">
        <f t="shared" si="147"/>
        <v>48554.161500000009</v>
      </c>
    </row>
    <row r="800" spans="1:9" s="6" customFormat="1">
      <c r="A800" s="251" t="s">
        <v>2395</v>
      </c>
      <c r="B800" s="479" t="s">
        <v>1005</v>
      </c>
      <c r="C800" s="482" t="s">
        <v>332</v>
      </c>
      <c r="D800" s="483">
        <f>PRODUCT(D796,6)</f>
        <v>8235.1169999999984</v>
      </c>
      <c r="E800" s="225">
        <v>0</v>
      </c>
      <c r="F800" s="484">
        <v>13.6</v>
      </c>
      <c r="G800" s="175"/>
      <c r="H800" s="175">
        <f t="shared" si="146"/>
        <v>111997.59119999998</v>
      </c>
      <c r="I800" s="175">
        <f t="shared" si="147"/>
        <v>111997.59119999998</v>
      </c>
    </row>
    <row r="801" spans="1:9" s="6" customFormat="1">
      <c r="A801" s="251" t="s">
        <v>2396</v>
      </c>
      <c r="B801" s="485" t="s">
        <v>337</v>
      </c>
      <c r="C801" s="475" t="s">
        <v>338</v>
      </c>
      <c r="D801" s="483">
        <f>PRODUCT(D796,8,1/25)</f>
        <v>439.20623999999998</v>
      </c>
      <c r="E801" s="225"/>
      <c r="F801" s="475">
        <v>360</v>
      </c>
      <c r="G801" s="175"/>
      <c r="H801" s="175">
        <f t="shared" si="146"/>
        <v>158114.2464</v>
      </c>
      <c r="I801" s="175">
        <f t="shared" si="147"/>
        <v>158114.2464</v>
      </c>
    </row>
    <row r="802" spans="1:9" s="6" customFormat="1">
      <c r="A802" s="251" t="s">
        <v>1027</v>
      </c>
      <c r="B802" s="486" t="s">
        <v>1043</v>
      </c>
      <c r="C802" s="487" t="s">
        <v>111</v>
      </c>
      <c r="D802" s="488">
        <f>148.76+1951.37</f>
        <v>2100.13</v>
      </c>
      <c r="E802" s="103">
        <v>200</v>
      </c>
      <c r="F802" s="103"/>
      <c r="G802" s="175">
        <f t="shared" si="144"/>
        <v>420026</v>
      </c>
      <c r="H802" s="175"/>
      <c r="I802" s="175">
        <f>SUM(G802:H802)</f>
        <v>420026</v>
      </c>
    </row>
    <row r="803" spans="1:9" customFormat="1">
      <c r="A803" s="251" t="s">
        <v>1028</v>
      </c>
      <c r="B803" s="479" t="s">
        <v>1045</v>
      </c>
      <c r="C803" s="487" t="s">
        <v>20</v>
      </c>
      <c r="D803" s="495">
        <f>D802*2.78</f>
        <v>5838.3613999999998</v>
      </c>
      <c r="E803" s="206"/>
      <c r="F803" s="206">
        <v>107.13</v>
      </c>
      <c r="G803" s="175"/>
      <c r="H803" s="175">
        <f t="shared" si="146"/>
        <v>625463.65678199998</v>
      </c>
      <c r="I803" s="175">
        <f t="shared" si="147"/>
        <v>625463.65678199998</v>
      </c>
    </row>
    <row r="804" spans="1:9" customFormat="1">
      <c r="A804" s="251" t="s">
        <v>1030</v>
      </c>
      <c r="B804" s="479" t="s">
        <v>1047</v>
      </c>
      <c r="C804" s="487" t="s">
        <v>20</v>
      </c>
      <c r="D804" s="495">
        <f>D802*1.5</f>
        <v>3150.1950000000002</v>
      </c>
      <c r="E804" s="206"/>
      <c r="F804" s="206">
        <v>15</v>
      </c>
      <c r="G804" s="175"/>
      <c r="H804" s="175">
        <f t="shared" si="146"/>
        <v>47252.925000000003</v>
      </c>
      <c r="I804" s="175">
        <f t="shared" si="147"/>
        <v>47252.925000000003</v>
      </c>
    </row>
    <row r="805" spans="1:9" customFormat="1">
      <c r="A805" s="251" t="s">
        <v>2397</v>
      </c>
      <c r="B805" s="479" t="s">
        <v>1048</v>
      </c>
      <c r="C805" s="487" t="s">
        <v>20</v>
      </c>
      <c r="D805" s="495">
        <f>D802*1.5</f>
        <v>3150.1950000000002</v>
      </c>
      <c r="E805" s="206"/>
      <c r="F805" s="206">
        <v>29</v>
      </c>
      <c r="G805" s="175"/>
      <c r="H805" s="175">
        <f t="shared" si="146"/>
        <v>91355.654999999999</v>
      </c>
      <c r="I805" s="175">
        <f t="shared" si="147"/>
        <v>91355.654999999999</v>
      </c>
    </row>
    <row r="806" spans="1:9" customFormat="1">
      <c r="A806" s="251" t="s">
        <v>2398</v>
      </c>
      <c r="B806" s="479" t="s">
        <v>1049</v>
      </c>
      <c r="C806" s="487" t="s">
        <v>20</v>
      </c>
      <c r="D806" s="495">
        <f>D802*0.25</f>
        <v>525.03250000000003</v>
      </c>
      <c r="E806" s="206"/>
      <c r="F806" s="206">
        <v>86.26</v>
      </c>
      <c r="G806" s="175"/>
      <c r="H806" s="175">
        <f t="shared" si="146"/>
        <v>45289.303450000007</v>
      </c>
      <c r="I806" s="175">
        <f t="shared" si="147"/>
        <v>45289.303450000007</v>
      </c>
    </row>
    <row r="807" spans="1:9" customFormat="1">
      <c r="A807" s="251" t="s">
        <v>2399</v>
      </c>
      <c r="B807" s="479" t="s">
        <v>1050</v>
      </c>
      <c r="C807" s="487" t="s">
        <v>20</v>
      </c>
      <c r="D807" s="495">
        <f>((2.26+4.6+6.61+5+2.35+20.39+22+5.68+5.68+1.615*2+0.48*4+0.55*4)+(1.83+3.495+19.3+17.47+6.8+5.19+10.045+15.7+5.205+1.9+1.86+5+3.22+4.47+4.47+3.1)*23)/3</f>
        <v>863.39499999999998</v>
      </c>
      <c r="E807" s="206"/>
      <c r="F807" s="206">
        <v>76.84</v>
      </c>
      <c r="G807" s="175"/>
      <c r="H807" s="175">
        <f t="shared" si="146"/>
        <v>66343.271800000002</v>
      </c>
      <c r="I807" s="175">
        <f t="shared" si="147"/>
        <v>66343.271800000002</v>
      </c>
    </row>
    <row r="808" spans="1:9" customFormat="1">
      <c r="A808" s="251" t="s">
        <v>2400</v>
      </c>
      <c r="B808" s="479" t="s">
        <v>1051</v>
      </c>
      <c r="C808" s="487" t="s">
        <v>20</v>
      </c>
      <c r="D808" s="495">
        <f>ROUND(D802*0.69,0.1)</f>
        <v>1449</v>
      </c>
      <c r="E808" s="206"/>
      <c r="F808" s="206">
        <v>6.85</v>
      </c>
      <c r="G808" s="175"/>
      <c r="H808" s="175">
        <f t="shared" si="146"/>
        <v>9925.65</v>
      </c>
      <c r="I808" s="175">
        <f t="shared" si="147"/>
        <v>9925.65</v>
      </c>
    </row>
    <row r="809" spans="1:9" customFormat="1">
      <c r="A809" s="251" t="s">
        <v>2401</v>
      </c>
      <c r="B809" s="479" t="s">
        <v>1052</v>
      </c>
      <c r="C809" s="487" t="s">
        <v>20</v>
      </c>
      <c r="D809" s="495">
        <f>ROUND(D802*0.69,0.1)</f>
        <v>1449</v>
      </c>
      <c r="E809" s="206"/>
      <c r="F809" s="206">
        <v>10.17</v>
      </c>
      <c r="G809" s="175"/>
      <c r="H809" s="175">
        <f t="shared" si="146"/>
        <v>14736.33</v>
      </c>
      <c r="I809" s="175">
        <f t="shared" si="147"/>
        <v>14736.33</v>
      </c>
    </row>
    <row r="810" spans="1:9" customFormat="1">
      <c r="A810" s="251" t="s">
        <v>2402</v>
      </c>
      <c r="B810" s="479" t="s">
        <v>1053</v>
      </c>
      <c r="C810" s="487" t="s">
        <v>20</v>
      </c>
      <c r="D810" s="495">
        <f>ROUND(2*D807,0.1)</f>
        <v>1727</v>
      </c>
      <c r="E810" s="206"/>
      <c r="F810" s="206">
        <v>1.37</v>
      </c>
      <c r="G810" s="175"/>
      <c r="H810" s="175">
        <f t="shared" si="146"/>
        <v>2365.9900000000002</v>
      </c>
      <c r="I810" s="175">
        <f t="shared" si="147"/>
        <v>2365.9900000000002</v>
      </c>
    </row>
    <row r="811" spans="1:9" s="6" customFormat="1">
      <c r="A811" s="251" t="s">
        <v>1032</v>
      </c>
      <c r="B811" s="486" t="s">
        <v>2370</v>
      </c>
      <c r="C811" s="487" t="s">
        <v>111</v>
      </c>
      <c r="D811" s="488">
        <f>11.47+17.73</f>
        <v>29.200000000000003</v>
      </c>
      <c r="E811" s="171">
        <v>450</v>
      </c>
      <c r="F811" s="206"/>
      <c r="G811" s="175">
        <f t="shared" si="144"/>
        <v>13140.000000000002</v>
      </c>
      <c r="H811" s="175"/>
      <c r="I811" s="175">
        <f>SUM(G811:H811)</f>
        <v>13140.000000000002</v>
      </c>
    </row>
    <row r="812" spans="1:9" customFormat="1">
      <c r="A812" s="251" t="s">
        <v>1034</v>
      </c>
      <c r="B812" s="486" t="s">
        <v>1009</v>
      </c>
      <c r="C812" s="487" t="s">
        <v>111</v>
      </c>
      <c r="D812" s="488">
        <f>D811</f>
        <v>29.200000000000003</v>
      </c>
      <c r="E812" s="171"/>
      <c r="F812" s="103">
        <v>196</v>
      </c>
      <c r="G812" s="175"/>
      <c r="H812" s="175">
        <f t="shared" ref="H812:H864" si="151">D812*F812</f>
        <v>5723.2000000000007</v>
      </c>
      <c r="I812" s="175">
        <f t="shared" ref="I812:I864" si="152">G812+H812</f>
        <v>5723.2000000000007</v>
      </c>
    </row>
    <row r="813" spans="1:9" customFormat="1">
      <c r="A813" s="251" t="s">
        <v>1036</v>
      </c>
      <c r="B813" s="295" t="s">
        <v>1011</v>
      </c>
      <c r="C813" s="487" t="s">
        <v>120</v>
      </c>
      <c r="D813" s="488">
        <f>2.9*D811</f>
        <v>84.68</v>
      </c>
      <c r="E813" s="171"/>
      <c r="F813" s="103">
        <v>52</v>
      </c>
      <c r="G813" s="175"/>
      <c r="H813" s="175">
        <f t="shared" si="151"/>
        <v>4403.3600000000006</v>
      </c>
      <c r="I813" s="175">
        <f t="shared" si="152"/>
        <v>4403.3600000000006</v>
      </c>
    </row>
    <row r="814" spans="1:9" customFormat="1">
      <c r="A814" s="251" t="s">
        <v>2404</v>
      </c>
      <c r="B814" s="295" t="s">
        <v>1012</v>
      </c>
      <c r="C814" s="487" t="s">
        <v>120</v>
      </c>
      <c r="D814" s="488">
        <f>4.78*2+2.4*2</f>
        <v>14.36</v>
      </c>
      <c r="E814" s="171"/>
      <c r="F814" s="103">
        <v>37.659999999999997</v>
      </c>
      <c r="G814" s="175"/>
      <c r="H814" s="175">
        <f t="shared" si="151"/>
        <v>540.79759999999987</v>
      </c>
      <c r="I814" s="175">
        <f t="shared" si="152"/>
        <v>540.79759999999987</v>
      </c>
    </row>
    <row r="815" spans="1:9" customFormat="1">
      <c r="A815" s="251" t="s">
        <v>2405</v>
      </c>
      <c r="B815" s="295" t="s">
        <v>1057</v>
      </c>
      <c r="C815" s="487" t="s">
        <v>20</v>
      </c>
      <c r="D815" s="488">
        <f>ROUND(1.7*D811,0.1)</f>
        <v>50</v>
      </c>
      <c r="E815" s="171"/>
      <c r="F815" s="103">
        <v>7</v>
      </c>
      <c r="G815" s="175"/>
      <c r="H815" s="175">
        <f t="shared" si="151"/>
        <v>350</v>
      </c>
      <c r="I815" s="175">
        <f t="shared" si="152"/>
        <v>350</v>
      </c>
    </row>
    <row r="816" spans="1:9" customFormat="1">
      <c r="A816" s="251" t="s">
        <v>2406</v>
      </c>
      <c r="B816" s="295" t="s">
        <v>1013</v>
      </c>
      <c r="C816" s="487" t="s">
        <v>20</v>
      </c>
      <c r="D816" s="488">
        <f>ROUND(0.7*D811,0.1)</f>
        <v>20</v>
      </c>
      <c r="E816" s="171"/>
      <c r="F816" s="103">
        <v>7</v>
      </c>
      <c r="G816" s="175"/>
      <c r="H816" s="175">
        <f t="shared" si="151"/>
        <v>140</v>
      </c>
      <c r="I816" s="175">
        <f t="shared" si="152"/>
        <v>140</v>
      </c>
    </row>
    <row r="817" spans="1:9" customFormat="1">
      <c r="A817" s="251" t="s">
        <v>2407</v>
      </c>
      <c r="B817" s="295" t="s">
        <v>1014</v>
      </c>
      <c r="C817" s="487" t="s">
        <v>20</v>
      </c>
      <c r="D817" s="488">
        <f>2*D814</f>
        <v>28.72</v>
      </c>
      <c r="E817" s="171"/>
      <c r="F817" s="103">
        <v>0.85</v>
      </c>
      <c r="G817" s="175"/>
      <c r="H817" s="175">
        <f t="shared" si="151"/>
        <v>24.411999999999999</v>
      </c>
      <c r="I817" s="175">
        <f t="shared" si="152"/>
        <v>24.411999999999999</v>
      </c>
    </row>
    <row r="818" spans="1:9" customFormat="1">
      <c r="A818" s="251" t="s">
        <v>2408</v>
      </c>
      <c r="B818" s="486" t="s">
        <v>1015</v>
      </c>
      <c r="C818" s="487" t="s">
        <v>20</v>
      </c>
      <c r="D818" s="488">
        <f>ROUND(1.4*D811,0.1)</f>
        <v>41</v>
      </c>
      <c r="E818" s="171"/>
      <c r="F818" s="103">
        <v>7</v>
      </c>
      <c r="G818" s="175"/>
      <c r="H818" s="175">
        <f t="shared" si="151"/>
        <v>287</v>
      </c>
      <c r="I818" s="175">
        <f t="shared" si="152"/>
        <v>287</v>
      </c>
    </row>
    <row r="819" spans="1:9" customFormat="1">
      <c r="A819" s="251" t="s">
        <v>1006</v>
      </c>
      <c r="B819" s="465" t="s">
        <v>2371</v>
      </c>
      <c r="C819" s="466" t="s">
        <v>111</v>
      </c>
      <c r="D819" s="490">
        <f>5.04+390.06+28.29+158.01</f>
        <v>581.40000000000009</v>
      </c>
      <c r="E819" s="171">
        <v>90</v>
      </c>
      <c r="F819" s="206"/>
      <c r="G819" s="175">
        <f t="shared" si="144"/>
        <v>52326.000000000007</v>
      </c>
      <c r="H819" s="175"/>
      <c r="I819" s="175">
        <f>SUM(G819:H819)</f>
        <v>52326.000000000007</v>
      </c>
    </row>
    <row r="820" spans="1:9" customFormat="1">
      <c r="A820" s="251" t="s">
        <v>1008</v>
      </c>
      <c r="B820" s="465" t="s">
        <v>1059</v>
      </c>
      <c r="C820" s="466" t="s">
        <v>125</v>
      </c>
      <c r="D820" s="490">
        <f>0.8*D819</f>
        <v>465.12000000000012</v>
      </c>
      <c r="E820" s="171"/>
      <c r="F820" s="206">
        <v>17.010000000000002</v>
      </c>
      <c r="G820" s="175"/>
      <c r="H820" s="175">
        <f t="shared" si="151"/>
        <v>7911.6912000000029</v>
      </c>
      <c r="I820" s="175">
        <f t="shared" si="152"/>
        <v>7911.6912000000029</v>
      </c>
    </row>
    <row r="821" spans="1:9" customFormat="1">
      <c r="A821" s="251" t="s">
        <v>1010</v>
      </c>
      <c r="B821" s="476" t="s">
        <v>1031</v>
      </c>
      <c r="C821" s="477" t="s">
        <v>159</v>
      </c>
      <c r="D821" s="478">
        <f>D819*0.35</f>
        <v>203.49</v>
      </c>
      <c r="E821" s="171"/>
      <c r="F821" s="206">
        <v>85</v>
      </c>
      <c r="G821" s="175"/>
      <c r="H821" s="175">
        <f t="shared" si="151"/>
        <v>17296.650000000001</v>
      </c>
      <c r="I821" s="175">
        <f t="shared" si="152"/>
        <v>17296.650000000001</v>
      </c>
    </row>
    <row r="822" spans="1:9" s="6" customFormat="1">
      <c r="A822" s="251" t="s">
        <v>1037</v>
      </c>
      <c r="B822" s="465" t="s">
        <v>1033</v>
      </c>
      <c r="C822" s="466" t="s">
        <v>111</v>
      </c>
      <c r="D822" s="490">
        <f>5.04+390.06+28.29+158.01</f>
        <v>581.40000000000009</v>
      </c>
      <c r="E822" s="171">
        <v>100</v>
      </c>
      <c r="F822" s="103"/>
      <c r="G822" s="175">
        <f t="shared" si="144"/>
        <v>58140.000000000007</v>
      </c>
      <c r="H822" s="175"/>
      <c r="I822" s="175">
        <f>SUM(G822:H822)</f>
        <v>58140.000000000007</v>
      </c>
    </row>
    <row r="823" spans="1:9" customFormat="1">
      <c r="A823" s="251" t="s">
        <v>1038</v>
      </c>
      <c r="B823" s="465" t="s">
        <v>1062</v>
      </c>
      <c r="C823" s="466" t="s">
        <v>125</v>
      </c>
      <c r="D823" s="490">
        <f>D822*0.34</f>
        <v>197.67600000000004</v>
      </c>
      <c r="E823" s="171"/>
      <c r="F823" s="206">
        <v>69.23</v>
      </c>
      <c r="G823" s="175"/>
      <c r="H823" s="175">
        <f t="shared" si="151"/>
        <v>13685.109480000005</v>
      </c>
      <c r="I823" s="175">
        <f t="shared" si="152"/>
        <v>13685.109480000005</v>
      </c>
    </row>
    <row r="824" spans="1:9" customFormat="1">
      <c r="A824" s="251" t="s">
        <v>1039</v>
      </c>
      <c r="B824" s="476" t="s">
        <v>1031</v>
      </c>
      <c r="C824" s="477" t="s">
        <v>159</v>
      </c>
      <c r="D824" s="478">
        <f>D822*0.35</f>
        <v>203.49</v>
      </c>
      <c r="E824" s="171"/>
      <c r="F824" s="206">
        <v>85</v>
      </c>
      <c r="G824" s="175"/>
      <c r="H824" s="175">
        <f t="shared" si="151"/>
        <v>17296.650000000001</v>
      </c>
      <c r="I824" s="175">
        <f t="shared" si="152"/>
        <v>17296.650000000001</v>
      </c>
    </row>
    <row r="825" spans="1:9" s="6" customFormat="1">
      <c r="A825" s="251" t="s">
        <v>2411</v>
      </c>
      <c r="B825" s="479" t="s">
        <v>1064</v>
      </c>
      <c r="C825" s="482" t="s">
        <v>111</v>
      </c>
      <c r="D825" s="509">
        <f>6.59*2+5.9*2+6.03*2+6.8*2+6.7*2+19.2*2+3.5*2+4*2</f>
        <v>117.44</v>
      </c>
      <c r="E825" s="259">
        <v>200</v>
      </c>
      <c r="F825" s="259"/>
      <c r="G825" s="175">
        <f t="shared" si="144"/>
        <v>23488</v>
      </c>
      <c r="H825" s="175"/>
      <c r="I825" s="175">
        <f>SUM(G825:H825)</f>
        <v>23488</v>
      </c>
    </row>
    <row r="826" spans="1:9" s="6" customFormat="1">
      <c r="A826" s="251" t="s">
        <v>2409</v>
      </c>
      <c r="B826" s="496" t="s">
        <v>1066</v>
      </c>
      <c r="C826" s="482" t="s">
        <v>9</v>
      </c>
      <c r="D826" s="495">
        <f>D825*0.04*1.03</f>
        <v>4.8385280000000002</v>
      </c>
      <c r="E826" s="497"/>
      <c r="F826" s="259">
        <v>5526</v>
      </c>
      <c r="G826" s="175"/>
      <c r="H826" s="175">
        <f t="shared" si="151"/>
        <v>26737.705728000001</v>
      </c>
      <c r="I826" s="175">
        <f t="shared" si="152"/>
        <v>26737.705728000001</v>
      </c>
    </row>
    <row r="827" spans="1:9" s="6" customFormat="1">
      <c r="A827" s="251" t="s">
        <v>2412</v>
      </c>
      <c r="B827" s="496" t="s">
        <v>1067</v>
      </c>
      <c r="C827" s="482" t="s">
        <v>20</v>
      </c>
      <c r="D827" s="495">
        <f>ROUND(D825*8,0.1)</f>
        <v>940</v>
      </c>
      <c r="E827" s="498"/>
      <c r="F827" s="481">
        <v>2.9</v>
      </c>
      <c r="G827" s="175"/>
      <c r="H827" s="175">
        <f t="shared" si="151"/>
        <v>2726</v>
      </c>
      <c r="I827" s="175">
        <f t="shared" si="152"/>
        <v>2726</v>
      </c>
    </row>
    <row r="828" spans="1:9" s="6" customFormat="1">
      <c r="A828" s="251" t="s">
        <v>2410</v>
      </c>
      <c r="B828" s="496" t="s">
        <v>1068</v>
      </c>
      <c r="C828" s="482" t="s">
        <v>111</v>
      </c>
      <c r="D828" s="495">
        <f>D825*1.02</f>
        <v>119.78879999999999</v>
      </c>
      <c r="E828" s="498"/>
      <c r="F828" s="481">
        <v>21.58</v>
      </c>
      <c r="G828" s="175"/>
      <c r="H828" s="175">
        <f t="shared" si="151"/>
        <v>2585.0423039999996</v>
      </c>
      <c r="I828" s="175">
        <f t="shared" si="152"/>
        <v>2585.0423039999996</v>
      </c>
    </row>
    <row r="829" spans="1:9" s="6" customFormat="1">
      <c r="A829" s="251" t="s">
        <v>2413</v>
      </c>
      <c r="B829" s="496" t="s">
        <v>1070</v>
      </c>
      <c r="C829" s="482" t="s">
        <v>111</v>
      </c>
      <c r="D829" s="495">
        <f>2.93*2.725*2</f>
        <v>15.968500000000001</v>
      </c>
      <c r="E829" s="294">
        <v>200</v>
      </c>
      <c r="F829" s="481"/>
      <c r="G829" s="175">
        <f t="shared" ref="G829:G861" si="153">D829*E829</f>
        <v>3193.7000000000003</v>
      </c>
      <c r="H829" s="175"/>
      <c r="I829" s="175">
        <f>SUM(G829:H829)</f>
        <v>3193.7000000000003</v>
      </c>
    </row>
    <row r="830" spans="1:9" s="6" customFormat="1">
      <c r="A830" s="251" t="s">
        <v>2403</v>
      </c>
      <c r="B830" s="499" t="s">
        <v>1072</v>
      </c>
      <c r="C830" s="492" t="s">
        <v>9</v>
      </c>
      <c r="D830" s="500">
        <f>D829*0.15*1.3</f>
        <v>3.1138574999999999</v>
      </c>
      <c r="E830" s="494"/>
      <c r="F830" s="481">
        <v>3650</v>
      </c>
      <c r="G830" s="175"/>
      <c r="H830" s="175">
        <f t="shared" si="151"/>
        <v>11365.579874999999</v>
      </c>
      <c r="I830" s="175">
        <f t="shared" si="152"/>
        <v>11365.579874999999</v>
      </c>
    </row>
    <row r="831" spans="1:9" s="6" customFormat="1" ht="15.6">
      <c r="A831" s="251" t="s">
        <v>2414</v>
      </c>
      <c r="B831" s="501" t="s">
        <v>1005</v>
      </c>
      <c r="C831" s="482" t="s">
        <v>20</v>
      </c>
      <c r="D831" s="502">
        <f>PRODUCT(D829,6)</f>
        <v>95.811000000000007</v>
      </c>
      <c r="E831" s="494"/>
      <c r="F831" s="481">
        <v>10.5</v>
      </c>
      <c r="G831" s="175"/>
      <c r="H831" s="175">
        <f t="shared" si="151"/>
        <v>1006.0155000000001</v>
      </c>
      <c r="I831" s="175">
        <f t="shared" si="152"/>
        <v>1006.0155000000001</v>
      </c>
    </row>
    <row r="832" spans="1:9" s="6" customFormat="1">
      <c r="A832" s="251" t="s">
        <v>1042</v>
      </c>
      <c r="B832" s="465" t="s">
        <v>2372</v>
      </c>
      <c r="C832" s="466" t="s">
        <v>111</v>
      </c>
      <c r="D832" s="490">
        <f>17.02+391.46+16.89</f>
        <v>425.36999999999995</v>
      </c>
      <c r="E832" s="171">
        <v>90</v>
      </c>
      <c r="F832" s="103"/>
      <c r="G832" s="175">
        <f t="shared" si="153"/>
        <v>38283.299999999996</v>
      </c>
      <c r="H832" s="175"/>
      <c r="I832" s="175">
        <f>SUM(G832:H832)</f>
        <v>38283.299999999996</v>
      </c>
    </row>
    <row r="833" spans="1:9" customFormat="1">
      <c r="A833" s="251" t="s">
        <v>1044</v>
      </c>
      <c r="B833" s="465" t="s">
        <v>1059</v>
      </c>
      <c r="C833" s="466" t="s">
        <v>125</v>
      </c>
      <c r="D833" s="490">
        <f>0.8*D832</f>
        <v>340.29599999999999</v>
      </c>
      <c r="E833" s="171"/>
      <c r="F833" s="206">
        <v>17.5</v>
      </c>
      <c r="G833" s="175"/>
      <c r="H833" s="175">
        <f t="shared" si="151"/>
        <v>5955.18</v>
      </c>
      <c r="I833" s="175">
        <f t="shared" si="152"/>
        <v>5955.18</v>
      </c>
    </row>
    <row r="834" spans="1:9" customFormat="1">
      <c r="A834" s="251" t="s">
        <v>1046</v>
      </c>
      <c r="B834" s="476" t="s">
        <v>1031</v>
      </c>
      <c r="C834" s="477" t="s">
        <v>159</v>
      </c>
      <c r="D834" s="478">
        <f>D832*0.35</f>
        <v>148.87949999999998</v>
      </c>
      <c r="E834" s="171"/>
      <c r="F834" s="206">
        <v>85</v>
      </c>
      <c r="G834" s="175"/>
      <c r="H834" s="175">
        <f t="shared" si="151"/>
        <v>12654.757499999998</v>
      </c>
      <c r="I834" s="175">
        <f t="shared" si="152"/>
        <v>12654.757499999998</v>
      </c>
    </row>
    <row r="835" spans="1:9" customFormat="1">
      <c r="A835" s="251" t="s">
        <v>1054</v>
      </c>
      <c r="B835" s="465" t="s">
        <v>2373</v>
      </c>
      <c r="C835" s="466" t="s">
        <v>111</v>
      </c>
      <c r="D835" s="490">
        <f>17.02+391.46+16.89</f>
        <v>425.36999999999995</v>
      </c>
      <c r="E835" s="171">
        <v>100</v>
      </c>
      <c r="F835" s="206"/>
      <c r="G835" s="175">
        <f t="shared" si="153"/>
        <v>42536.999999999993</v>
      </c>
      <c r="H835" s="175"/>
      <c r="I835" s="175">
        <f>SUM(G835:H835)</f>
        <v>42536.999999999993</v>
      </c>
    </row>
    <row r="836" spans="1:9" s="6" customFormat="1">
      <c r="A836" s="251" t="s">
        <v>1055</v>
      </c>
      <c r="B836" s="491" t="s">
        <v>1035</v>
      </c>
      <c r="C836" s="466" t="s">
        <v>125</v>
      </c>
      <c r="D836" s="490">
        <f>D835*0.34</f>
        <v>144.6258</v>
      </c>
      <c r="E836" s="171"/>
      <c r="F836" s="103">
        <v>69.23</v>
      </c>
      <c r="G836" s="175"/>
      <c r="H836" s="175">
        <f t="shared" si="151"/>
        <v>10012.444134000001</v>
      </c>
      <c r="I836" s="175">
        <f t="shared" si="152"/>
        <v>10012.444134000001</v>
      </c>
    </row>
    <row r="837" spans="1:9" customFormat="1">
      <c r="A837" s="251" t="s">
        <v>1056</v>
      </c>
      <c r="B837" s="476" t="s">
        <v>1031</v>
      </c>
      <c r="C837" s="477" t="s">
        <v>159</v>
      </c>
      <c r="D837" s="478">
        <f>D835*0.35</f>
        <v>148.87949999999998</v>
      </c>
      <c r="E837" s="171"/>
      <c r="F837" s="206">
        <v>85</v>
      </c>
      <c r="G837" s="175"/>
      <c r="H837" s="175">
        <f t="shared" si="151"/>
        <v>12654.757499999998</v>
      </c>
      <c r="I837" s="175">
        <f t="shared" si="152"/>
        <v>12654.757499999998</v>
      </c>
    </row>
    <row r="838" spans="1:9" s="6" customFormat="1">
      <c r="A838" s="251" t="s">
        <v>1058</v>
      </c>
      <c r="B838" s="513" t="s">
        <v>1077</v>
      </c>
      <c r="C838" s="466" t="s">
        <v>111</v>
      </c>
      <c r="D838" s="467">
        <f>265.7+162.53</f>
        <v>428.23</v>
      </c>
      <c r="E838" s="171">
        <v>260</v>
      </c>
      <c r="F838" s="171"/>
      <c r="G838" s="175">
        <f t="shared" ref="G838" si="154">D838*E838</f>
        <v>111339.8</v>
      </c>
      <c r="H838" s="175"/>
      <c r="I838" s="175">
        <f>SUM(G838:H838)</f>
        <v>111339.8</v>
      </c>
    </row>
    <row r="839" spans="1:9" s="6" customFormat="1" ht="27.6">
      <c r="A839" s="251" t="s">
        <v>1060</v>
      </c>
      <c r="B839" s="506" t="s">
        <v>1079</v>
      </c>
      <c r="C839" s="466" t="s">
        <v>111</v>
      </c>
      <c r="D839" s="467">
        <f>402.3+41.41+152.6+5.07+19.33+11.47+38.14+17.25</f>
        <v>687.57000000000016</v>
      </c>
      <c r="E839" s="171">
        <v>380</v>
      </c>
      <c r="F839" s="171"/>
      <c r="G839" s="175">
        <f t="shared" ref="G839" si="155">D839*E839</f>
        <v>261276.60000000006</v>
      </c>
      <c r="H839" s="175"/>
      <c r="I839" s="175">
        <f>SUM(G839:H839)</f>
        <v>261276.60000000006</v>
      </c>
    </row>
    <row r="840" spans="1:9" s="6" customFormat="1">
      <c r="A840" s="251" t="s">
        <v>1061</v>
      </c>
      <c r="B840" s="465" t="s">
        <v>1082</v>
      </c>
      <c r="C840" s="503" t="s">
        <v>111</v>
      </c>
      <c r="D840" s="504">
        <f>ROUND(D839*1.03,0)</f>
        <v>708</v>
      </c>
      <c r="E840" s="505"/>
      <c r="F840" s="171">
        <v>115.11</v>
      </c>
      <c r="G840" s="175"/>
      <c r="H840" s="175">
        <f t="shared" ref="H840" si="156">D840*F840</f>
        <v>81497.88</v>
      </c>
      <c r="I840" s="175">
        <f t="shared" ref="I840" si="157">SUM(G840:H840)</f>
        <v>81497.88</v>
      </c>
    </row>
    <row r="841" spans="1:9" s="6" customFormat="1" ht="27.6">
      <c r="A841" s="251" t="s">
        <v>1063</v>
      </c>
      <c r="B841" s="506" t="s">
        <v>1083</v>
      </c>
      <c r="C841" s="466" t="s">
        <v>111</v>
      </c>
      <c r="D841" s="467">
        <f>6.35</f>
        <v>6.35</v>
      </c>
      <c r="E841" s="171">
        <v>380</v>
      </c>
      <c r="G841" s="175">
        <f t="shared" ref="G841" si="158">D841*E841</f>
        <v>2413</v>
      </c>
      <c r="H841" s="175"/>
      <c r="I841" s="175">
        <f>SUM(G841:H841)</f>
        <v>2413</v>
      </c>
    </row>
    <row r="842" spans="1:9" s="6" customFormat="1">
      <c r="A842" s="251" t="s">
        <v>1065</v>
      </c>
      <c r="B842" s="465" t="s">
        <v>1082</v>
      </c>
      <c r="C842" s="503" t="s">
        <v>111</v>
      </c>
      <c r="D842" s="504">
        <f>ROUND(D841*1.03,0)</f>
        <v>7</v>
      </c>
      <c r="E842" s="171"/>
      <c r="F842" s="171">
        <v>115.11</v>
      </c>
      <c r="G842" s="175"/>
      <c r="H842" s="175">
        <f t="shared" ref="H842" si="159">D842*F842</f>
        <v>805.77</v>
      </c>
      <c r="I842" s="175">
        <f t="shared" ref="I842" si="160">SUM(G842:H842)</f>
        <v>805.77</v>
      </c>
    </row>
    <row r="843" spans="1:9" s="6" customFormat="1" ht="27.6">
      <c r="A843" s="251" t="s">
        <v>1069</v>
      </c>
      <c r="B843" s="506" t="s">
        <v>1086</v>
      </c>
      <c r="C843" s="466" t="s">
        <v>111</v>
      </c>
      <c r="D843" s="467">
        <f>77.84</f>
        <v>77.84</v>
      </c>
      <c r="E843" s="171">
        <v>500</v>
      </c>
      <c r="G843" s="175">
        <f t="shared" ref="G843" si="161">D843*E843</f>
        <v>38920</v>
      </c>
      <c r="H843" s="175"/>
      <c r="I843" s="175">
        <f>SUM(G843:H843)</f>
        <v>38920</v>
      </c>
    </row>
    <row r="844" spans="1:9" customFormat="1">
      <c r="A844" s="251" t="s">
        <v>1071</v>
      </c>
      <c r="B844" s="465" t="s">
        <v>1082</v>
      </c>
      <c r="C844" s="503" t="s">
        <v>111</v>
      </c>
      <c r="D844" s="504">
        <f>ROUND(D843*1.03,0)</f>
        <v>80</v>
      </c>
      <c r="E844" s="171"/>
      <c r="F844" s="171">
        <v>115.11</v>
      </c>
      <c r="G844" s="175"/>
      <c r="H844" s="175">
        <f t="shared" ref="H844" si="162">D844*F844</f>
        <v>9208.7999999999993</v>
      </c>
      <c r="I844" s="175">
        <f t="shared" ref="I844" si="163">SUM(G844:H844)</f>
        <v>9208.7999999999993</v>
      </c>
    </row>
    <row r="845" spans="1:9" s="6" customFormat="1" ht="27.6">
      <c r="A845" s="251" t="s">
        <v>1073</v>
      </c>
      <c r="B845" s="506" t="s">
        <v>1089</v>
      </c>
      <c r="C845" s="466" t="s">
        <v>111</v>
      </c>
      <c r="D845" s="467">
        <f>608.88</f>
        <v>608.88</v>
      </c>
      <c r="E845" s="171">
        <v>380</v>
      </c>
      <c r="G845" s="175">
        <f t="shared" ref="G845" si="164">D845*E845</f>
        <v>231374.4</v>
      </c>
      <c r="H845" s="175"/>
      <c r="I845" s="175">
        <f>SUM(G845:H845)</f>
        <v>231374.4</v>
      </c>
    </row>
    <row r="846" spans="1:9" customFormat="1">
      <c r="A846" s="251" t="s">
        <v>1074</v>
      </c>
      <c r="B846" s="465" t="s">
        <v>1082</v>
      </c>
      <c r="C846" s="503" t="s">
        <v>111</v>
      </c>
      <c r="D846" s="504">
        <f>ROUND(D845*1.03,0)</f>
        <v>627</v>
      </c>
      <c r="E846" s="171"/>
      <c r="F846" s="171">
        <v>115.11</v>
      </c>
      <c r="G846" s="175"/>
      <c r="H846" s="175">
        <f t="shared" ref="H846" si="165">D846*F846</f>
        <v>72173.97</v>
      </c>
      <c r="I846" s="175">
        <f t="shared" ref="I846" si="166">SUM(G846:H846)</f>
        <v>72173.97</v>
      </c>
    </row>
    <row r="847" spans="1:9" s="6" customFormat="1">
      <c r="A847" s="251" t="s">
        <v>1075</v>
      </c>
      <c r="B847" s="506" t="s">
        <v>1092</v>
      </c>
      <c r="C847" s="466" t="s">
        <v>111</v>
      </c>
      <c r="D847" s="467">
        <f>10130.13+1274.85+2606.42</f>
        <v>14011.4</v>
      </c>
      <c r="E847" s="171"/>
      <c r="F847" s="171">
        <v>380</v>
      </c>
      <c r="G847" s="175"/>
      <c r="H847" s="175">
        <f t="shared" ref="H847:H848" si="167">D847*F847</f>
        <v>5324332</v>
      </c>
      <c r="I847" s="175">
        <f t="shared" ref="I847:I848" si="168">SUM(G847:H847)</f>
        <v>5324332</v>
      </c>
    </row>
    <row r="848" spans="1:9" customFormat="1">
      <c r="A848" s="251" t="s">
        <v>2415</v>
      </c>
      <c r="B848" s="506" t="s">
        <v>1094</v>
      </c>
      <c r="C848" s="466" t="s">
        <v>111</v>
      </c>
      <c r="D848" s="467">
        <f>3.77</f>
        <v>3.77</v>
      </c>
      <c r="E848" s="171"/>
      <c r="F848" s="171">
        <v>340</v>
      </c>
      <c r="G848" s="175"/>
      <c r="H848" s="175">
        <f t="shared" si="167"/>
        <v>1281.8</v>
      </c>
      <c r="I848" s="175">
        <f t="shared" si="168"/>
        <v>1281.8</v>
      </c>
    </row>
    <row r="849" spans="1:9" customFormat="1">
      <c r="A849" s="251" t="s">
        <v>2416</v>
      </c>
      <c r="B849" s="506" t="s">
        <v>1097</v>
      </c>
      <c r="C849" s="466" t="s">
        <v>111</v>
      </c>
      <c r="D849" s="467">
        <f>41.41+5.07+6.35+162.53+1274.85</f>
        <v>1490.21</v>
      </c>
      <c r="E849" s="171">
        <v>100</v>
      </c>
      <c r="F849" s="103"/>
      <c r="G849" s="175">
        <f t="shared" si="153"/>
        <v>149021</v>
      </c>
      <c r="H849" s="175"/>
      <c r="I849" s="175">
        <f>SUM(G849:H849)</f>
        <v>149021</v>
      </c>
    </row>
    <row r="850" spans="1:9" s="6" customFormat="1">
      <c r="A850" s="507" t="s">
        <v>1080</v>
      </c>
      <c r="B850" s="465" t="s">
        <v>1099</v>
      </c>
      <c r="C850" s="503" t="s">
        <v>159</v>
      </c>
      <c r="D850" s="493">
        <f>ROUND(D849*0.35*2*1.03,0)</f>
        <v>1074</v>
      </c>
      <c r="E850" s="171"/>
      <c r="F850" s="103">
        <v>80.92</v>
      </c>
      <c r="G850" s="175"/>
      <c r="H850" s="175">
        <f t="shared" si="151"/>
        <v>86908.08</v>
      </c>
      <c r="I850" s="175">
        <f t="shared" si="152"/>
        <v>86908.08</v>
      </c>
    </row>
    <row r="851" spans="1:9" customFormat="1">
      <c r="A851" s="507" t="s">
        <v>1081</v>
      </c>
      <c r="B851" s="465" t="s">
        <v>1101</v>
      </c>
      <c r="C851" s="503" t="s">
        <v>125</v>
      </c>
      <c r="D851" s="493">
        <f>D849*2.8</f>
        <v>4172.5879999999997</v>
      </c>
      <c r="E851" s="171"/>
      <c r="F851" s="103">
        <v>75</v>
      </c>
      <c r="G851" s="175"/>
      <c r="H851" s="175">
        <f t="shared" si="151"/>
        <v>312944.09999999998</v>
      </c>
      <c r="I851" s="175">
        <f t="shared" si="152"/>
        <v>312944.09999999998</v>
      </c>
    </row>
    <row r="852" spans="1:9" customFormat="1">
      <c r="A852" s="251" t="s">
        <v>2417</v>
      </c>
      <c r="B852" s="465" t="s">
        <v>1102</v>
      </c>
      <c r="C852" s="466" t="s">
        <v>111</v>
      </c>
      <c r="D852" s="467">
        <v>608.88</v>
      </c>
      <c r="E852" s="171">
        <v>120</v>
      </c>
      <c r="F852" s="103"/>
      <c r="G852" s="175">
        <f t="shared" si="153"/>
        <v>73065.600000000006</v>
      </c>
      <c r="H852" s="175"/>
      <c r="I852" s="175">
        <f>SUM(G852:H852)</f>
        <v>73065.600000000006</v>
      </c>
    </row>
    <row r="853" spans="1:9" customFormat="1">
      <c r="A853" s="251" t="s">
        <v>1084</v>
      </c>
      <c r="B853" s="465" t="s">
        <v>628</v>
      </c>
      <c r="C853" s="508" t="s">
        <v>111</v>
      </c>
      <c r="D853" s="490">
        <f>D852*1.05</f>
        <v>639.32400000000007</v>
      </c>
      <c r="E853" s="171"/>
      <c r="F853" s="103">
        <v>48.78</v>
      </c>
      <c r="G853" s="175"/>
      <c r="H853" s="175">
        <f t="shared" si="151"/>
        <v>31186.224720000006</v>
      </c>
      <c r="I853" s="175">
        <f t="shared" si="152"/>
        <v>31186.224720000006</v>
      </c>
    </row>
    <row r="854" spans="1:9" customFormat="1">
      <c r="A854" s="251" t="s">
        <v>1085</v>
      </c>
      <c r="B854" s="465" t="s">
        <v>1099</v>
      </c>
      <c r="C854" s="503" t="s">
        <v>159</v>
      </c>
      <c r="D854" s="493">
        <f>ROUND(D852*0.35*1.03,0)</f>
        <v>220</v>
      </c>
      <c r="E854" s="171"/>
      <c r="F854" s="103">
        <v>80.92</v>
      </c>
      <c r="G854" s="175"/>
      <c r="H854" s="175">
        <f t="shared" si="151"/>
        <v>17802.400000000001</v>
      </c>
      <c r="I854" s="175">
        <f t="shared" si="152"/>
        <v>17802.400000000001</v>
      </c>
    </row>
    <row r="855" spans="1:9" customFormat="1">
      <c r="A855" s="251" t="s">
        <v>2418</v>
      </c>
      <c r="B855" s="465" t="s">
        <v>1103</v>
      </c>
      <c r="C855" s="466" t="s">
        <v>111</v>
      </c>
      <c r="D855" s="467">
        <f>17.25</f>
        <v>17.25</v>
      </c>
      <c r="E855" s="171">
        <v>150</v>
      </c>
      <c r="F855" s="103"/>
      <c r="G855" s="175">
        <f t="shared" si="153"/>
        <v>2587.5</v>
      </c>
      <c r="H855" s="175"/>
      <c r="I855" s="175">
        <f>SUM(G855:H855)</f>
        <v>2587.5</v>
      </c>
    </row>
    <row r="856" spans="1:9" customFormat="1">
      <c r="A856" s="251" t="s">
        <v>1087</v>
      </c>
      <c r="B856" s="465" t="s">
        <v>1104</v>
      </c>
      <c r="C856" s="508" t="s">
        <v>111</v>
      </c>
      <c r="D856" s="490">
        <f>D855*1.05*2</f>
        <v>36.225000000000001</v>
      </c>
      <c r="E856" s="171"/>
      <c r="F856" s="103">
        <v>153.80000000000001</v>
      </c>
      <c r="G856" s="175"/>
      <c r="H856" s="175">
        <f t="shared" si="151"/>
        <v>5571.4050000000007</v>
      </c>
      <c r="I856" s="175">
        <f t="shared" si="152"/>
        <v>5571.4050000000007</v>
      </c>
    </row>
    <row r="857" spans="1:9" customFormat="1">
      <c r="A857" s="251" t="s">
        <v>1088</v>
      </c>
      <c r="B857" s="465" t="s">
        <v>1099</v>
      </c>
      <c r="C857" s="503" t="s">
        <v>159</v>
      </c>
      <c r="D857" s="493">
        <f>ROUND(D855*0.35*1.03,0)</f>
        <v>6</v>
      </c>
      <c r="E857" s="171"/>
      <c r="F857" s="103">
        <v>80.92</v>
      </c>
      <c r="G857" s="175"/>
      <c r="H857" s="175">
        <f t="shared" si="151"/>
        <v>485.52</v>
      </c>
      <c r="I857" s="175">
        <f t="shared" si="152"/>
        <v>485.52</v>
      </c>
    </row>
    <row r="858" spans="1:9" customFormat="1">
      <c r="A858" s="251" t="s">
        <v>2419</v>
      </c>
      <c r="B858" s="465" t="s">
        <v>1105</v>
      </c>
      <c r="C858" s="466" t="s">
        <v>111</v>
      </c>
      <c r="D858" s="467">
        <f>402.3+41.41+152.6+5.07+6.35+608.88</f>
        <v>1216.6100000000001</v>
      </c>
      <c r="E858" s="171">
        <v>120</v>
      </c>
      <c r="F858" s="206"/>
      <c r="G858" s="175">
        <f t="shared" si="153"/>
        <v>145993.20000000001</v>
      </c>
      <c r="H858" s="175"/>
      <c r="I858" s="175">
        <f>SUM(G858:H858)</f>
        <v>145993.20000000001</v>
      </c>
    </row>
    <row r="859" spans="1:9" customFormat="1">
      <c r="A859" s="251" t="s">
        <v>1090</v>
      </c>
      <c r="B859" s="465" t="s">
        <v>1106</v>
      </c>
      <c r="C859" s="466" t="s">
        <v>9</v>
      </c>
      <c r="D859" s="467">
        <f>(402.3+41.41+152.6+5.07+6.35)*0.05</f>
        <v>30.386500000000009</v>
      </c>
      <c r="E859" s="171"/>
      <c r="F859" s="206">
        <v>4010.01</v>
      </c>
      <c r="G859" s="175">
        <f t="shared" si="153"/>
        <v>0</v>
      </c>
      <c r="H859" s="175">
        <f t="shared" si="151"/>
        <v>121850.16886500004</v>
      </c>
      <c r="I859" s="175">
        <f t="shared" si="152"/>
        <v>121850.16886500004</v>
      </c>
    </row>
    <row r="860" spans="1:9" customFormat="1">
      <c r="A860" s="251" t="s">
        <v>1091</v>
      </c>
      <c r="B860" s="465" t="s">
        <v>1107</v>
      </c>
      <c r="C860" s="466" t="s">
        <v>9</v>
      </c>
      <c r="D860" s="467">
        <f>608.88*0.02</f>
        <v>12.1776</v>
      </c>
      <c r="E860" s="171"/>
      <c r="F860" s="206">
        <v>4184</v>
      </c>
      <c r="G860" s="175">
        <f t="shared" si="153"/>
        <v>0</v>
      </c>
      <c r="H860" s="175">
        <f t="shared" si="151"/>
        <v>50951.078399999999</v>
      </c>
      <c r="I860" s="175">
        <f t="shared" si="152"/>
        <v>50951.078399999999</v>
      </c>
    </row>
    <row r="861" spans="1:9" s="6" customFormat="1">
      <c r="A861" s="251" t="s">
        <v>2420</v>
      </c>
      <c r="B861" s="465" t="s">
        <v>1108</v>
      </c>
      <c r="C861" s="466" t="s">
        <v>111</v>
      </c>
      <c r="D861" s="467">
        <f>(D862+D863)/1.1</f>
        <v>3217.9999999999995</v>
      </c>
      <c r="E861" s="177">
        <v>350</v>
      </c>
      <c r="F861" s="206"/>
      <c r="G861" s="175">
        <f t="shared" si="153"/>
        <v>1126299.9999999998</v>
      </c>
      <c r="H861" s="175"/>
      <c r="I861" s="175">
        <f>SUM(G861:H861)</f>
        <v>1126299.9999999998</v>
      </c>
    </row>
    <row r="862" spans="1:9" customFormat="1">
      <c r="A862" s="251" t="s">
        <v>1093</v>
      </c>
      <c r="B862" s="465" t="s">
        <v>1109</v>
      </c>
      <c r="C862" s="466" t="s">
        <v>111</v>
      </c>
      <c r="D862" s="467">
        <f>(152.6+5.07+6.35+19.33+2606.42+265.7)*1.1</f>
        <v>3361.0169999999998</v>
      </c>
      <c r="E862" s="177"/>
      <c r="F862" s="206">
        <v>395</v>
      </c>
      <c r="G862" s="175"/>
      <c r="H862" s="175">
        <f t="shared" si="151"/>
        <v>1327601.7149999999</v>
      </c>
      <c r="I862" s="175">
        <f t="shared" si="152"/>
        <v>1327601.7149999999</v>
      </c>
    </row>
    <row r="863" spans="1:9" customFormat="1">
      <c r="A863" s="251" t="s">
        <v>2421</v>
      </c>
      <c r="B863" s="465" t="s">
        <v>1110</v>
      </c>
      <c r="C863" s="466" t="s">
        <v>111</v>
      </c>
      <c r="D863" s="467">
        <f>162.53*1.1</f>
        <v>178.78300000000002</v>
      </c>
      <c r="E863" s="177"/>
      <c r="F863" s="206">
        <v>515</v>
      </c>
      <c r="G863" s="175"/>
      <c r="H863" s="175">
        <f t="shared" si="151"/>
        <v>92073.24500000001</v>
      </c>
      <c r="I863" s="175">
        <f t="shared" si="152"/>
        <v>92073.24500000001</v>
      </c>
    </row>
    <row r="864" spans="1:9" customFormat="1">
      <c r="A864" s="251" t="s">
        <v>2422</v>
      </c>
      <c r="B864" s="465" t="s">
        <v>1111</v>
      </c>
      <c r="C864" s="466" t="s">
        <v>125</v>
      </c>
      <c r="D864" s="490">
        <f>ROUND(D862*12,2)</f>
        <v>40332.199999999997</v>
      </c>
      <c r="E864" s="177"/>
      <c r="F864" s="206">
        <v>10.6</v>
      </c>
      <c r="G864" s="175"/>
      <c r="H864" s="175">
        <f t="shared" si="151"/>
        <v>427521.31999999995</v>
      </c>
      <c r="I864" s="175">
        <f t="shared" si="152"/>
        <v>427521.31999999995</v>
      </c>
    </row>
    <row r="865" spans="1:9" customFormat="1">
      <c r="A865" s="251" t="s">
        <v>2423</v>
      </c>
      <c r="B865" s="465" t="s">
        <v>1112</v>
      </c>
      <c r="C865" s="466" t="s">
        <v>125</v>
      </c>
      <c r="D865" s="490">
        <f>ROUND(D861*0.194,0)</f>
        <v>624</v>
      </c>
      <c r="E865" s="177"/>
      <c r="F865" s="206">
        <v>100</v>
      </c>
      <c r="G865" s="175"/>
      <c r="H865" s="175">
        <f t="shared" ref="H865:H872" si="169">D865*F865</f>
        <v>62400</v>
      </c>
      <c r="I865" s="175">
        <f t="shared" ref="I865:I872" si="170">G865+H865</f>
        <v>62400</v>
      </c>
    </row>
    <row r="866" spans="1:9" s="6" customFormat="1">
      <c r="A866" s="251" t="s">
        <v>2424</v>
      </c>
      <c r="B866" s="465" t="s">
        <v>1113</v>
      </c>
      <c r="C866" s="466" t="s">
        <v>120</v>
      </c>
      <c r="D866" s="490">
        <f>2375.201</f>
        <v>2375.201</v>
      </c>
      <c r="E866" s="177">
        <v>100</v>
      </c>
      <c r="F866" s="206"/>
      <c r="G866" s="175">
        <f t="shared" ref="G866:G873" si="171">D866*E866</f>
        <v>237520.1</v>
      </c>
      <c r="H866" s="175"/>
      <c r="I866" s="175">
        <f>SUM(G866:H866)</f>
        <v>237520.1</v>
      </c>
    </row>
    <row r="867" spans="1:9" customFormat="1">
      <c r="A867" s="251" t="s">
        <v>1095</v>
      </c>
      <c r="B867" s="465" t="s">
        <v>1109</v>
      </c>
      <c r="C867" s="466" t="s">
        <v>111</v>
      </c>
      <c r="D867" s="467">
        <f>2375.2*0.1*1.1</f>
        <v>261.27199999999999</v>
      </c>
      <c r="E867" s="177"/>
      <c r="F867" s="206">
        <v>395</v>
      </c>
      <c r="G867" s="175"/>
      <c r="H867" s="175">
        <f t="shared" ref="H867:H868" si="172">D867*F867</f>
        <v>103202.44</v>
      </c>
      <c r="I867" s="175">
        <f t="shared" ref="I867:I868" si="173">G867+H867</f>
        <v>103202.44</v>
      </c>
    </row>
    <row r="868" spans="1:9" customFormat="1">
      <c r="A868" s="251" t="s">
        <v>2427</v>
      </c>
      <c r="B868" s="465" t="s">
        <v>1110</v>
      </c>
      <c r="C868" s="466" t="s">
        <v>111</v>
      </c>
      <c r="D868" s="467">
        <f>(4.61*23+5.23)*0.1*1.1</f>
        <v>12.238600000000002</v>
      </c>
      <c r="E868" s="171"/>
      <c r="F868" s="206">
        <v>515</v>
      </c>
      <c r="G868" s="175"/>
      <c r="H868" s="175">
        <f t="shared" si="172"/>
        <v>6302.8790000000008</v>
      </c>
      <c r="I868" s="175">
        <f t="shared" si="173"/>
        <v>6302.8790000000008</v>
      </c>
    </row>
    <row r="869" spans="1:9" customFormat="1">
      <c r="A869" s="251" t="s">
        <v>2425</v>
      </c>
      <c r="B869" s="465" t="s">
        <v>978</v>
      </c>
      <c r="C869" s="466" t="s">
        <v>125</v>
      </c>
      <c r="D869" s="490">
        <f>ROUND((D866*0.1)*12,2)</f>
        <v>2850.24</v>
      </c>
      <c r="E869" s="171"/>
      <c r="F869" s="206">
        <v>10.6</v>
      </c>
      <c r="G869" s="175"/>
      <c r="H869" s="175">
        <f t="shared" si="169"/>
        <v>30212.543999999998</v>
      </c>
      <c r="I869" s="175">
        <f t="shared" si="170"/>
        <v>30212.543999999998</v>
      </c>
    </row>
    <row r="870" spans="1:9" customFormat="1">
      <c r="A870" s="251" t="s">
        <v>2426</v>
      </c>
      <c r="B870" s="465" t="s">
        <v>1112</v>
      </c>
      <c r="C870" s="466" t="s">
        <v>125</v>
      </c>
      <c r="D870" s="490">
        <f>ROUND((D866*0.1)*0.194,0)</f>
        <v>46</v>
      </c>
      <c r="E870" s="171"/>
      <c r="F870" s="206">
        <v>100</v>
      </c>
      <c r="G870" s="175"/>
      <c r="H870" s="175">
        <f t="shared" si="169"/>
        <v>4600</v>
      </c>
      <c r="I870" s="175">
        <f t="shared" si="170"/>
        <v>4600</v>
      </c>
    </row>
    <row r="871" spans="1:9" customFormat="1">
      <c r="A871" s="251" t="s">
        <v>2428</v>
      </c>
      <c r="B871" s="465" t="s">
        <v>1114</v>
      </c>
      <c r="C871" s="466" t="s">
        <v>111</v>
      </c>
      <c r="D871" s="490">
        <f>11.47</f>
        <v>11.47</v>
      </c>
      <c r="E871" s="171">
        <v>100</v>
      </c>
      <c r="F871" s="206"/>
      <c r="G871" s="175">
        <f t="shared" si="171"/>
        <v>1147</v>
      </c>
      <c r="H871" s="175"/>
      <c r="I871" s="175">
        <f>SUM(G871:H871)</f>
        <v>1147</v>
      </c>
    </row>
    <row r="872" spans="1:9" customFormat="1">
      <c r="A872" s="251" t="s">
        <v>1096</v>
      </c>
      <c r="B872" s="465" t="s">
        <v>1115</v>
      </c>
      <c r="C872" s="466" t="s">
        <v>9</v>
      </c>
      <c r="D872" s="467">
        <f>D871*0.3</f>
        <v>3.4410000000000003</v>
      </c>
      <c r="E872" s="171"/>
      <c r="F872" s="206">
        <v>1600</v>
      </c>
      <c r="G872" s="175"/>
      <c r="H872" s="175">
        <f t="shared" si="169"/>
        <v>5505.6</v>
      </c>
      <c r="I872" s="175">
        <f t="shared" si="170"/>
        <v>5505.6</v>
      </c>
    </row>
    <row r="873" spans="1:9" customFormat="1">
      <c r="A873" s="251" t="s">
        <v>2429</v>
      </c>
      <c r="B873" s="465" t="s">
        <v>1116</v>
      </c>
      <c r="C873" s="466" t="s">
        <v>20</v>
      </c>
      <c r="D873" s="467">
        <v>277</v>
      </c>
      <c r="E873" s="171">
        <v>100</v>
      </c>
      <c r="F873" s="206"/>
      <c r="G873" s="175">
        <f t="shared" si="171"/>
        <v>27700</v>
      </c>
      <c r="H873" s="175"/>
      <c r="I873" s="175">
        <f t="shared" ref="I873" si="174">SUM(G873:H873)</f>
        <v>27700</v>
      </c>
    </row>
    <row r="874" spans="1:9" customFormat="1" ht="15.6">
      <c r="A874" s="251" t="s">
        <v>1098</v>
      </c>
      <c r="B874" s="468" t="s">
        <v>1117</v>
      </c>
      <c r="C874" s="466" t="s">
        <v>20</v>
      </c>
      <c r="D874" s="467">
        <f>ROUND(D873/9,0)</f>
        <v>31</v>
      </c>
      <c r="E874" s="171"/>
      <c r="F874" s="206">
        <v>4579</v>
      </c>
      <c r="G874" s="175"/>
      <c r="H874" s="175">
        <f t="shared" ref="H874:H875" si="175">D874*F874</f>
        <v>141949</v>
      </c>
      <c r="I874" s="175">
        <f t="shared" ref="I874:I875" si="176">SUM(G874:H874)</f>
        <v>141949</v>
      </c>
    </row>
    <row r="875" spans="1:9" customFormat="1">
      <c r="A875" s="251" t="s">
        <v>1100</v>
      </c>
      <c r="B875" s="465" t="s">
        <v>1118</v>
      </c>
      <c r="C875" s="466" t="s">
        <v>20</v>
      </c>
      <c r="D875" s="467">
        <v>277</v>
      </c>
      <c r="E875" s="171"/>
      <c r="F875" s="206">
        <v>30</v>
      </c>
      <c r="G875" s="175"/>
      <c r="H875" s="175">
        <f t="shared" si="175"/>
        <v>8310</v>
      </c>
      <c r="I875" s="175">
        <f t="shared" si="176"/>
        <v>8310</v>
      </c>
    </row>
    <row r="876" spans="1:9" customFormat="1">
      <c r="A876" s="27"/>
      <c r="B876" s="427" t="s">
        <v>2085</v>
      </c>
      <c r="C876" s="533" t="s">
        <v>2430</v>
      </c>
      <c r="D876" s="534"/>
      <c r="E876" s="534"/>
      <c r="F876" s="535"/>
      <c r="G876" s="32">
        <f>SUM(G766:G875)</f>
        <v>7038577.5299999993</v>
      </c>
      <c r="H876" s="32">
        <f t="shared" ref="H876:I876" si="177">SUM(H766:H875)</f>
        <v>10750420.870250998</v>
      </c>
      <c r="I876" s="32">
        <f t="shared" si="177"/>
        <v>17788998.400251001</v>
      </c>
    </row>
    <row r="877" spans="1:9" customFormat="1">
      <c r="A877" s="27"/>
      <c r="B877" s="427" t="s">
        <v>2088</v>
      </c>
      <c r="C877" s="530"/>
      <c r="D877" s="531"/>
      <c r="E877" s="531"/>
      <c r="F877" s="532"/>
      <c r="G877" s="32">
        <f>PRODUCT(G876,1/1.2,0.2)</f>
        <v>1173096.2549999999</v>
      </c>
      <c r="H877" s="32">
        <f>PRODUCT(H876,1/1.2,0.2)</f>
        <v>1791736.8117084999</v>
      </c>
      <c r="I877" s="32">
        <f>PRODUCT(I876,1/1.2,0.2)</f>
        <v>2964833.0667085005</v>
      </c>
    </row>
    <row r="878" spans="1:9">
      <c r="A878" s="207"/>
      <c r="B878" s="208" t="s">
        <v>2359</v>
      </c>
      <c r="C878" s="209"/>
      <c r="D878" s="210"/>
      <c r="E878" s="31"/>
      <c r="F878" s="211"/>
      <c r="G878" s="212"/>
      <c r="H878" s="212"/>
      <c r="I878" s="212"/>
    </row>
    <row r="879" spans="1:9" s="1" customFormat="1">
      <c r="A879" s="469" t="s">
        <v>1119</v>
      </c>
      <c r="B879" s="470" t="s">
        <v>1120</v>
      </c>
      <c r="C879" s="471" t="s">
        <v>111</v>
      </c>
      <c r="D879" s="473">
        <f>((2.68+1.73)*2*75.53+(2.68*1.73)*2-(1.35*2.2*23+1.35*2.26))+((2.28+2.18)*2*2*75.53++(2.28*2.18)*2*2-(1.15*2.2*23+1.15*2.26)*2)</f>
        <v>1849.8452000000002</v>
      </c>
      <c r="E879" s="74">
        <v>35</v>
      </c>
      <c r="F879" s="74"/>
      <c r="G879" s="462">
        <f t="shared" ref="G879:G883" si="178">D879*E879</f>
        <v>64744.582000000009</v>
      </c>
      <c r="H879" s="462"/>
      <c r="I879" s="462">
        <f t="shared" ref="I879:I885" si="179">G879+H879</f>
        <v>64744.582000000009</v>
      </c>
    </row>
    <row r="880" spans="1:9">
      <c r="A880" s="469" t="s">
        <v>1121</v>
      </c>
      <c r="B880" s="470" t="s">
        <v>1122</v>
      </c>
      <c r="C880" s="471" t="s">
        <v>125</v>
      </c>
      <c r="D880" s="82">
        <f>D879*0.2</f>
        <v>369.96904000000006</v>
      </c>
      <c r="E880" s="86"/>
      <c r="F880" s="86">
        <v>74.5</v>
      </c>
      <c r="G880" s="462">
        <f t="shared" si="178"/>
        <v>0</v>
      </c>
      <c r="H880" s="462">
        <f t="shared" ref="H880:H885" si="180">D880*F880</f>
        <v>27562.693480000005</v>
      </c>
      <c r="I880" s="462">
        <f t="shared" si="179"/>
        <v>27562.693480000005</v>
      </c>
    </row>
    <row r="881" spans="1:10" s="1" customFormat="1">
      <c r="A881" s="469" t="s">
        <v>1123</v>
      </c>
      <c r="B881" s="470" t="s">
        <v>1124</v>
      </c>
      <c r="C881" s="471" t="s">
        <v>111</v>
      </c>
      <c r="D881" s="473">
        <v>35</v>
      </c>
      <c r="E881" s="74">
        <v>100</v>
      </c>
      <c r="F881" s="74"/>
      <c r="G881" s="462">
        <f t="shared" si="178"/>
        <v>3500</v>
      </c>
      <c r="H881" s="462"/>
      <c r="I881" s="462">
        <f t="shared" si="179"/>
        <v>3500</v>
      </c>
    </row>
    <row r="882" spans="1:10">
      <c r="A882" s="469" t="s">
        <v>1125</v>
      </c>
      <c r="B882" s="378" t="s">
        <v>1126</v>
      </c>
      <c r="C882" s="471" t="s">
        <v>125</v>
      </c>
      <c r="D882" s="82">
        <f>D881*0.2</f>
        <v>7</v>
      </c>
      <c r="E882" s="86"/>
      <c r="F882" s="86">
        <v>312.86</v>
      </c>
      <c r="G882" s="472">
        <f t="shared" si="178"/>
        <v>0</v>
      </c>
      <c r="H882" s="472">
        <f t="shared" si="180"/>
        <v>2190.02</v>
      </c>
      <c r="I882" s="472">
        <f t="shared" si="179"/>
        <v>2190.02</v>
      </c>
    </row>
    <row r="883" spans="1:10">
      <c r="A883" s="469" t="s">
        <v>1127</v>
      </c>
      <c r="B883" s="379" t="s">
        <v>2360</v>
      </c>
      <c r="C883" s="471" t="s">
        <v>20</v>
      </c>
      <c r="D883" s="82">
        <v>3</v>
      </c>
      <c r="E883" s="37">
        <f>671253.33*1.2</f>
        <v>805503.99599999993</v>
      </c>
      <c r="F883" s="37"/>
      <c r="G883" s="38">
        <f t="shared" si="178"/>
        <v>2416511.9879999999</v>
      </c>
      <c r="H883" s="38"/>
      <c r="I883" s="38">
        <f t="shared" si="179"/>
        <v>2416511.9879999999</v>
      </c>
    </row>
    <row r="884" spans="1:10" ht="28.2">
      <c r="A884" s="469" t="s">
        <v>2361</v>
      </c>
      <c r="B884" s="379" t="s">
        <v>1128</v>
      </c>
      <c r="C884" s="471" t="s">
        <v>20</v>
      </c>
      <c r="D884" s="82">
        <v>1</v>
      </c>
      <c r="E884" s="37"/>
      <c r="F884" s="37">
        <f>2410431*1.2</f>
        <v>2892517.1999999997</v>
      </c>
      <c r="G884" s="38"/>
      <c r="H884" s="38">
        <f t="shared" ref="H884" si="181">D884*F884</f>
        <v>2892517.1999999997</v>
      </c>
      <c r="I884" s="38">
        <f t="shared" ref="I884" si="182">G884+H884</f>
        <v>2892517.1999999997</v>
      </c>
    </row>
    <row r="885" spans="1:10" ht="83.4">
      <c r="A885" s="469" t="s">
        <v>2362</v>
      </c>
      <c r="B885" s="474" t="s">
        <v>1130</v>
      </c>
      <c r="C885" s="471" t="s">
        <v>20</v>
      </c>
      <c r="D885" s="82">
        <v>2</v>
      </c>
      <c r="E885" s="37"/>
      <c r="F885" s="37">
        <f>2469923*1.2</f>
        <v>2963907.6</v>
      </c>
      <c r="G885" s="38"/>
      <c r="H885" s="38">
        <f t="shared" si="180"/>
        <v>5927815.2000000002</v>
      </c>
      <c r="I885" s="38">
        <f t="shared" si="179"/>
        <v>5927815.2000000002</v>
      </c>
    </row>
    <row r="886" spans="1:10">
      <c r="A886" s="469" t="s">
        <v>1129</v>
      </c>
      <c r="B886" s="230" t="s">
        <v>1132</v>
      </c>
      <c r="C886" s="475" t="s">
        <v>9</v>
      </c>
      <c r="D886" s="82">
        <f>D887+D888+D889+D890</f>
        <v>23.344999999999999</v>
      </c>
      <c r="E886" s="37">
        <v>3900</v>
      </c>
      <c r="F886" s="37"/>
      <c r="G886" s="38">
        <f t="shared" ref="G886" si="183">D886*E886</f>
        <v>91045.5</v>
      </c>
      <c r="H886" s="38"/>
      <c r="I886" s="38">
        <f t="shared" ref="I886" si="184">G886+H886</f>
        <v>91045.5</v>
      </c>
    </row>
    <row r="887" spans="1:10">
      <c r="A887" s="469" t="s">
        <v>2364</v>
      </c>
      <c r="B887" s="230" t="s">
        <v>1134</v>
      </c>
      <c r="C887" s="475" t="s">
        <v>9</v>
      </c>
      <c r="D887" s="82">
        <f>4*25*0.15*0.05*3.72</f>
        <v>2.79</v>
      </c>
      <c r="E887" s="37"/>
      <c r="F887" s="37">
        <v>11000</v>
      </c>
      <c r="G887" s="38"/>
      <c r="H887" s="38">
        <f t="shared" ref="H887:H890" si="185">D887*F887</f>
        <v>30690</v>
      </c>
      <c r="I887" s="38">
        <f t="shared" ref="I887:I891" si="186">G887+H887</f>
        <v>30690</v>
      </c>
    </row>
    <row r="888" spans="1:10">
      <c r="A888" s="469" t="s">
        <v>2365</v>
      </c>
      <c r="B888" s="230" t="s">
        <v>1135</v>
      </c>
      <c r="C888" s="475" t="s">
        <v>9</v>
      </c>
      <c r="D888" s="82">
        <f>17*25*0.05*0.1*2.48</f>
        <v>5.27</v>
      </c>
      <c r="E888" s="37"/>
      <c r="F888" s="37">
        <v>11000</v>
      </c>
      <c r="G888" s="38"/>
      <c r="H888" s="38">
        <f t="shared" si="185"/>
        <v>57969.999999999993</v>
      </c>
      <c r="I888" s="38">
        <f t="shared" si="186"/>
        <v>57969.999999999993</v>
      </c>
    </row>
    <row r="889" spans="1:10">
      <c r="A889" s="469" t="s">
        <v>2366</v>
      </c>
      <c r="B889" s="230" t="s">
        <v>1136</v>
      </c>
      <c r="C889" s="475" t="s">
        <v>9</v>
      </c>
      <c r="D889" s="82">
        <f>4*25*0.15*0.05*5.82</f>
        <v>4.3650000000000002</v>
      </c>
      <c r="E889" s="37"/>
      <c r="F889" s="37">
        <v>11000</v>
      </c>
      <c r="G889" s="38"/>
      <c r="H889" s="38">
        <f t="shared" si="185"/>
        <v>48015</v>
      </c>
      <c r="I889" s="38">
        <f t="shared" si="186"/>
        <v>48015</v>
      </c>
    </row>
    <row r="890" spans="1:10">
      <c r="A890" s="469" t="s">
        <v>2367</v>
      </c>
      <c r="B890" s="230" t="s">
        <v>1137</v>
      </c>
      <c r="C890" s="475" t="s">
        <v>9</v>
      </c>
      <c r="D890" s="82">
        <f>21*2*25*0.05*0.1*2.08</f>
        <v>10.92</v>
      </c>
      <c r="E890" s="37"/>
      <c r="F890" s="37">
        <v>11000</v>
      </c>
      <c r="G890" s="38"/>
      <c r="H890" s="38">
        <f t="shared" si="185"/>
        <v>120120</v>
      </c>
      <c r="I890" s="38">
        <f t="shared" si="186"/>
        <v>120120</v>
      </c>
    </row>
    <row r="891" spans="1:10" s="1" customFormat="1">
      <c r="A891" s="469" t="s">
        <v>1131</v>
      </c>
      <c r="B891" s="474" t="s">
        <v>2363</v>
      </c>
      <c r="C891" s="471" t="s">
        <v>20</v>
      </c>
      <c r="D891" s="82">
        <f>3*23</f>
        <v>69</v>
      </c>
      <c r="E891" s="37">
        <v>1300</v>
      </c>
      <c r="F891" s="37"/>
      <c r="G891" s="38">
        <f>D891*E891</f>
        <v>89700</v>
      </c>
      <c r="H891" s="38"/>
      <c r="I891" s="38">
        <f t="shared" si="186"/>
        <v>89700</v>
      </c>
      <c r="J891" s="22"/>
    </row>
    <row r="892" spans="1:10" s="1" customFormat="1">
      <c r="A892" s="469" t="s">
        <v>1133</v>
      </c>
      <c r="B892" s="474" t="s">
        <v>2082</v>
      </c>
      <c r="C892" s="471" t="s">
        <v>20</v>
      </c>
      <c r="D892" s="82">
        <f>3*23</f>
        <v>69</v>
      </c>
      <c r="E892" s="37"/>
      <c r="F892" s="37">
        <v>5420</v>
      </c>
      <c r="G892" s="38"/>
      <c r="H892" s="38">
        <f t="shared" ref="H892" si="187">D892*F892</f>
        <v>373980</v>
      </c>
      <c r="I892" s="38">
        <f t="shared" ref="I892" si="188">G892+H892</f>
        <v>373980</v>
      </c>
      <c r="J892" s="22"/>
    </row>
    <row r="893" spans="1:10" s="1" customFormat="1">
      <c r="A893" s="27"/>
      <c r="B893" s="427" t="s">
        <v>2085</v>
      </c>
      <c r="C893" s="533" t="s">
        <v>2368</v>
      </c>
      <c r="D893" s="534"/>
      <c r="E893" s="534"/>
      <c r="F893" s="535"/>
      <c r="G893" s="32">
        <f>SUM(G879:G892)</f>
        <v>2665502.0699999998</v>
      </c>
      <c r="H893" s="32">
        <f t="shared" ref="H893:I893" si="189">SUM(H879:H892)</f>
        <v>9480860.1134799998</v>
      </c>
      <c r="I893" s="32">
        <f t="shared" si="189"/>
        <v>12146362.183479998</v>
      </c>
      <c r="J893" s="22"/>
    </row>
    <row r="894" spans="1:10" s="1" customFormat="1">
      <c r="A894" s="27"/>
      <c r="B894" s="427" t="s">
        <v>2088</v>
      </c>
      <c r="C894" s="530"/>
      <c r="D894" s="531"/>
      <c r="E894" s="531"/>
      <c r="F894" s="532"/>
      <c r="G894" s="32">
        <f>PRODUCT(G893,1/1.2,0.2)</f>
        <v>444250.34500000003</v>
      </c>
      <c r="H894" s="32">
        <f>PRODUCT(H893,1/1.2,0.2)</f>
        <v>1580143.3522466668</v>
      </c>
      <c r="I894" s="32">
        <f>PRODUCT(I893,1/1.2,0.2)</f>
        <v>2024393.6972466668</v>
      </c>
      <c r="J894" s="22"/>
    </row>
    <row r="895" spans="1:10" s="1" customFormat="1">
      <c r="A895" s="207"/>
      <c r="B895" s="208" t="s">
        <v>2431</v>
      </c>
      <c r="C895" s="209"/>
      <c r="D895" s="210"/>
      <c r="E895" s="31"/>
      <c r="F895" s="211"/>
      <c r="G895" s="212"/>
      <c r="H895" s="212"/>
      <c r="I895" s="212"/>
      <c r="J895" s="22"/>
    </row>
    <row r="896" spans="1:10" s="13" customFormat="1">
      <c r="A896" s="514" t="s">
        <v>1138</v>
      </c>
      <c r="B896" s="515" t="s">
        <v>2432</v>
      </c>
      <c r="C896" s="231" t="s">
        <v>310</v>
      </c>
      <c r="D896" s="232">
        <v>103</v>
      </c>
      <c r="E896" s="233">
        <v>280</v>
      </c>
      <c r="F896" s="233"/>
      <c r="G896" s="234">
        <f>PRODUCT(E896,D896)</f>
        <v>28840</v>
      </c>
      <c r="H896" s="234"/>
      <c r="I896" s="234">
        <f t="shared" ref="I896:I902" si="190">SUM(G896:H896)</f>
        <v>28840</v>
      </c>
      <c r="J896" s="22"/>
    </row>
    <row r="897" spans="1:10" s="13" customFormat="1">
      <c r="A897" s="229" t="s">
        <v>1139</v>
      </c>
      <c r="B897" s="230" t="s">
        <v>1140</v>
      </c>
      <c r="C897" s="231" t="s">
        <v>310</v>
      </c>
      <c r="D897" s="232">
        <v>103</v>
      </c>
      <c r="E897" s="233"/>
      <c r="F897" s="233">
        <v>373.43</v>
      </c>
      <c r="G897" s="234"/>
      <c r="H897" s="234">
        <f t="shared" ref="H897:H902" si="191">PRODUCT(F897,D897)</f>
        <v>38463.29</v>
      </c>
      <c r="I897" s="234">
        <f t="shared" si="190"/>
        <v>38463.29</v>
      </c>
      <c r="J897" s="22"/>
    </row>
    <row r="898" spans="1:10" s="13" customFormat="1">
      <c r="A898" s="229" t="s">
        <v>1141</v>
      </c>
      <c r="B898" s="230" t="s">
        <v>1154</v>
      </c>
      <c r="C898" s="231" t="s">
        <v>332</v>
      </c>
      <c r="D898" s="232">
        <v>31</v>
      </c>
      <c r="E898" s="243"/>
      <c r="F898" s="244">
        <v>283.41000000000003</v>
      </c>
      <c r="G898" s="234"/>
      <c r="H898" s="234">
        <f t="shared" si="191"/>
        <v>8785.7100000000009</v>
      </c>
      <c r="I898" s="234">
        <f t="shared" si="190"/>
        <v>8785.7100000000009</v>
      </c>
      <c r="J898" s="22"/>
    </row>
    <row r="899" spans="1:10" s="13" customFormat="1">
      <c r="A899" s="229" t="s">
        <v>1143</v>
      </c>
      <c r="B899" s="230" t="s">
        <v>1155</v>
      </c>
      <c r="C899" s="231" t="s">
        <v>332</v>
      </c>
      <c r="D899" s="232">
        <v>2</v>
      </c>
      <c r="E899" s="243"/>
      <c r="F899" s="243">
        <v>218.93</v>
      </c>
      <c r="G899" s="234"/>
      <c r="H899" s="234">
        <f t="shared" si="191"/>
        <v>437.86</v>
      </c>
      <c r="I899" s="234">
        <f t="shared" si="190"/>
        <v>437.86</v>
      </c>
      <c r="J899" s="22"/>
    </row>
    <row r="900" spans="1:10" s="13" customFormat="1">
      <c r="A900" s="229" t="s">
        <v>1145</v>
      </c>
      <c r="B900" s="230" t="s">
        <v>1163</v>
      </c>
      <c r="C900" s="231" t="s">
        <v>332</v>
      </c>
      <c r="D900" s="232">
        <v>4</v>
      </c>
      <c r="E900" s="243"/>
      <c r="F900" s="243">
        <v>247.12</v>
      </c>
      <c r="G900" s="234"/>
      <c r="H900" s="234">
        <f t="shared" si="191"/>
        <v>988.48</v>
      </c>
      <c r="I900" s="234">
        <f t="shared" si="190"/>
        <v>988.48</v>
      </c>
      <c r="J900" s="22"/>
    </row>
    <row r="901" spans="1:10" s="13" customFormat="1">
      <c r="A901" s="229" t="s">
        <v>1147</v>
      </c>
      <c r="B901" s="230" t="s">
        <v>1170</v>
      </c>
      <c r="C901" s="231" t="s">
        <v>332</v>
      </c>
      <c r="D901" s="232">
        <v>2</v>
      </c>
      <c r="E901" s="243"/>
      <c r="F901" s="243">
        <v>1294.2</v>
      </c>
      <c r="G901" s="234"/>
      <c r="H901" s="234">
        <f t="shared" si="191"/>
        <v>2588.4</v>
      </c>
      <c r="I901" s="234">
        <f t="shared" si="190"/>
        <v>2588.4</v>
      </c>
      <c r="J901" s="22"/>
    </row>
    <row r="902" spans="1:10" s="13" customFormat="1">
      <c r="A902" s="229" t="s">
        <v>1149</v>
      </c>
      <c r="B902" s="230" t="s">
        <v>1179</v>
      </c>
      <c r="C902" s="231" t="s">
        <v>332</v>
      </c>
      <c r="D902" s="232">
        <v>5</v>
      </c>
      <c r="E902" s="243"/>
      <c r="F902" s="243">
        <v>53.04</v>
      </c>
      <c r="G902" s="234"/>
      <c r="H902" s="234">
        <f t="shared" si="191"/>
        <v>265.2</v>
      </c>
      <c r="I902" s="234">
        <f t="shared" si="190"/>
        <v>265.2</v>
      </c>
      <c r="J902" s="22"/>
    </row>
    <row r="903" spans="1:10" s="13" customFormat="1">
      <c r="A903" s="229" t="s">
        <v>1195</v>
      </c>
      <c r="B903" s="515" t="s">
        <v>2433</v>
      </c>
      <c r="C903" s="231" t="s">
        <v>310</v>
      </c>
      <c r="D903" s="232">
        <v>68</v>
      </c>
      <c r="E903" s="235">
        <v>280</v>
      </c>
      <c r="F903" s="235"/>
      <c r="G903" s="234">
        <f t="shared" ref="G903" si="192">PRODUCT(E903,D903)</f>
        <v>19040</v>
      </c>
      <c r="H903" s="234"/>
      <c r="I903" s="234">
        <f t="shared" ref="I903" si="193">SUM(G903:H903)</f>
        <v>19040</v>
      </c>
      <c r="J903" s="22"/>
    </row>
    <row r="904" spans="1:10" s="13" customFormat="1" ht="13.8">
      <c r="A904" s="229" t="s">
        <v>1197</v>
      </c>
      <c r="B904" s="230" t="s">
        <v>1142</v>
      </c>
      <c r="C904" s="231" t="s">
        <v>310</v>
      </c>
      <c r="D904" s="232">
        <v>68</v>
      </c>
      <c r="E904" s="235"/>
      <c r="F904" s="235">
        <v>313.05</v>
      </c>
      <c r="G904" s="234"/>
      <c r="H904" s="234">
        <f t="shared" ref="H904:H954" si="194">PRODUCT(F904,D904)</f>
        <v>21287.4</v>
      </c>
      <c r="I904" s="234">
        <f t="shared" ref="I904:I954" si="195">SUM(G904:H904)</f>
        <v>21287.4</v>
      </c>
    </row>
    <row r="905" spans="1:10" s="13" customFormat="1" ht="13.8">
      <c r="A905" s="229" t="s">
        <v>1201</v>
      </c>
      <c r="B905" s="230" t="s">
        <v>1156</v>
      </c>
      <c r="C905" s="231" t="s">
        <v>332</v>
      </c>
      <c r="D905" s="232">
        <v>8</v>
      </c>
      <c r="E905" s="243"/>
      <c r="F905" s="244">
        <v>272</v>
      </c>
      <c r="G905" s="234"/>
      <c r="H905" s="234">
        <f>PRODUCT(F905,D905)</f>
        <v>2176</v>
      </c>
      <c r="I905" s="234">
        <f>SUM(G905:H905)</f>
        <v>2176</v>
      </c>
    </row>
    <row r="906" spans="1:10" s="13" customFormat="1" ht="13.8">
      <c r="A906" s="229" t="s">
        <v>1204</v>
      </c>
      <c r="B906" s="230" t="s">
        <v>1157</v>
      </c>
      <c r="C906" s="231" t="s">
        <v>332</v>
      </c>
      <c r="D906" s="232">
        <v>4</v>
      </c>
      <c r="E906" s="243"/>
      <c r="F906" s="243">
        <v>217.58</v>
      </c>
      <c r="G906" s="234"/>
      <c r="H906" s="234">
        <f>PRODUCT(F906,D906)</f>
        <v>870.32</v>
      </c>
      <c r="I906" s="234">
        <f>SUM(G906:H906)</f>
        <v>870.32</v>
      </c>
    </row>
    <row r="907" spans="1:10" s="13" customFormat="1" ht="13.8">
      <c r="A907" s="229" t="s">
        <v>1209</v>
      </c>
      <c r="B907" s="230" t="s">
        <v>1164</v>
      </c>
      <c r="C907" s="231" t="s">
        <v>332</v>
      </c>
      <c r="D907" s="232">
        <v>8</v>
      </c>
      <c r="E907" s="243"/>
      <c r="F907" s="243">
        <v>110.84</v>
      </c>
      <c r="G907" s="234"/>
      <c r="H907" s="234">
        <f>PRODUCT(F907,D907)</f>
        <v>886.72</v>
      </c>
      <c r="I907" s="234">
        <f>SUM(G907:H907)</f>
        <v>886.72</v>
      </c>
    </row>
    <row r="908" spans="1:10" s="13" customFormat="1" ht="13.8">
      <c r="A908" s="229" t="s">
        <v>2444</v>
      </c>
      <c r="B908" s="230" t="s">
        <v>1171</v>
      </c>
      <c r="C908" s="231" t="s">
        <v>332</v>
      </c>
      <c r="D908" s="232">
        <v>4</v>
      </c>
      <c r="E908" s="243"/>
      <c r="F908" s="243">
        <v>249.51</v>
      </c>
      <c r="G908" s="234"/>
      <c r="H908" s="234">
        <f>PRODUCT(F908,D908)</f>
        <v>998.04</v>
      </c>
      <c r="I908" s="234">
        <f>SUM(G908:H908)</f>
        <v>998.04</v>
      </c>
    </row>
    <row r="909" spans="1:10" s="13" customFormat="1" ht="13.8">
      <c r="A909" s="229" t="s">
        <v>2451</v>
      </c>
      <c r="B909" s="230" t="s">
        <v>1180</v>
      </c>
      <c r="C909" s="231" t="s">
        <v>332</v>
      </c>
      <c r="D909" s="232">
        <v>30</v>
      </c>
      <c r="E909" s="243"/>
      <c r="F909" s="243">
        <v>50.71</v>
      </c>
      <c r="G909" s="234"/>
      <c r="H909" s="234">
        <f>PRODUCT(F909,D909)</f>
        <v>1521.3</v>
      </c>
      <c r="I909" s="234">
        <f>SUM(G909:H909)</f>
        <v>1521.3</v>
      </c>
    </row>
    <row r="910" spans="1:10" s="13" customFormat="1" ht="13.8">
      <c r="A910" s="229" t="s">
        <v>1216</v>
      </c>
      <c r="B910" s="515" t="s">
        <v>2434</v>
      </c>
      <c r="C910" s="231" t="s">
        <v>310</v>
      </c>
      <c r="D910" s="232">
        <v>74</v>
      </c>
      <c r="E910" s="236">
        <v>280</v>
      </c>
      <c r="F910" s="236"/>
      <c r="G910" s="234">
        <f t="shared" ref="G910" si="196">PRODUCT(E910,D910)</f>
        <v>20720</v>
      </c>
      <c r="H910" s="234"/>
      <c r="I910" s="234">
        <f t="shared" ref="I910" si="197">SUM(G910:H910)</f>
        <v>20720</v>
      </c>
    </row>
    <row r="911" spans="1:10" s="13" customFormat="1" ht="13.8">
      <c r="A911" s="229" t="s">
        <v>1218</v>
      </c>
      <c r="B911" s="230" t="s">
        <v>1144</v>
      </c>
      <c r="C911" s="231" t="s">
        <v>310</v>
      </c>
      <c r="D911" s="232">
        <v>74</v>
      </c>
      <c r="E911" s="236"/>
      <c r="F911" s="236">
        <v>265.5</v>
      </c>
      <c r="G911" s="234"/>
      <c r="H911" s="234">
        <f t="shared" si="194"/>
        <v>19647</v>
      </c>
      <c r="I911" s="234">
        <f t="shared" si="195"/>
        <v>19647</v>
      </c>
    </row>
    <row r="912" spans="1:10" s="13" customFormat="1" ht="13.8">
      <c r="A912" s="229" t="s">
        <v>1220</v>
      </c>
      <c r="B912" s="230" t="s">
        <v>1158</v>
      </c>
      <c r="C912" s="231" t="s">
        <v>332</v>
      </c>
      <c r="D912" s="232">
        <v>8</v>
      </c>
      <c r="E912" s="243"/>
      <c r="F912" s="244">
        <v>182.03</v>
      </c>
      <c r="G912" s="234"/>
      <c r="H912" s="234">
        <f>PRODUCT(F912,D912)</f>
        <v>1456.24</v>
      </c>
      <c r="I912" s="234">
        <f>SUM(G912:H912)</f>
        <v>1456.24</v>
      </c>
    </row>
    <row r="913" spans="1:9" s="13" customFormat="1" ht="13.8">
      <c r="A913" s="229" t="s">
        <v>1222</v>
      </c>
      <c r="B913" s="230" t="s">
        <v>1165</v>
      </c>
      <c r="C913" s="231" t="s">
        <v>332</v>
      </c>
      <c r="D913" s="232">
        <v>8</v>
      </c>
      <c r="E913" s="243"/>
      <c r="F913" s="243">
        <v>79.319999999999993</v>
      </c>
      <c r="G913" s="234"/>
      <c r="H913" s="234">
        <f>PRODUCT(F913,D913)</f>
        <v>634.55999999999995</v>
      </c>
      <c r="I913" s="234">
        <f>SUM(G913:H913)</f>
        <v>634.55999999999995</v>
      </c>
    </row>
    <row r="914" spans="1:9" s="13" customFormat="1" ht="13.8">
      <c r="A914" s="229" t="s">
        <v>1224</v>
      </c>
      <c r="B914" s="230" t="s">
        <v>1181</v>
      </c>
      <c r="C914" s="231" t="s">
        <v>332</v>
      </c>
      <c r="D914" s="232">
        <v>25</v>
      </c>
      <c r="E914" s="243"/>
      <c r="F914" s="243">
        <v>51.94</v>
      </c>
      <c r="G914" s="234"/>
      <c r="H914" s="234">
        <f>PRODUCT(F914,D914)</f>
        <v>1298.5</v>
      </c>
      <c r="I914" s="234">
        <f>SUM(G914:H914)</f>
        <v>1298.5</v>
      </c>
    </row>
    <row r="915" spans="1:9" s="13" customFormat="1" ht="13.8">
      <c r="A915" s="229" t="s">
        <v>1228</v>
      </c>
      <c r="B915" s="515" t="s">
        <v>2435</v>
      </c>
      <c r="C915" s="231" t="s">
        <v>310</v>
      </c>
      <c r="D915" s="232">
        <v>45</v>
      </c>
      <c r="E915" s="237">
        <v>250</v>
      </c>
      <c r="F915" s="237"/>
      <c r="G915" s="234">
        <f t="shared" ref="G915" si="198">PRODUCT(E915,D915)</f>
        <v>11250</v>
      </c>
      <c r="H915" s="234"/>
      <c r="I915" s="234">
        <f t="shared" ref="I915" si="199">SUM(G915:H915)</f>
        <v>11250</v>
      </c>
    </row>
    <row r="916" spans="1:9" s="13" customFormat="1" ht="13.8">
      <c r="A916" s="229" t="s">
        <v>1230</v>
      </c>
      <c r="B916" s="230" t="s">
        <v>1146</v>
      </c>
      <c r="C916" s="231" t="s">
        <v>310</v>
      </c>
      <c r="D916" s="232">
        <v>45</v>
      </c>
      <c r="E916" s="237"/>
      <c r="F916" s="237">
        <v>195.9</v>
      </c>
      <c r="G916" s="234"/>
      <c r="H916" s="234">
        <f t="shared" si="194"/>
        <v>8815.5</v>
      </c>
      <c r="I916" s="234">
        <f t="shared" si="195"/>
        <v>8815.5</v>
      </c>
    </row>
    <row r="917" spans="1:9" s="13" customFormat="1" ht="13.8">
      <c r="A917" s="229" t="s">
        <v>2441</v>
      </c>
      <c r="B917" s="230" t="s">
        <v>1159</v>
      </c>
      <c r="C917" s="231" t="s">
        <v>332</v>
      </c>
      <c r="D917" s="232">
        <v>6</v>
      </c>
      <c r="E917" s="243"/>
      <c r="F917" s="243">
        <v>124.07</v>
      </c>
      <c r="G917" s="234"/>
      <c r="H917" s="234">
        <f>PRODUCT(F917,D917)</f>
        <v>744.42</v>
      </c>
      <c r="I917" s="234">
        <f>SUM(G917:H917)</f>
        <v>744.42</v>
      </c>
    </row>
    <row r="918" spans="1:9" s="13" customFormat="1" ht="13.8">
      <c r="A918" s="229" t="s">
        <v>2445</v>
      </c>
      <c r="B918" s="230" t="s">
        <v>1166</v>
      </c>
      <c r="C918" s="231" t="s">
        <v>332</v>
      </c>
      <c r="D918" s="232">
        <v>8</v>
      </c>
      <c r="E918" s="243"/>
      <c r="F918" s="243">
        <v>44.75</v>
      </c>
      <c r="G918" s="234"/>
      <c r="H918" s="234">
        <f>PRODUCT(F918,D918)</f>
        <v>358</v>
      </c>
      <c r="I918" s="234">
        <f>SUM(G918:H918)</f>
        <v>358</v>
      </c>
    </row>
    <row r="919" spans="1:9" s="13" customFormat="1" ht="13.8">
      <c r="A919" s="229" t="s">
        <v>2452</v>
      </c>
      <c r="B919" s="230" t="s">
        <v>1182</v>
      </c>
      <c r="C919" s="231" t="s">
        <v>332</v>
      </c>
      <c r="D919" s="232">
        <v>20</v>
      </c>
      <c r="E919" s="243"/>
      <c r="F919" s="243">
        <v>37.94</v>
      </c>
      <c r="G919" s="234"/>
      <c r="H919" s="234">
        <f>PRODUCT(F919,D919)</f>
        <v>758.8</v>
      </c>
      <c r="I919" s="234">
        <f>SUM(G919:H919)</f>
        <v>758.8</v>
      </c>
    </row>
    <row r="920" spans="1:9" s="13" customFormat="1" ht="13.8">
      <c r="A920" s="229" t="s">
        <v>1232</v>
      </c>
      <c r="B920" s="515" t="s">
        <v>2436</v>
      </c>
      <c r="C920" s="231" t="s">
        <v>310</v>
      </c>
      <c r="D920" s="232">
        <v>37</v>
      </c>
      <c r="E920" s="238">
        <v>200</v>
      </c>
      <c r="F920" s="238"/>
      <c r="G920" s="234">
        <f t="shared" ref="G920" si="200">PRODUCT(E920,D920)</f>
        <v>7400</v>
      </c>
      <c r="H920" s="234"/>
      <c r="I920" s="234">
        <f t="shared" ref="I920" si="201">SUM(G920:H920)</f>
        <v>7400</v>
      </c>
    </row>
    <row r="921" spans="1:9" s="13" customFormat="1" ht="13.8">
      <c r="A921" s="229" t="s">
        <v>1234</v>
      </c>
      <c r="B921" s="230" t="s">
        <v>1148</v>
      </c>
      <c r="C921" s="231" t="s">
        <v>310</v>
      </c>
      <c r="D921" s="232">
        <v>37</v>
      </c>
      <c r="E921" s="238"/>
      <c r="F921" s="238">
        <v>166.1</v>
      </c>
      <c r="G921" s="234"/>
      <c r="H921" s="234">
        <f t="shared" si="194"/>
        <v>6145.7</v>
      </c>
      <c r="I921" s="234">
        <f t="shared" si="195"/>
        <v>6145.7</v>
      </c>
    </row>
    <row r="922" spans="1:9" s="13" customFormat="1" ht="13.8">
      <c r="A922" s="229" t="s">
        <v>2442</v>
      </c>
      <c r="B922" s="230" t="s">
        <v>1160</v>
      </c>
      <c r="C922" s="231" t="s">
        <v>332</v>
      </c>
      <c r="D922" s="232">
        <v>4</v>
      </c>
      <c r="E922" s="243"/>
      <c r="F922" s="243">
        <v>84.41</v>
      </c>
      <c r="G922" s="234"/>
      <c r="H922" s="234">
        <f>PRODUCT(F922,D922)</f>
        <v>337.64</v>
      </c>
      <c r="I922" s="234">
        <f>SUM(G922:H922)</f>
        <v>337.64</v>
      </c>
    </row>
    <row r="923" spans="1:9" s="13" customFormat="1" ht="13.8">
      <c r="A923" s="229" t="s">
        <v>2446</v>
      </c>
      <c r="B923" s="230" t="s">
        <v>1167</v>
      </c>
      <c r="C923" s="231" t="s">
        <v>332</v>
      </c>
      <c r="D923" s="232">
        <v>6</v>
      </c>
      <c r="E923" s="243"/>
      <c r="F923" s="243">
        <v>29.5</v>
      </c>
      <c r="G923" s="234"/>
      <c r="H923" s="234">
        <f>PRODUCT(F923,D923)</f>
        <v>177</v>
      </c>
      <c r="I923" s="234">
        <f>SUM(G923:H923)</f>
        <v>177</v>
      </c>
    </row>
    <row r="924" spans="1:9" s="13" customFormat="1" ht="13.8">
      <c r="A924" s="229" t="s">
        <v>2447</v>
      </c>
      <c r="B924" s="230" t="s">
        <v>1172</v>
      </c>
      <c r="C924" s="231" t="s">
        <v>332</v>
      </c>
      <c r="D924" s="232">
        <v>2</v>
      </c>
      <c r="E924" s="243"/>
      <c r="F924" s="243">
        <v>25.43</v>
      </c>
      <c r="G924" s="234"/>
      <c r="H924" s="234">
        <f>PRODUCT(F924,D924)</f>
        <v>50.86</v>
      </c>
      <c r="I924" s="234">
        <f>SUM(G924:H924)</f>
        <v>50.86</v>
      </c>
    </row>
    <row r="925" spans="1:9" s="13" customFormat="1" ht="13.8">
      <c r="A925" s="229" t="s">
        <v>2453</v>
      </c>
      <c r="B925" s="230" t="s">
        <v>1183</v>
      </c>
      <c r="C925" s="231" t="s">
        <v>332</v>
      </c>
      <c r="D925" s="232">
        <v>15</v>
      </c>
      <c r="E925" s="243"/>
      <c r="F925" s="243">
        <v>41.59</v>
      </c>
      <c r="G925" s="234"/>
      <c r="H925" s="234">
        <f>PRODUCT(F925,D925)</f>
        <v>623.85</v>
      </c>
      <c r="I925" s="234">
        <f>SUM(G925:H925)</f>
        <v>623.85</v>
      </c>
    </row>
    <row r="926" spans="1:9" s="13" customFormat="1" ht="13.8">
      <c r="A926" s="229" t="s">
        <v>1236</v>
      </c>
      <c r="B926" s="515" t="s">
        <v>2437</v>
      </c>
      <c r="C926" s="231" t="s">
        <v>310</v>
      </c>
      <c r="D926" s="232">
        <v>25</v>
      </c>
      <c r="E926" s="239">
        <v>150</v>
      </c>
      <c r="F926" s="239"/>
      <c r="G926" s="234">
        <f t="shared" ref="G926" si="202">PRODUCT(E926,D926)</f>
        <v>3750</v>
      </c>
      <c r="H926" s="234"/>
      <c r="I926" s="234">
        <f t="shared" ref="I926" si="203">SUM(G926:H926)</f>
        <v>3750</v>
      </c>
    </row>
    <row r="927" spans="1:9" s="13" customFormat="1" ht="13.8">
      <c r="A927" s="229" t="s">
        <v>1238</v>
      </c>
      <c r="B927" s="230" t="s">
        <v>1150</v>
      </c>
      <c r="C927" s="231" t="s">
        <v>310</v>
      </c>
      <c r="D927" s="232">
        <v>25</v>
      </c>
      <c r="E927" s="239"/>
      <c r="F927" s="239">
        <v>135.05000000000001</v>
      </c>
      <c r="G927" s="234"/>
      <c r="H927" s="234">
        <f t="shared" si="194"/>
        <v>3376.2500000000005</v>
      </c>
      <c r="I927" s="234">
        <f t="shared" si="195"/>
        <v>3376.2500000000005</v>
      </c>
    </row>
    <row r="928" spans="1:9" s="13" customFormat="1" ht="13.8">
      <c r="A928" s="229" t="s">
        <v>1240</v>
      </c>
      <c r="B928" s="230" t="s">
        <v>1161</v>
      </c>
      <c r="C928" s="231" t="s">
        <v>332</v>
      </c>
      <c r="D928" s="232">
        <v>27</v>
      </c>
      <c r="E928" s="243"/>
      <c r="F928" s="244">
        <v>104</v>
      </c>
      <c r="G928" s="234"/>
      <c r="H928" s="234">
        <f>PRODUCT(F928,D928)</f>
        <v>2808</v>
      </c>
      <c r="I928" s="234">
        <f>SUM(G928:H928)</f>
        <v>2808</v>
      </c>
    </row>
    <row r="929" spans="1:9" s="13" customFormat="1" ht="13.8">
      <c r="A929" s="229" t="s">
        <v>1242</v>
      </c>
      <c r="B929" s="230" t="s">
        <v>1168</v>
      </c>
      <c r="C929" s="231" t="s">
        <v>332</v>
      </c>
      <c r="D929" s="232">
        <v>8</v>
      </c>
      <c r="E929" s="243"/>
      <c r="F929" s="243">
        <v>29.5</v>
      </c>
      <c r="G929" s="234"/>
      <c r="H929" s="234">
        <f>PRODUCT(F929,D929)</f>
        <v>236</v>
      </c>
      <c r="I929" s="234">
        <f>SUM(G929:H929)</f>
        <v>236</v>
      </c>
    </row>
    <row r="930" spans="1:9" s="13" customFormat="1" ht="13.8">
      <c r="A930" s="229" t="s">
        <v>1244</v>
      </c>
      <c r="B930" s="230" t="s">
        <v>1173</v>
      </c>
      <c r="C930" s="231" t="s">
        <v>332</v>
      </c>
      <c r="D930" s="232">
        <v>2</v>
      </c>
      <c r="E930" s="243"/>
      <c r="F930" s="243">
        <v>25.49</v>
      </c>
      <c r="G930" s="234"/>
      <c r="H930" s="234">
        <f>PRODUCT(F930,D930)</f>
        <v>50.98</v>
      </c>
      <c r="I930" s="234">
        <f>SUM(G930:H930)</f>
        <v>50.98</v>
      </c>
    </row>
    <row r="931" spans="1:9" s="13" customFormat="1" ht="13.8">
      <c r="A931" s="229" t="s">
        <v>1251</v>
      </c>
      <c r="B931" s="515" t="s">
        <v>2438</v>
      </c>
      <c r="C931" s="231" t="s">
        <v>310</v>
      </c>
      <c r="D931" s="232">
        <v>2913</v>
      </c>
      <c r="E931" s="240">
        <v>130</v>
      </c>
      <c r="F931" s="240"/>
      <c r="G931" s="234">
        <f t="shared" ref="G931" si="204">PRODUCT(E931,D931)</f>
        <v>378690</v>
      </c>
      <c r="H931" s="234"/>
      <c r="I931" s="234">
        <f t="shared" ref="I931" si="205">SUM(G931:H931)</f>
        <v>378690</v>
      </c>
    </row>
    <row r="932" spans="1:9" s="13" customFormat="1" ht="13.8">
      <c r="A932" s="229" t="s">
        <v>1253</v>
      </c>
      <c r="B932" s="230" t="s">
        <v>1151</v>
      </c>
      <c r="C932" s="231" t="s">
        <v>310</v>
      </c>
      <c r="D932" s="232">
        <v>2913</v>
      </c>
      <c r="E932" s="240"/>
      <c r="F932" s="240">
        <v>104.69</v>
      </c>
      <c r="G932" s="234"/>
      <c r="H932" s="234">
        <f t="shared" si="194"/>
        <v>304961.96999999997</v>
      </c>
      <c r="I932" s="234">
        <f t="shared" si="195"/>
        <v>304961.96999999997</v>
      </c>
    </row>
    <row r="933" spans="1:9" s="13" customFormat="1" ht="13.8">
      <c r="A933" s="229" t="s">
        <v>2443</v>
      </c>
      <c r="B933" s="230" t="s">
        <v>1162</v>
      </c>
      <c r="C933" s="231" t="s">
        <v>332</v>
      </c>
      <c r="D933" s="232">
        <v>238</v>
      </c>
      <c r="E933" s="243"/>
      <c r="F933" s="244">
        <v>85.69</v>
      </c>
      <c r="G933" s="234"/>
      <c r="H933" s="234">
        <f>PRODUCT(F933,D933)</f>
        <v>20394.22</v>
      </c>
      <c r="I933" s="234">
        <f>SUM(G933:H933)</f>
        <v>20394.22</v>
      </c>
    </row>
    <row r="934" spans="1:9" s="13" customFormat="1" ht="13.8">
      <c r="A934" s="229" t="s">
        <v>2448</v>
      </c>
      <c r="B934" s="230" t="s">
        <v>1169</v>
      </c>
      <c r="C934" s="231" t="s">
        <v>332</v>
      </c>
      <c r="D934" s="232">
        <v>1446</v>
      </c>
      <c r="E934" s="243"/>
      <c r="F934" s="243">
        <v>27.46</v>
      </c>
      <c r="G934" s="234"/>
      <c r="H934" s="234">
        <f>PRODUCT(F934,D934)</f>
        <v>39707.160000000003</v>
      </c>
      <c r="I934" s="234">
        <f>SUM(G934:H934)</f>
        <v>39707.160000000003</v>
      </c>
    </row>
    <row r="935" spans="1:9" s="13" customFormat="1" ht="13.8">
      <c r="A935" s="229" t="s">
        <v>2449</v>
      </c>
      <c r="B935" s="245" t="s">
        <v>1174</v>
      </c>
      <c r="C935" s="246" t="s">
        <v>332</v>
      </c>
      <c r="D935" s="247">
        <v>150</v>
      </c>
      <c r="E935" s="243"/>
      <c r="F935" s="243">
        <v>14</v>
      </c>
      <c r="G935" s="234"/>
      <c r="H935" s="234">
        <f>PRODUCT(F935,D935)</f>
        <v>2100</v>
      </c>
      <c r="I935" s="234">
        <f>SUM(G935:H935)</f>
        <v>2100</v>
      </c>
    </row>
    <row r="936" spans="1:9" s="13" customFormat="1" ht="13.8">
      <c r="A936" s="229" t="s">
        <v>2450</v>
      </c>
      <c r="B936" s="248" t="s">
        <v>1178</v>
      </c>
      <c r="C936" s="246" t="s">
        <v>332</v>
      </c>
      <c r="D936" s="247">
        <v>58</v>
      </c>
      <c r="E936" s="243"/>
      <c r="F936" s="244">
        <v>185.38</v>
      </c>
      <c r="G936" s="234"/>
      <c r="H936" s="234">
        <f>PRODUCT(F936,D936)</f>
        <v>10752.039999999999</v>
      </c>
      <c r="I936" s="234">
        <f>SUM(G936:H936)</f>
        <v>10752.039999999999</v>
      </c>
    </row>
    <row r="937" spans="1:9" s="13" customFormat="1" ht="13.8">
      <c r="A937" s="229" t="s">
        <v>1255</v>
      </c>
      <c r="B937" s="515" t="s">
        <v>2439</v>
      </c>
      <c r="C937" s="231" t="s">
        <v>310</v>
      </c>
      <c r="D937" s="232">
        <v>941</v>
      </c>
      <c r="E937" s="241">
        <v>120</v>
      </c>
      <c r="F937" s="241"/>
      <c r="G937" s="234">
        <f t="shared" ref="G937" si="206">PRODUCT(E937,D937)</f>
        <v>112920</v>
      </c>
      <c r="H937" s="234"/>
      <c r="I937" s="234">
        <f t="shared" ref="I937" si="207">SUM(G937:H937)</f>
        <v>112920</v>
      </c>
    </row>
    <row r="938" spans="1:9" s="13" customFormat="1" ht="13.8">
      <c r="A938" s="229" t="s">
        <v>1257</v>
      </c>
      <c r="B938" s="230" t="s">
        <v>1152</v>
      </c>
      <c r="C938" s="231" t="s">
        <v>310</v>
      </c>
      <c r="D938" s="232">
        <v>941</v>
      </c>
      <c r="E938" s="241"/>
      <c r="F938" s="241">
        <v>72.56</v>
      </c>
      <c r="G938" s="234"/>
      <c r="H938" s="234">
        <f t="shared" si="194"/>
        <v>68278.960000000006</v>
      </c>
      <c r="I938" s="234">
        <f t="shared" si="195"/>
        <v>68278.960000000006</v>
      </c>
    </row>
    <row r="939" spans="1:9" s="13" customFormat="1" ht="13.8">
      <c r="A939" s="229" t="s">
        <v>1259</v>
      </c>
      <c r="B939" s="245" t="s">
        <v>1175</v>
      </c>
      <c r="C939" s="246" t="s">
        <v>332</v>
      </c>
      <c r="D939" s="247">
        <v>52</v>
      </c>
      <c r="E939" s="243"/>
      <c r="F939" s="243">
        <v>14</v>
      </c>
      <c r="G939" s="234"/>
      <c r="H939" s="234">
        <f>PRODUCT(F939,D939)</f>
        <v>728</v>
      </c>
      <c r="I939" s="234">
        <f>SUM(G939:H939)</f>
        <v>728</v>
      </c>
    </row>
    <row r="940" spans="1:9" s="13" customFormat="1" ht="13.8">
      <c r="A940" s="229" t="s">
        <v>1261</v>
      </c>
      <c r="B940" s="248" t="s">
        <v>1177</v>
      </c>
      <c r="C940" s="246" t="s">
        <v>332</v>
      </c>
      <c r="D940" s="247">
        <v>24</v>
      </c>
      <c r="E940" s="243"/>
      <c r="F940" s="244">
        <v>88.66</v>
      </c>
      <c r="G940" s="234"/>
      <c r="H940" s="234">
        <f>PRODUCT(F940,D940)</f>
        <v>2127.84</v>
      </c>
      <c r="I940" s="234">
        <f>SUM(G940:H940)</f>
        <v>2127.84</v>
      </c>
    </row>
    <row r="941" spans="1:9" s="13" customFormat="1" ht="13.8">
      <c r="A941" s="229" t="s">
        <v>1263</v>
      </c>
      <c r="B941" s="230" t="s">
        <v>1184</v>
      </c>
      <c r="C941" s="231" t="s">
        <v>332</v>
      </c>
      <c r="D941" s="232">
        <v>20</v>
      </c>
      <c r="E941" s="243"/>
      <c r="F941" s="243">
        <v>32.74</v>
      </c>
      <c r="G941" s="234"/>
      <c r="H941" s="234">
        <f>PRODUCT(F941,D941)</f>
        <v>654.80000000000007</v>
      </c>
      <c r="I941" s="234">
        <f>SUM(G941:H941)</f>
        <v>654.80000000000007</v>
      </c>
    </row>
    <row r="942" spans="1:9" s="13" customFormat="1" ht="13.8">
      <c r="A942" s="229" t="s">
        <v>1332</v>
      </c>
      <c r="B942" s="515" t="s">
        <v>2440</v>
      </c>
      <c r="C942" s="231" t="s">
        <v>310</v>
      </c>
      <c r="D942" s="232">
        <v>459</v>
      </c>
      <c r="E942" s="242">
        <v>120</v>
      </c>
      <c r="F942" s="242"/>
      <c r="G942" s="234">
        <f t="shared" ref="G942" si="208">PRODUCT(E942,D942)</f>
        <v>55080</v>
      </c>
      <c r="H942" s="234"/>
      <c r="I942" s="234">
        <f t="shared" ref="I942" si="209">SUM(G942:H942)</f>
        <v>55080</v>
      </c>
    </row>
    <row r="943" spans="1:9" s="13" customFormat="1" ht="13.8">
      <c r="A943" s="229" t="s">
        <v>1334</v>
      </c>
      <c r="B943" s="230" t="s">
        <v>1153</v>
      </c>
      <c r="C943" s="231" t="s">
        <v>310</v>
      </c>
      <c r="D943" s="232">
        <v>459</v>
      </c>
      <c r="E943" s="242"/>
      <c r="F943" s="242">
        <v>57.23</v>
      </c>
      <c r="G943" s="234"/>
      <c r="H943" s="234">
        <f t="shared" si="194"/>
        <v>26268.57</v>
      </c>
      <c r="I943" s="234">
        <f t="shared" si="195"/>
        <v>26268.57</v>
      </c>
    </row>
    <row r="944" spans="1:9" s="13" customFormat="1" ht="13.8">
      <c r="A944" s="229" t="s">
        <v>1335</v>
      </c>
      <c r="B944" s="245" t="s">
        <v>1176</v>
      </c>
      <c r="C944" s="246" t="s">
        <v>332</v>
      </c>
      <c r="D944" s="247">
        <v>104</v>
      </c>
      <c r="E944" s="243"/>
      <c r="F944" s="243">
        <v>11</v>
      </c>
      <c r="G944" s="234"/>
      <c r="H944" s="234">
        <f>PRODUCT(F944,D944)</f>
        <v>1144</v>
      </c>
      <c r="I944" s="234">
        <f>SUM(G944:H944)</f>
        <v>1144</v>
      </c>
    </row>
    <row r="945" spans="1:9" s="13" customFormat="1" ht="13.8">
      <c r="A945" s="229" t="s">
        <v>1338</v>
      </c>
      <c r="B945" s="230" t="s">
        <v>2454</v>
      </c>
      <c r="C945" s="231" t="s">
        <v>461</v>
      </c>
      <c r="D945" s="232"/>
      <c r="E945" s="243"/>
      <c r="F945" s="243"/>
      <c r="G945" s="234"/>
      <c r="H945" s="234"/>
      <c r="I945" s="234"/>
    </row>
    <row r="946" spans="1:9" s="13" customFormat="1" ht="13.8">
      <c r="A946" s="229" t="s">
        <v>1340</v>
      </c>
      <c r="B946" s="230" t="s">
        <v>1185</v>
      </c>
      <c r="C946" s="231" t="s">
        <v>332</v>
      </c>
      <c r="D946" s="232">
        <v>30</v>
      </c>
      <c r="E946" s="243"/>
      <c r="F946" s="243">
        <v>144.22999999999999</v>
      </c>
      <c r="G946" s="234"/>
      <c r="H946" s="234">
        <f t="shared" si="194"/>
        <v>4326.8999999999996</v>
      </c>
      <c r="I946" s="234">
        <f t="shared" si="195"/>
        <v>4326.8999999999996</v>
      </c>
    </row>
    <row r="947" spans="1:9" s="13" customFormat="1" ht="13.8">
      <c r="A947" s="229" t="s">
        <v>1342</v>
      </c>
      <c r="B947" s="230" t="s">
        <v>1186</v>
      </c>
      <c r="C947" s="231" t="s">
        <v>332</v>
      </c>
      <c r="D947" s="232">
        <v>27</v>
      </c>
      <c r="E947" s="243"/>
      <c r="F947" s="243">
        <v>109.42</v>
      </c>
      <c r="G947" s="234"/>
      <c r="H947" s="234">
        <f t="shared" si="194"/>
        <v>2954.34</v>
      </c>
      <c r="I947" s="234">
        <f t="shared" si="195"/>
        <v>2954.34</v>
      </c>
    </row>
    <row r="948" spans="1:9" s="13" customFormat="1" ht="13.8">
      <c r="A948" s="229" t="s">
        <v>2455</v>
      </c>
      <c r="B948" s="230" t="s">
        <v>1187</v>
      </c>
      <c r="C948" s="231" t="s">
        <v>332</v>
      </c>
      <c r="D948" s="232">
        <v>60</v>
      </c>
      <c r="E948" s="243"/>
      <c r="F948" s="243">
        <v>7.41</v>
      </c>
      <c r="G948" s="234"/>
      <c r="H948" s="234">
        <f t="shared" si="194"/>
        <v>444.6</v>
      </c>
      <c r="I948" s="234">
        <f t="shared" si="195"/>
        <v>444.6</v>
      </c>
    </row>
    <row r="949" spans="1:9" s="13" customFormat="1" ht="13.8">
      <c r="A949" s="229" t="s">
        <v>2456</v>
      </c>
      <c r="B949" s="230" t="s">
        <v>1188</v>
      </c>
      <c r="C949" s="231" t="s">
        <v>332</v>
      </c>
      <c r="D949" s="232">
        <v>55</v>
      </c>
      <c r="E949" s="243"/>
      <c r="F949" s="243">
        <v>5.05</v>
      </c>
      <c r="G949" s="234"/>
      <c r="H949" s="234">
        <f t="shared" si="194"/>
        <v>277.75</v>
      </c>
      <c r="I949" s="234">
        <f t="shared" si="195"/>
        <v>277.75</v>
      </c>
    </row>
    <row r="950" spans="1:9" s="13" customFormat="1" ht="13.8">
      <c r="A950" s="229" t="s">
        <v>2457</v>
      </c>
      <c r="B950" s="230" t="s">
        <v>1189</v>
      </c>
      <c r="C950" s="231" t="s">
        <v>1190</v>
      </c>
      <c r="D950" s="232">
        <f>PRODUCT(0.00053,D896,0.01)</f>
        <v>5.4589999999999999E-4</v>
      </c>
      <c r="E950" s="243"/>
      <c r="F950" s="243">
        <v>400000</v>
      </c>
      <c r="G950" s="234"/>
      <c r="H950" s="234">
        <f t="shared" si="194"/>
        <v>218.35999999999999</v>
      </c>
      <c r="I950" s="234">
        <f t="shared" si="195"/>
        <v>218.35999999999999</v>
      </c>
    </row>
    <row r="951" spans="1:9" s="13" customFormat="1" ht="13.8">
      <c r="A951" s="229" t="s">
        <v>2458</v>
      </c>
      <c r="B951" s="230" t="s">
        <v>1191</v>
      </c>
      <c r="C951" s="231" t="s">
        <v>329</v>
      </c>
      <c r="D951" s="232">
        <f>PRODUCT(0.438,D896,0.01)</f>
        <v>0.45113999999999999</v>
      </c>
      <c r="E951" s="243"/>
      <c r="F951" s="243">
        <v>50.79</v>
      </c>
      <c r="G951" s="234"/>
      <c r="H951" s="234">
        <f t="shared" si="194"/>
        <v>22.913400599999999</v>
      </c>
      <c r="I951" s="234">
        <f t="shared" si="195"/>
        <v>22.913400599999999</v>
      </c>
    </row>
    <row r="952" spans="1:9" s="13" customFormat="1" ht="13.8">
      <c r="A952" s="229" t="s">
        <v>2459</v>
      </c>
      <c r="B952" s="230" t="s">
        <v>1192</v>
      </c>
      <c r="C952" s="231" t="s">
        <v>1190</v>
      </c>
      <c r="D952" s="232">
        <f>PRODUCT(0.00026,D896,0.01)</f>
        <v>2.678E-4</v>
      </c>
      <c r="E952" s="243"/>
      <c r="F952" s="243">
        <v>20680</v>
      </c>
      <c r="G952" s="234"/>
      <c r="H952" s="234">
        <f t="shared" si="194"/>
        <v>5.5381039999999997</v>
      </c>
      <c r="I952" s="234">
        <f t="shared" si="195"/>
        <v>5.5381039999999997</v>
      </c>
    </row>
    <row r="953" spans="1:9" s="13" customFormat="1" ht="13.8">
      <c r="A953" s="229" t="s">
        <v>2460</v>
      </c>
      <c r="B953" s="230" t="s">
        <v>1193</v>
      </c>
      <c r="C953" s="231" t="s">
        <v>125</v>
      </c>
      <c r="D953" s="232">
        <v>120</v>
      </c>
      <c r="E953" s="243"/>
      <c r="F953" s="243">
        <v>113.4</v>
      </c>
      <c r="G953" s="234"/>
      <c r="H953" s="234">
        <f t="shared" si="194"/>
        <v>13608</v>
      </c>
      <c r="I953" s="234">
        <f t="shared" si="195"/>
        <v>13608</v>
      </c>
    </row>
    <row r="954" spans="1:9" s="13" customFormat="1" ht="13.8">
      <c r="A954" s="229" t="s">
        <v>2461</v>
      </c>
      <c r="B954" s="230" t="s">
        <v>1194</v>
      </c>
      <c r="C954" s="231" t="s">
        <v>125</v>
      </c>
      <c r="D954" s="232">
        <v>2</v>
      </c>
      <c r="E954" s="243"/>
      <c r="F954" s="243">
        <v>660</v>
      </c>
      <c r="G954" s="234"/>
      <c r="H954" s="234">
        <f t="shared" si="194"/>
        <v>1320</v>
      </c>
      <c r="I954" s="234">
        <f t="shared" si="195"/>
        <v>1320</v>
      </c>
    </row>
    <row r="955" spans="1:9" s="13" customFormat="1" ht="13.8">
      <c r="A955" s="229" t="s">
        <v>1344</v>
      </c>
      <c r="B955" s="230" t="s">
        <v>2462</v>
      </c>
      <c r="C955" s="231" t="s">
        <v>332</v>
      </c>
      <c r="D955" s="232">
        <v>1</v>
      </c>
      <c r="E955" s="243">
        <v>500</v>
      </c>
      <c r="F955" s="243"/>
      <c r="G955" s="234">
        <f t="shared" ref="G955" si="210">PRODUCT(E955,D955)</f>
        <v>500</v>
      </c>
      <c r="H955" s="234"/>
      <c r="I955" s="234">
        <f>SUM(G955:H955)</f>
        <v>500</v>
      </c>
    </row>
    <row r="956" spans="1:9" s="13" customFormat="1" ht="27.6">
      <c r="A956" s="229" t="s">
        <v>1346</v>
      </c>
      <c r="B956" s="268" t="s">
        <v>2463</v>
      </c>
      <c r="C956" s="231" t="s">
        <v>332</v>
      </c>
      <c r="D956" s="232">
        <v>1</v>
      </c>
      <c r="E956" s="243"/>
      <c r="F956" s="243">
        <v>1500</v>
      </c>
      <c r="G956" s="234"/>
      <c r="H956" s="234">
        <f>PRODUCT(F956,D956)</f>
        <v>1500</v>
      </c>
      <c r="I956" s="234">
        <f>SUM(G956:H956)</f>
        <v>1500</v>
      </c>
    </row>
    <row r="957" spans="1:9" s="14" customFormat="1" ht="13.8">
      <c r="A957" s="229" t="s">
        <v>1373</v>
      </c>
      <c r="B957" s="262" t="s">
        <v>1198</v>
      </c>
      <c r="C957" s="231" t="s">
        <v>332</v>
      </c>
      <c r="D957" s="232">
        <v>4</v>
      </c>
      <c r="E957" s="243">
        <v>3500</v>
      </c>
      <c r="F957" s="243"/>
      <c r="G957" s="260">
        <f t="shared" ref="G957" si="211">D957*E957</f>
        <v>14000</v>
      </c>
      <c r="H957" s="261"/>
      <c r="I957" s="260">
        <f t="shared" ref="I957:I958" si="212">SUM(G957:H957)</f>
        <v>14000</v>
      </c>
    </row>
    <row r="958" spans="1:9" s="14" customFormat="1" ht="13.8">
      <c r="A958" s="229" t="s">
        <v>1197</v>
      </c>
      <c r="B958" s="250" t="s">
        <v>952</v>
      </c>
      <c r="C958" s="251" t="s">
        <v>1190</v>
      </c>
      <c r="D958" s="232">
        <v>2.8160000000000001E-2</v>
      </c>
      <c r="E958" s="243"/>
      <c r="F958" s="252">
        <v>44000</v>
      </c>
      <c r="G958" s="234"/>
      <c r="H958" s="234">
        <f>PRODUCT(F958,D958)</f>
        <v>1239.04</v>
      </c>
      <c r="I958" s="234">
        <f t="shared" si="212"/>
        <v>1239.04</v>
      </c>
    </row>
    <row r="959" spans="1:9" s="14" customFormat="1" ht="13.8">
      <c r="A959" s="229" t="s">
        <v>1201</v>
      </c>
      <c r="B959" s="253" t="s">
        <v>2464</v>
      </c>
      <c r="C959" s="251" t="s">
        <v>1190</v>
      </c>
      <c r="D959" s="232">
        <v>3.0880000000000001E-2</v>
      </c>
      <c r="E959" s="243"/>
      <c r="F959" s="254">
        <v>46000</v>
      </c>
      <c r="G959" s="234"/>
      <c r="H959" s="234">
        <f t="shared" ref="H959:H960" si="213">PRODUCT(F959,D959)</f>
        <v>1420.48</v>
      </c>
      <c r="I959" s="234">
        <f t="shared" ref="I959:I960" si="214">SUM(G959:H959)</f>
        <v>1420.48</v>
      </c>
    </row>
    <row r="960" spans="1:9" s="14" customFormat="1" ht="13.8">
      <c r="A960" s="229" t="s">
        <v>1204</v>
      </c>
      <c r="B960" s="255" t="s">
        <v>1200</v>
      </c>
      <c r="C960" s="251" t="s">
        <v>332</v>
      </c>
      <c r="D960" s="232">
        <v>16</v>
      </c>
      <c r="E960" s="243"/>
      <c r="F960" s="243">
        <v>54</v>
      </c>
      <c r="G960" s="234"/>
      <c r="H960" s="234">
        <f t="shared" si="213"/>
        <v>864</v>
      </c>
      <c r="I960" s="234">
        <f t="shared" si="214"/>
        <v>864</v>
      </c>
    </row>
    <row r="961" spans="1:9" s="14" customFormat="1" ht="13.8">
      <c r="A961" s="229" t="s">
        <v>1379</v>
      </c>
      <c r="B961" s="262" t="s">
        <v>1202</v>
      </c>
      <c r="C961" s="231" t="s">
        <v>332</v>
      </c>
      <c r="D961" s="232">
        <v>141</v>
      </c>
      <c r="E961" s="243">
        <v>350</v>
      </c>
      <c r="F961" s="243"/>
      <c r="G961" s="260">
        <f t="shared" ref="G961" si="215">D961*E961</f>
        <v>49350</v>
      </c>
      <c r="H961" s="261"/>
      <c r="I961" s="260">
        <f t="shared" ref="I961" si="216">SUM(G961:H961)</f>
        <v>49350</v>
      </c>
    </row>
    <row r="962" spans="1:9" s="14" customFormat="1" ht="13.8">
      <c r="A962" s="229" t="s">
        <v>1381</v>
      </c>
      <c r="B962" s="256" t="s">
        <v>2465</v>
      </c>
      <c r="C962" s="251" t="s">
        <v>1190</v>
      </c>
      <c r="D962" s="232">
        <v>0.45516000000000001</v>
      </c>
      <c r="E962" s="243"/>
      <c r="F962" s="257">
        <v>46000</v>
      </c>
      <c r="G962" s="234"/>
      <c r="H962" s="234">
        <f t="shared" ref="H962" si="217">PRODUCT(F962,D962)</f>
        <v>20937.36</v>
      </c>
      <c r="I962" s="234">
        <f t="shared" ref="I962:I967" si="218">SUM(G962:H962)</f>
        <v>20937.36</v>
      </c>
    </row>
    <row r="963" spans="1:9" s="14" customFormat="1" ht="13.8">
      <c r="A963" s="229" t="s">
        <v>1387</v>
      </c>
      <c r="B963" s="250" t="s">
        <v>1205</v>
      </c>
      <c r="C963" s="251" t="s">
        <v>332</v>
      </c>
      <c r="D963" s="258">
        <v>200</v>
      </c>
      <c r="E963" s="244">
        <v>100</v>
      </c>
      <c r="F963" s="244"/>
      <c r="G963" s="260">
        <f>D963*E963</f>
        <v>20000</v>
      </c>
      <c r="H963" s="261"/>
      <c r="I963" s="260">
        <f t="shared" si="218"/>
        <v>20000</v>
      </c>
    </row>
    <row r="964" spans="1:9" s="14" customFormat="1" ht="13.8">
      <c r="A964" s="229" t="s">
        <v>1389</v>
      </c>
      <c r="B964" s="250" t="s">
        <v>1206</v>
      </c>
      <c r="C964" s="251" t="s">
        <v>332</v>
      </c>
      <c r="D964" s="258">
        <v>400</v>
      </c>
      <c r="E964" s="244"/>
      <c r="F964" s="259">
        <v>51.864406779661003</v>
      </c>
      <c r="G964" s="260"/>
      <c r="H964" s="261">
        <f>D964*F964</f>
        <v>20745.762711864401</v>
      </c>
      <c r="I964" s="260">
        <f t="shared" si="218"/>
        <v>20745.762711864401</v>
      </c>
    </row>
    <row r="965" spans="1:9" s="14" customFormat="1" ht="13.8">
      <c r="A965" s="229" t="s">
        <v>1390</v>
      </c>
      <c r="B965" s="262" t="s">
        <v>772</v>
      </c>
      <c r="C965" s="251" t="s">
        <v>1190</v>
      </c>
      <c r="D965" s="263">
        <v>0.23200000000000001</v>
      </c>
      <c r="E965" s="244"/>
      <c r="F965" s="244">
        <v>40200</v>
      </c>
      <c r="G965" s="260"/>
      <c r="H965" s="261">
        <f>D965*F965</f>
        <v>9326.4</v>
      </c>
      <c r="I965" s="260">
        <f t="shared" si="218"/>
        <v>9326.4</v>
      </c>
    </row>
    <row r="966" spans="1:9" s="14" customFormat="1" ht="13.8">
      <c r="A966" s="229" t="s">
        <v>2466</v>
      </c>
      <c r="B966" s="262" t="s">
        <v>1207</v>
      </c>
      <c r="C966" s="251" t="s">
        <v>332</v>
      </c>
      <c r="D966" s="263">
        <v>800</v>
      </c>
      <c r="E966" s="244"/>
      <c r="F966" s="244">
        <v>5.62</v>
      </c>
      <c r="G966" s="260"/>
      <c r="H966" s="261">
        <f>D966*F966</f>
        <v>4496</v>
      </c>
      <c r="I966" s="260">
        <f t="shared" si="218"/>
        <v>4496</v>
      </c>
    </row>
    <row r="967" spans="1:9" s="14" customFormat="1" ht="13.8">
      <c r="A967" s="229" t="s">
        <v>2467</v>
      </c>
      <c r="B967" s="264" t="s">
        <v>1208</v>
      </c>
      <c r="C967" s="265" t="s">
        <v>332</v>
      </c>
      <c r="D967" s="266">
        <v>800</v>
      </c>
      <c r="E967" s="267"/>
      <c r="F967" s="267">
        <v>1.32</v>
      </c>
      <c r="G967" s="260"/>
      <c r="H967" s="261">
        <f>D967*F967</f>
        <v>1056</v>
      </c>
      <c r="I967" s="260">
        <f t="shared" si="218"/>
        <v>1056</v>
      </c>
    </row>
    <row r="968" spans="1:9" s="14" customFormat="1" ht="13.8">
      <c r="A968" s="229" t="s">
        <v>1392</v>
      </c>
      <c r="B968" s="250" t="s">
        <v>1210</v>
      </c>
      <c r="C968" s="251" t="s">
        <v>332</v>
      </c>
      <c r="D968" s="258">
        <v>58</v>
      </c>
      <c r="E968" s="244">
        <v>400</v>
      </c>
      <c r="F968" s="244"/>
      <c r="G968" s="260">
        <f t="shared" ref="G968" si="219">D968*E968</f>
        <v>23200</v>
      </c>
      <c r="H968" s="261"/>
      <c r="I968" s="260">
        <f t="shared" ref="I968:I973" si="220">SUM(G968:H968)</f>
        <v>23200</v>
      </c>
    </row>
    <row r="969" spans="1:9" s="14" customFormat="1" ht="13.8">
      <c r="A969" s="229" t="s">
        <v>2468</v>
      </c>
      <c r="B969" s="250" t="s">
        <v>1211</v>
      </c>
      <c r="C969" s="251" t="s">
        <v>310</v>
      </c>
      <c r="D969" s="258">
        <v>8</v>
      </c>
      <c r="E969" s="244"/>
      <c r="F969" s="244">
        <v>268.48</v>
      </c>
      <c r="G969" s="260"/>
      <c r="H969" s="261">
        <f t="shared" ref="H969:H973" si="221">D969*F969</f>
        <v>2147.84</v>
      </c>
      <c r="I969" s="260">
        <f t="shared" si="220"/>
        <v>2147.84</v>
      </c>
    </row>
    <row r="970" spans="1:9" s="14" customFormat="1" ht="13.8">
      <c r="A970" s="229" t="s">
        <v>2469</v>
      </c>
      <c r="B970" s="250" t="s">
        <v>1212</v>
      </c>
      <c r="C970" s="251" t="s">
        <v>310</v>
      </c>
      <c r="D970" s="258">
        <v>3.6</v>
      </c>
      <c r="E970" s="244"/>
      <c r="F970" s="244">
        <v>363</v>
      </c>
      <c r="G970" s="260"/>
      <c r="H970" s="261">
        <f t="shared" si="221"/>
        <v>1306.8</v>
      </c>
      <c r="I970" s="260">
        <f t="shared" si="220"/>
        <v>1306.8</v>
      </c>
    </row>
    <row r="971" spans="1:9" s="14" customFormat="1" ht="13.8">
      <c r="A971" s="229" t="s">
        <v>2470</v>
      </c>
      <c r="B971" s="250" t="s">
        <v>1213</v>
      </c>
      <c r="C971" s="251" t="s">
        <v>1190</v>
      </c>
      <c r="D971" s="258">
        <v>0.22600000000000001</v>
      </c>
      <c r="E971" s="244"/>
      <c r="F971" s="244">
        <v>46000</v>
      </c>
      <c r="G971" s="260"/>
      <c r="H971" s="261">
        <f t="shared" si="221"/>
        <v>10396</v>
      </c>
      <c r="I971" s="260">
        <f t="shared" si="220"/>
        <v>10396</v>
      </c>
    </row>
    <row r="972" spans="1:9" s="14" customFormat="1" ht="13.8">
      <c r="A972" s="229" t="s">
        <v>2471</v>
      </c>
      <c r="B972" s="250" t="s">
        <v>1214</v>
      </c>
      <c r="C972" s="251" t="s">
        <v>1190</v>
      </c>
      <c r="D972" s="258">
        <v>0.104</v>
      </c>
      <c r="E972" s="244"/>
      <c r="F972" s="244">
        <v>46000</v>
      </c>
      <c r="G972" s="260"/>
      <c r="H972" s="261">
        <f t="shared" si="221"/>
        <v>4784</v>
      </c>
      <c r="I972" s="260">
        <f t="shared" si="220"/>
        <v>4784</v>
      </c>
    </row>
    <row r="973" spans="1:9" s="14" customFormat="1" ht="13.8">
      <c r="A973" s="229" t="s">
        <v>2472</v>
      </c>
      <c r="B973" s="250" t="s">
        <v>1215</v>
      </c>
      <c r="C973" s="251" t="s">
        <v>332</v>
      </c>
      <c r="D973" s="258">
        <v>232</v>
      </c>
      <c r="E973" s="244"/>
      <c r="F973" s="244">
        <v>15.39</v>
      </c>
      <c r="G973" s="260"/>
      <c r="H973" s="261">
        <f t="shared" si="221"/>
        <v>3570.48</v>
      </c>
      <c r="I973" s="260">
        <f t="shared" si="220"/>
        <v>3570.48</v>
      </c>
    </row>
    <row r="974" spans="1:9" s="14" customFormat="1" ht="13.8">
      <c r="A974" s="229" t="s">
        <v>1394</v>
      </c>
      <c r="B974" s="230" t="s">
        <v>2477</v>
      </c>
      <c r="C974" s="231" t="s">
        <v>332</v>
      </c>
      <c r="D974" s="232">
        <f>SUM(D975,D977)</f>
        <v>18</v>
      </c>
      <c r="E974" s="243">
        <v>400</v>
      </c>
      <c r="F974" s="243"/>
      <c r="G974" s="260">
        <f t="shared" ref="G974" si="222">D974*E974</f>
        <v>7200</v>
      </c>
      <c r="H974" s="261"/>
      <c r="I974" s="260">
        <f t="shared" ref="I974" si="223">SUM(G974:H974)</f>
        <v>7200</v>
      </c>
    </row>
    <row r="975" spans="1:9" s="13" customFormat="1" ht="13.8">
      <c r="A975" s="229" t="s">
        <v>2473</v>
      </c>
      <c r="B975" s="268" t="s">
        <v>1219</v>
      </c>
      <c r="C975" s="231" t="s">
        <v>332</v>
      </c>
      <c r="D975" s="232">
        <v>2</v>
      </c>
      <c r="E975" s="243"/>
      <c r="F975" s="243">
        <v>1930</v>
      </c>
      <c r="G975" s="234"/>
      <c r="H975" s="234">
        <f>PRODUCT(F975,D975)</f>
        <v>3860</v>
      </c>
      <c r="I975" s="234">
        <f>SUM(G975:H975)</f>
        <v>3860</v>
      </c>
    </row>
    <row r="976" spans="1:9" s="13" customFormat="1" ht="13.8">
      <c r="A976" s="229" t="s">
        <v>2474</v>
      </c>
      <c r="B976" s="268" t="s">
        <v>1221</v>
      </c>
      <c r="C976" s="231" t="s">
        <v>332</v>
      </c>
      <c r="D976" s="232">
        <v>4</v>
      </c>
      <c r="E976" s="243"/>
      <c r="F976" s="243">
        <v>39</v>
      </c>
      <c r="G976" s="234"/>
      <c r="H976" s="234">
        <f>PRODUCT(F976,D976)</f>
        <v>156</v>
      </c>
      <c r="I976" s="234">
        <f t="shared" ref="I976:I985" si="224">SUM(G976:H976)</f>
        <v>156</v>
      </c>
    </row>
    <row r="977" spans="1:9" s="13" customFormat="1" ht="13.8">
      <c r="A977" s="229" t="s">
        <v>2475</v>
      </c>
      <c r="B977" s="268" t="s">
        <v>1223</v>
      </c>
      <c r="C977" s="231" t="s">
        <v>332</v>
      </c>
      <c r="D977" s="232">
        <v>16</v>
      </c>
      <c r="E977" s="243"/>
      <c r="F977" s="243">
        <v>2330</v>
      </c>
      <c r="G977" s="234"/>
      <c r="H977" s="234">
        <f t="shared" ref="H977:H981" si="225">PRODUCT(F977,D977)</f>
        <v>37280</v>
      </c>
      <c r="I977" s="234">
        <f t="shared" si="224"/>
        <v>37280</v>
      </c>
    </row>
    <row r="978" spans="1:9" s="13" customFormat="1" ht="13.8">
      <c r="A978" s="229" t="s">
        <v>2476</v>
      </c>
      <c r="B978" s="268" t="s">
        <v>1225</v>
      </c>
      <c r="C978" s="231" t="s">
        <v>332</v>
      </c>
      <c r="D978" s="232">
        <v>32</v>
      </c>
      <c r="E978" s="243"/>
      <c r="F978" s="243">
        <v>41</v>
      </c>
      <c r="G978" s="234"/>
      <c r="H978" s="234">
        <f t="shared" si="225"/>
        <v>1312</v>
      </c>
      <c r="I978" s="234">
        <f t="shared" si="224"/>
        <v>1312</v>
      </c>
    </row>
    <row r="979" spans="1:9" s="13" customFormat="1" ht="13.8">
      <c r="A979" s="229" t="s">
        <v>2478</v>
      </c>
      <c r="B979" s="230" t="s">
        <v>2479</v>
      </c>
      <c r="C979" s="231" t="s">
        <v>332</v>
      </c>
      <c r="D979" s="232">
        <v>3</v>
      </c>
      <c r="E979" s="243">
        <v>500</v>
      </c>
      <c r="F979" s="243"/>
      <c r="G979" s="260">
        <f t="shared" ref="G979" si="226">D979*E979</f>
        <v>1500</v>
      </c>
      <c r="H979" s="261"/>
      <c r="I979" s="260">
        <f t="shared" ref="I979" si="227">SUM(G979:H979)</f>
        <v>1500</v>
      </c>
    </row>
    <row r="980" spans="1:9" s="13" customFormat="1" ht="13.8">
      <c r="A980" s="229" t="s">
        <v>2480</v>
      </c>
      <c r="B980" s="268" t="s">
        <v>1226</v>
      </c>
      <c r="C980" s="231" t="s">
        <v>332</v>
      </c>
      <c r="D980" s="232">
        <v>3</v>
      </c>
      <c r="E980" s="243"/>
      <c r="F980" s="243">
        <v>9500</v>
      </c>
      <c r="G980" s="234"/>
      <c r="H980" s="234">
        <f t="shared" si="225"/>
        <v>28500</v>
      </c>
      <c r="I980" s="234">
        <f t="shared" si="224"/>
        <v>28500</v>
      </c>
    </row>
    <row r="981" spans="1:9" s="13" customFormat="1" ht="13.8">
      <c r="A981" s="229" t="s">
        <v>2481</v>
      </c>
      <c r="B981" s="268" t="s">
        <v>1227</v>
      </c>
      <c r="C981" s="231" t="s">
        <v>332</v>
      </c>
      <c r="D981" s="232">
        <v>6</v>
      </c>
      <c r="E981" s="243"/>
      <c r="F981" s="243">
        <v>76</v>
      </c>
      <c r="G981" s="234"/>
      <c r="H981" s="234">
        <f t="shared" si="225"/>
        <v>456</v>
      </c>
      <c r="I981" s="234">
        <f t="shared" si="224"/>
        <v>456</v>
      </c>
    </row>
    <row r="982" spans="1:9" s="14" customFormat="1" ht="13.8">
      <c r="A982" s="229" t="s">
        <v>2482</v>
      </c>
      <c r="B982" s="230" t="s">
        <v>1229</v>
      </c>
      <c r="C982" s="231" t="s">
        <v>111</v>
      </c>
      <c r="D982" s="232">
        <v>505</v>
      </c>
      <c r="E982" s="243">
        <v>30</v>
      </c>
      <c r="F982" s="243"/>
      <c r="G982" s="234">
        <f>PRODUCT(E982,D982)</f>
        <v>15150</v>
      </c>
      <c r="H982" s="234"/>
      <c r="I982" s="234">
        <f t="shared" si="224"/>
        <v>15150</v>
      </c>
    </row>
    <row r="983" spans="1:9" s="13" customFormat="1" ht="13.8">
      <c r="A983" s="229" t="s">
        <v>2483</v>
      </c>
      <c r="B983" s="269" t="s">
        <v>1231</v>
      </c>
      <c r="C983" s="231" t="s">
        <v>125</v>
      </c>
      <c r="D983" s="232">
        <v>122</v>
      </c>
      <c r="E983" s="243"/>
      <c r="F983" s="270">
        <v>70</v>
      </c>
      <c r="G983" s="234"/>
      <c r="H983" s="234">
        <f t="shared" ref="H983" si="228">PRODUCT(F983,D983)</f>
        <v>8540</v>
      </c>
      <c r="I983" s="234">
        <f t="shared" si="224"/>
        <v>8540</v>
      </c>
    </row>
    <row r="984" spans="1:9" s="14" customFormat="1" ht="13.8">
      <c r="A984" s="229" t="s">
        <v>2484</v>
      </c>
      <c r="B984" s="230" t="s">
        <v>1233</v>
      </c>
      <c r="C984" s="231" t="s">
        <v>120</v>
      </c>
      <c r="D984" s="232">
        <v>505</v>
      </c>
      <c r="E984" s="243">
        <v>30</v>
      </c>
      <c r="F984" s="243"/>
      <c r="G984" s="234">
        <f>PRODUCT(E984,D984)</f>
        <v>15150</v>
      </c>
      <c r="H984" s="234"/>
      <c r="I984" s="234">
        <f t="shared" si="224"/>
        <v>15150</v>
      </c>
    </row>
    <row r="985" spans="1:9" s="13" customFormat="1" ht="13.8">
      <c r="A985" s="229" t="s">
        <v>2485</v>
      </c>
      <c r="B985" s="271" t="s">
        <v>1235</v>
      </c>
      <c r="C985" s="231" t="s">
        <v>125</v>
      </c>
      <c r="D985" s="232">
        <v>58</v>
      </c>
      <c r="E985" s="243"/>
      <c r="F985" s="270">
        <v>95.5</v>
      </c>
      <c r="G985" s="234"/>
      <c r="H985" s="234">
        <f t="shared" ref="H985" si="229">PRODUCT(F985,D985)</f>
        <v>5539</v>
      </c>
      <c r="I985" s="234">
        <f t="shared" si="224"/>
        <v>5539</v>
      </c>
    </row>
    <row r="986" spans="1:9" s="14" customFormat="1" ht="13.8">
      <c r="A986" s="229" t="s">
        <v>2486</v>
      </c>
      <c r="B986" s="230" t="s">
        <v>1237</v>
      </c>
      <c r="C986" s="231" t="s">
        <v>120</v>
      </c>
      <c r="D986" s="232">
        <f>SUM(D987:D995)</f>
        <v>654</v>
      </c>
      <c r="E986" s="243">
        <v>30</v>
      </c>
      <c r="F986" s="243"/>
      <c r="G986" s="234">
        <f>PRODUCT(E986,D986)</f>
        <v>19620</v>
      </c>
      <c r="H986" s="234"/>
      <c r="I986" s="234">
        <f t="shared" ref="I986:I996" si="230">SUM(G986:H986)</f>
        <v>19620</v>
      </c>
    </row>
    <row r="987" spans="1:9" s="13" customFormat="1" ht="13.8">
      <c r="A987" s="229" t="s">
        <v>2487</v>
      </c>
      <c r="B987" s="230" t="s">
        <v>1239</v>
      </c>
      <c r="C987" s="231" t="s">
        <v>120</v>
      </c>
      <c r="D987" s="232">
        <v>105</v>
      </c>
      <c r="E987" s="243"/>
      <c r="F987" s="272">
        <v>333.3</v>
      </c>
      <c r="G987" s="273"/>
      <c r="H987" s="234">
        <f>PRODUCT(F987,D987)</f>
        <v>34996.5</v>
      </c>
      <c r="I987" s="234">
        <f t="shared" si="230"/>
        <v>34996.5</v>
      </c>
    </row>
    <row r="988" spans="1:9" s="13" customFormat="1" ht="13.8">
      <c r="A988" s="229" t="s">
        <v>2488</v>
      </c>
      <c r="B988" s="230" t="s">
        <v>1241</v>
      </c>
      <c r="C988" s="231" t="s">
        <v>120</v>
      </c>
      <c r="D988" s="232">
        <v>69</v>
      </c>
      <c r="E988" s="243"/>
      <c r="F988" s="274">
        <v>283.14</v>
      </c>
      <c r="G988" s="273"/>
      <c r="H988" s="234">
        <f t="shared" ref="H988:H997" si="231">PRODUCT(F988,D988)</f>
        <v>19536.66</v>
      </c>
      <c r="I988" s="234">
        <f t="shared" ref="I988:I997" si="232">SUM(G988:H988)</f>
        <v>19536.66</v>
      </c>
    </row>
    <row r="989" spans="1:9" s="13" customFormat="1" ht="13.8">
      <c r="A989" s="229" t="s">
        <v>2489</v>
      </c>
      <c r="B989" s="230" t="s">
        <v>1243</v>
      </c>
      <c r="C989" s="231" t="s">
        <v>120</v>
      </c>
      <c r="D989" s="232">
        <v>75</v>
      </c>
      <c r="E989" s="243"/>
      <c r="F989" s="275">
        <v>266.17</v>
      </c>
      <c r="G989" s="273"/>
      <c r="H989" s="234">
        <f t="shared" si="231"/>
        <v>19962.75</v>
      </c>
      <c r="I989" s="234">
        <f t="shared" si="232"/>
        <v>19962.75</v>
      </c>
    </row>
    <row r="990" spans="1:9" s="13" customFormat="1" ht="13.8">
      <c r="A990" s="229" t="s">
        <v>2490</v>
      </c>
      <c r="B990" s="230" t="s">
        <v>1245</v>
      </c>
      <c r="C990" s="231" t="s">
        <v>120</v>
      </c>
      <c r="D990" s="232">
        <v>46</v>
      </c>
      <c r="E990" s="243"/>
      <c r="F990" s="276">
        <v>160.71</v>
      </c>
      <c r="G990" s="273"/>
      <c r="H990" s="234">
        <f t="shared" si="231"/>
        <v>7392.6600000000008</v>
      </c>
      <c r="I990" s="234">
        <f t="shared" si="232"/>
        <v>7392.6600000000008</v>
      </c>
    </row>
    <row r="991" spans="1:9" s="13" customFormat="1" ht="13.8">
      <c r="A991" s="229" t="s">
        <v>2491</v>
      </c>
      <c r="B991" s="230" t="s">
        <v>1246</v>
      </c>
      <c r="C991" s="231" t="s">
        <v>120</v>
      </c>
      <c r="D991" s="232">
        <v>37</v>
      </c>
      <c r="E991" s="243"/>
      <c r="F991" s="277">
        <v>109.76</v>
      </c>
      <c r="G991" s="273"/>
      <c r="H991" s="234">
        <f t="shared" si="231"/>
        <v>4061.1200000000003</v>
      </c>
      <c r="I991" s="234">
        <f t="shared" si="232"/>
        <v>4061.1200000000003</v>
      </c>
    </row>
    <row r="992" spans="1:9" s="13" customFormat="1" ht="13.8">
      <c r="A992" s="229" t="s">
        <v>2492</v>
      </c>
      <c r="B992" s="230" t="s">
        <v>1247</v>
      </c>
      <c r="C992" s="231" t="s">
        <v>120</v>
      </c>
      <c r="D992" s="232">
        <v>25</v>
      </c>
      <c r="E992" s="243"/>
      <c r="F992" s="278">
        <v>91.84</v>
      </c>
      <c r="G992" s="273"/>
      <c r="H992" s="234">
        <f t="shared" si="231"/>
        <v>2296</v>
      </c>
      <c r="I992" s="234">
        <f t="shared" si="232"/>
        <v>2296</v>
      </c>
    </row>
    <row r="993" spans="1:9" s="13" customFormat="1" ht="13.8">
      <c r="A993" s="229" t="s">
        <v>2493</v>
      </c>
      <c r="B993" s="230" t="s">
        <v>1248</v>
      </c>
      <c r="C993" s="231" t="s">
        <v>120</v>
      </c>
      <c r="D993" s="232">
        <v>183</v>
      </c>
      <c r="E993" s="243"/>
      <c r="F993" s="279">
        <v>88.33</v>
      </c>
      <c r="G993" s="273"/>
      <c r="H993" s="234">
        <f t="shared" si="231"/>
        <v>16164.39</v>
      </c>
      <c r="I993" s="234">
        <f t="shared" si="232"/>
        <v>16164.39</v>
      </c>
    </row>
    <row r="994" spans="1:9" s="13" customFormat="1" ht="13.8">
      <c r="A994" s="229" t="s">
        <v>2494</v>
      </c>
      <c r="B994" s="230" t="s">
        <v>1249</v>
      </c>
      <c r="C994" s="231" t="s">
        <v>120</v>
      </c>
      <c r="D994" s="232">
        <v>42</v>
      </c>
      <c r="E994" s="243"/>
      <c r="F994" s="280">
        <v>71.430000000000007</v>
      </c>
      <c r="G994" s="273"/>
      <c r="H994" s="234">
        <f t="shared" si="231"/>
        <v>3000.0600000000004</v>
      </c>
      <c r="I994" s="234">
        <f t="shared" si="232"/>
        <v>3000.0600000000004</v>
      </c>
    </row>
    <row r="995" spans="1:9" s="13" customFormat="1" ht="13.8">
      <c r="A995" s="229" t="s">
        <v>2495</v>
      </c>
      <c r="B995" s="230" t="s">
        <v>1250</v>
      </c>
      <c r="C995" s="231" t="s">
        <v>120</v>
      </c>
      <c r="D995" s="232">
        <v>72</v>
      </c>
      <c r="E995" s="243"/>
      <c r="F995" s="280">
        <v>69.23</v>
      </c>
      <c r="G995" s="273"/>
      <c r="H995" s="234">
        <f t="shared" si="231"/>
        <v>4984.5600000000004</v>
      </c>
      <c r="I995" s="234">
        <f t="shared" si="232"/>
        <v>4984.5600000000004</v>
      </c>
    </row>
    <row r="996" spans="1:9" s="14" customFormat="1" ht="13.8">
      <c r="A996" s="229" t="s">
        <v>2496</v>
      </c>
      <c r="B996" s="230" t="s">
        <v>1252</v>
      </c>
      <c r="C996" s="231" t="s">
        <v>111</v>
      </c>
      <c r="D996" s="232">
        <v>311</v>
      </c>
      <c r="E996" s="243">
        <v>40</v>
      </c>
      <c r="F996" s="243"/>
      <c r="G996" s="234">
        <f>PRODUCT(E996,D996)</f>
        <v>12440</v>
      </c>
      <c r="H996" s="234"/>
      <c r="I996" s="234">
        <f t="shared" si="230"/>
        <v>12440</v>
      </c>
    </row>
    <row r="997" spans="1:9" s="13" customFormat="1" ht="13.8">
      <c r="A997" s="229" t="s">
        <v>2497</v>
      </c>
      <c r="B997" s="250" t="s">
        <v>1254</v>
      </c>
      <c r="C997" s="231" t="s">
        <v>111</v>
      </c>
      <c r="D997" s="232">
        <v>311</v>
      </c>
      <c r="E997" s="243"/>
      <c r="F997" s="243">
        <v>44.5</v>
      </c>
      <c r="G997" s="234"/>
      <c r="H997" s="234">
        <f t="shared" si="231"/>
        <v>13839.5</v>
      </c>
      <c r="I997" s="546">
        <f t="shared" si="232"/>
        <v>13839.5</v>
      </c>
    </row>
    <row r="998" spans="1:9" s="14" customFormat="1" ht="13.8">
      <c r="A998" s="229" t="s">
        <v>2498</v>
      </c>
      <c r="B998" s="230" t="s">
        <v>1256</v>
      </c>
      <c r="C998" s="231" t="s">
        <v>332</v>
      </c>
      <c r="D998" s="234">
        <f>SUM(D999:D1060)</f>
        <v>738</v>
      </c>
      <c r="E998" s="516">
        <v>1300</v>
      </c>
      <c r="F998" s="249"/>
      <c r="G998" s="234">
        <f>PRODUCT(E998,D998)</f>
        <v>959400</v>
      </c>
      <c r="H998" s="234"/>
      <c r="I998" s="234">
        <f t="shared" ref="I998" si="233">SUM(G998:H998)</f>
        <v>959400</v>
      </c>
    </row>
    <row r="999" spans="1:9" s="13" customFormat="1" ht="13.8">
      <c r="A999" s="281" t="s">
        <v>2499</v>
      </c>
      <c r="B999" s="282" t="s">
        <v>1258</v>
      </c>
      <c r="C999" s="283" t="s">
        <v>332</v>
      </c>
      <c r="D999" s="284">
        <v>6</v>
      </c>
      <c r="E999" s="285"/>
      <c r="F999" s="286">
        <v>3516.69</v>
      </c>
      <c r="G999" s="273"/>
      <c r="H999" s="273">
        <f>PRODUCT(F999,D999)</f>
        <v>21100.14</v>
      </c>
      <c r="I999" s="273">
        <f>SUM(G999:H999)</f>
        <v>21100.14</v>
      </c>
    </row>
    <row r="1000" spans="1:9" s="13" customFormat="1" ht="13.8">
      <c r="A1000" s="281" t="s">
        <v>2500</v>
      </c>
      <c r="B1000" s="282" t="s">
        <v>1260</v>
      </c>
      <c r="C1000" s="283" t="s">
        <v>332</v>
      </c>
      <c r="D1000" s="284">
        <v>44</v>
      </c>
      <c r="E1000" s="285"/>
      <c r="F1000" s="287">
        <v>1018.77</v>
      </c>
      <c r="G1000" s="273"/>
      <c r="H1000" s="273">
        <f t="shared" ref="H1000:H1062" si="234">PRODUCT(F1000,D1000)</f>
        <v>44825.88</v>
      </c>
      <c r="I1000" s="273">
        <f t="shared" ref="I1000:I1062" si="235">SUM(G1000:H1000)</f>
        <v>44825.88</v>
      </c>
    </row>
    <row r="1001" spans="1:9" s="13" customFormat="1" ht="13.8">
      <c r="A1001" s="281" t="s">
        <v>2501</v>
      </c>
      <c r="B1001" s="282" t="s">
        <v>1262</v>
      </c>
      <c r="C1001" s="283" t="s">
        <v>332</v>
      </c>
      <c r="D1001" s="284">
        <v>19</v>
      </c>
      <c r="E1001" s="285"/>
      <c r="F1001" s="287">
        <v>1155.8900000000001</v>
      </c>
      <c r="G1001" s="273"/>
      <c r="H1001" s="273">
        <f t="shared" si="234"/>
        <v>21961.910000000003</v>
      </c>
      <c r="I1001" s="273">
        <f t="shared" si="235"/>
        <v>21961.910000000003</v>
      </c>
    </row>
    <row r="1002" spans="1:9" s="13" customFormat="1" ht="13.8">
      <c r="A1002" s="281" t="s">
        <v>2502</v>
      </c>
      <c r="B1002" s="282" t="s">
        <v>1264</v>
      </c>
      <c r="C1002" s="283" t="s">
        <v>332</v>
      </c>
      <c r="D1002" s="284">
        <v>30</v>
      </c>
      <c r="E1002" s="285"/>
      <c r="F1002" s="287">
        <v>1314.11</v>
      </c>
      <c r="G1002" s="273"/>
      <c r="H1002" s="273">
        <f t="shared" si="234"/>
        <v>39423.299999999996</v>
      </c>
      <c r="I1002" s="273">
        <f t="shared" si="235"/>
        <v>39423.299999999996</v>
      </c>
    </row>
    <row r="1003" spans="1:9" s="13" customFormat="1" ht="13.8">
      <c r="A1003" s="281" t="s">
        <v>2503</v>
      </c>
      <c r="B1003" s="282" t="s">
        <v>1265</v>
      </c>
      <c r="C1003" s="283" t="s">
        <v>332</v>
      </c>
      <c r="D1003" s="284">
        <v>49</v>
      </c>
      <c r="E1003" s="285"/>
      <c r="F1003" s="287">
        <v>1459.15</v>
      </c>
      <c r="G1003" s="273"/>
      <c r="H1003" s="273">
        <f t="shared" si="234"/>
        <v>71498.350000000006</v>
      </c>
      <c r="I1003" s="273">
        <f t="shared" si="235"/>
        <v>71498.350000000006</v>
      </c>
    </row>
    <row r="1004" spans="1:9" s="13" customFormat="1" ht="13.8">
      <c r="A1004" s="281" t="s">
        <v>2504</v>
      </c>
      <c r="B1004" s="282" t="s">
        <v>1266</v>
      </c>
      <c r="C1004" s="283" t="s">
        <v>332</v>
      </c>
      <c r="D1004" s="284">
        <v>47</v>
      </c>
      <c r="E1004" s="285"/>
      <c r="F1004" s="287">
        <v>1612.99</v>
      </c>
      <c r="G1004" s="273"/>
      <c r="H1004" s="273">
        <f t="shared" si="234"/>
        <v>75810.53</v>
      </c>
      <c r="I1004" s="273">
        <f t="shared" si="235"/>
        <v>75810.53</v>
      </c>
    </row>
    <row r="1005" spans="1:9" s="13" customFormat="1" ht="13.8">
      <c r="A1005" s="281" t="s">
        <v>2505</v>
      </c>
      <c r="B1005" s="282" t="s">
        <v>1267</v>
      </c>
      <c r="C1005" s="283" t="s">
        <v>332</v>
      </c>
      <c r="D1005" s="284">
        <v>41</v>
      </c>
      <c r="E1005" s="285"/>
      <c r="F1005" s="287">
        <v>1758.02</v>
      </c>
      <c r="G1005" s="273"/>
      <c r="H1005" s="273">
        <f t="shared" si="234"/>
        <v>72078.819999999992</v>
      </c>
      <c r="I1005" s="273">
        <f t="shared" si="235"/>
        <v>72078.819999999992</v>
      </c>
    </row>
    <row r="1006" spans="1:9" s="13" customFormat="1" ht="13.8">
      <c r="A1006" s="281" t="s">
        <v>2506</v>
      </c>
      <c r="B1006" s="282" t="s">
        <v>1268</v>
      </c>
      <c r="C1006" s="283" t="s">
        <v>332</v>
      </c>
      <c r="D1006" s="284">
        <v>33</v>
      </c>
      <c r="E1006" s="285"/>
      <c r="F1006" s="287">
        <v>1925.03</v>
      </c>
      <c r="G1006" s="273"/>
      <c r="H1006" s="273">
        <f t="shared" si="234"/>
        <v>63525.99</v>
      </c>
      <c r="I1006" s="273">
        <f t="shared" si="235"/>
        <v>63525.99</v>
      </c>
    </row>
    <row r="1007" spans="1:9" s="13" customFormat="1" ht="13.8">
      <c r="A1007" s="281" t="s">
        <v>2507</v>
      </c>
      <c r="B1007" s="282" t="s">
        <v>1269</v>
      </c>
      <c r="C1007" s="283" t="s">
        <v>332</v>
      </c>
      <c r="D1007" s="284">
        <v>20</v>
      </c>
      <c r="E1007" s="285"/>
      <c r="F1007" s="287">
        <v>2070.0700000000002</v>
      </c>
      <c r="G1007" s="273"/>
      <c r="H1007" s="273">
        <f t="shared" si="234"/>
        <v>41401.4</v>
      </c>
      <c r="I1007" s="273">
        <f t="shared" si="235"/>
        <v>41401.4</v>
      </c>
    </row>
    <row r="1008" spans="1:9" s="13" customFormat="1" ht="13.8">
      <c r="A1008" s="281" t="s">
        <v>2508</v>
      </c>
      <c r="B1008" s="282" t="s">
        <v>1270</v>
      </c>
      <c r="C1008" s="283" t="s">
        <v>332</v>
      </c>
      <c r="D1008" s="284">
        <v>15</v>
      </c>
      <c r="E1008" s="285"/>
      <c r="F1008" s="287">
        <v>2219.4899999999998</v>
      </c>
      <c r="G1008" s="273"/>
      <c r="H1008" s="273">
        <f t="shared" si="234"/>
        <v>33292.35</v>
      </c>
      <c r="I1008" s="273">
        <f t="shared" si="235"/>
        <v>33292.35</v>
      </c>
    </row>
    <row r="1009" spans="1:9" s="13" customFormat="1" ht="13.8">
      <c r="A1009" s="281" t="s">
        <v>2509</v>
      </c>
      <c r="B1009" s="282" t="s">
        <v>1271</v>
      </c>
      <c r="C1009" s="283" t="s">
        <v>332</v>
      </c>
      <c r="D1009" s="284">
        <v>40</v>
      </c>
      <c r="E1009" s="285"/>
      <c r="F1009" s="287">
        <v>1558.11</v>
      </c>
      <c r="G1009" s="273"/>
      <c r="H1009" s="273">
        <f t="shared" si="234"/>
        <v>62324.399999999994</v>
      </c>
      <c r="I1009" s="273">
        <f t="shared" si="235"/>
        <v>62324.399999999994</v>
      </c>
    </row>
    <row r="1010" spans="1:9" s="13" customFormat="1" ht="13.8">
      <c r="A1010" s="281" t="s">
        <v>2510</v>
      </c>
      <c r="B1010" s="282" t="s">
        <v>1272</v>
      </c>
      <c r="C1010" s="283" t="s">
        <v>332</v>
      </c>
      <c r="D1010" s="284">
        <v>16</v>
      </c>
      <c r="E1010" s="285"/>
      <c r="F1010" s="287">
        <v>1783.77</v>
      </c>
      <c r="G1010" s="273"/>
      <c r="H1010" s="273">
        <f t="shared" si="234"/>
        <v>28540.32</v>
      </c>
      <c r="I1010" s="273">
        <f t="shared" si="235"/>
        <v>28540.32</v>
      </c>
    </row>
    <row r="1011" spans="1:9" s="13" customFormat="1" ht="13.8">
      <c r="A1011" s="281" t="s">
        <v>2511</v>
      </c>
      <c r="B1011" s="282" t="s">
        <v>1273</v>
      </c>
      <c r="C1011" s="283" t="s">
        <v>332</v>
      </c>
      <c r="D1011" s="284">
        <v>25</v>
      </c>
      <c r="E1011" s="285"/>
      <c r="F1011" s="287">
        <v>1977.18</v>
      </c>
      <c r="G1011" s="273"/>
      <c r="H1011" s="273">
        <f t="shared" si="234"/>
        <v>49429.5</v>
      </c>
      <c r="I1011" s="273">
        <f t="shared" si="235"/>
        <v>49429.5</v>
      </c>
    </row>
    <row r="1012" spans="1:9" s="13" customFormat="1" ht="13.8">
      <c r="A1012" s="281" t="s">
        <v>2512</v>
      </c>
      <c r="B1012" s="282" t="s">
        <v>1274</v>
      </c>
      <c r="C1012" s="283" t="s">
        <v>332</v>
      </c>
      <c r="D1012" s="284">
        <v>31</v>
      </c>
      <c r="E1012" s="285"/>
      <c r="F1012" s="287">
        <v>2181.35</v>
      </c>
      <c r="G1012" s="273"/>
      <c r="H1012" s="273">
        <f t="shared" si="234"/>
        <v>67621.849999999991</v>
      </c>
      <c r="I1012" s="273">
        <f t="shared" si="235"/>
        <v>67621.849999999991</v>
      </c>
    </row>
    <row r="1013" spans="1:9" s="13" customFormat="1" ht="13.8">
      <c r="A1013" s="281" t="s">
        <v>2513</v>
      </c>
      <c r="B1013" s="282" t="s">
        <v>1275</v>
      </c>
      <c r="C1013" s="283" t="s">
        <v>332</v>
      </c>
      <c r="D1013" s="284">
        <v>18</v>
      </c>
      <c r="E1013" s="285"/>
      <c r="F1013" s="287">
        <v>2374.77</v>
      </c>
      <c r="G1013" s="273"/>
      <c r="H1013" s="273">
        <f t="shared" si="234"/>
        <v>42745.86</v>
      </c>
      <c r="I1013" s="273">
        <f t="shared" si="235"/>
        <v>42745.86</v>
      </c>
    </row>
    <row r="1014" spans="1:9" s="13" customFormat="1" ht="13.8">
      <c r="A1014" s="281" t="s">
        <v>2514</v>
      </c>
      <c r="B1014" s="282" t="s">
        <v>1276</v>
      </c>
      <c r="C1014" s="283" t="s">
        <v>332</v>
      </c>
      <c r="D1014" s="284">
        <v>13</v>
      </c>
      <c r="E1014" s="285"/>
      <c r="F1014" s="287">
        <v>2600.4299999999998</v>
      </c>
      <c r="G1014" s="273"/>
      <c r="H1014" s="273">
        <f t="shared" si="234"/>
        <v>33805.589999999997</v>
      </c>
      <c r="I1014" s="273">
        <f t="shared" si="235"/>
        <v>33805.589999999997</v>
      </c>
    </row>
    <row r="1015" spans="1:9" s="13" customFormat="1" ht="13.8">
      <c r="A1015" s="281" t="s">
        <v>2515</v>
      </c>
      <c r="B1015" s="282" t="s">
        <v>1277</v>
      </c>
      <c r="C1015" s="283" t="s">
        <v>332</v>
      </c>
      <c r="D1015" s="284">
        <v>8</v>
      </c>
      <c r="E1015" s="285"/>
      <c r="F1015" s="287">
        <v>2793.85</v>
      </c>
      <c r="G1015" s="273"/>
      <c r="H1015" s="273">
        <f t="shared" si="234"/>
        <v>22350.799999999999</v>
      </c>
      <c r="I1015" s="273">
        <f t="shared" si="235"/>
        <v>22350.799999999999</v>
      </c>
    </row>
    <row r="1016" spans="1:9" s="13" customFormat="1" ht="13.8">
      <c r="A1016" s="281" t="s">
        <v>2516</v>
      </c>
      <c r="B1016" s="282" t="s">
        <v>1278</v>
      </c>
      <c r="C1016" s="283" t="s">
        <v>332</v>
      </c>
      <c r="D1016" s="284">
        <v>2</v>
      </c>
      <c r="E1016" s="285"/>
      <c r="F1016" s="287">
        <v>2987.27</v>
      </c>
      <c r="G1016" s="273"/>
      <c r="H1016" s="273">
        <f t="shared" si="234"/>
        <v>5974.54</v>
      </c>
      <c r="I1016" s="273">
        <f t="shared" si="235"/>
        <v>5974.54</v>
      </c>
    </row>
    <row r="1017" spans="1:9" s="13" customFormat="1" ht="13.8">
      <c r="A1017" s="281" t="s">
        <v>2517</v>
      </c>
      <c r="B1017" s="282" t="s">
        <v>1279</v>
      </c>
      <c r="C1017" s="283" t="s">
        <v>332</v>
      </c>
      <c r="D1017" s="284">
        <v>12</v>
      </c>
      <c r="E1017" s="285"/>
      <c r="F1017" s="287">
        <v>3954.53</v>
      </c>
      <c r="G1017" s="273"/>
      <c r="H1017" s="273">
        <f t="shared" si="234"/>
        <v>47454.36</v>
      </c>
      <c r="I1017" s="273">
        <f t="shared" si="235"/>
        <v>47454.36</v>
      </c>
    </row>
    <row r="1018" spans="1:9" s="13" customFormat="1" ht="13.8">
      <c r="A1018" s="281" t="s">
        <v>2518</v>
      </c>
      <c r="B1018" s="282" t="s">
        <v>1280</v>
      </c>
      <c r="C1018" s="283" t="s">
        <v>332</v>
      </c>
      <c r="D1018" s="284">
        <v>17</v>
      </c>
      <c r="E1018" s="285"/>
      <c r="F1018" s="287">
        <v>4336.78</v>
      </c>
      <c r="G1018" s="273"/>
      <c r="H1018" s="273">
        <f t="shared" si="234"/>
        <v>73725.259999999995</v>
      </c>
      <c r="I1018" s="273">
        <f t="shared" si="235"/>
        <v>73725.259999999995</v>
      </c>
    </row>
    <row r="1019" spans="1:9" s="13" customFormat="1" ht="13.8">
      <c r="A1019" s="281" t="s">
        <v>2519</v>
      </c>
      <c r="B1019" s="282" t="s">
        <v>1281</v>
      </c>
      <c r="C1019" s="283" t="s">
        <v>332</v>
      </c>
      <c r="D1019" s="284">
        <v>20</v>
      </c>
      <c r="E1019" s="285"/>
      <c r="F1019" s="287">
        <v>4884.45</v>
      </c>
      <c r="G1019" s="273"/>
      <c r="H1019" s="273">
        <f t="shared" si="234"/>
        <v>97689</v>
      </c>
      <c r="I1019" s="273">
        <f t="shared" si="235"/>
        <v>97689</v>
      </c>
    </row>
    <row r="1020" spans="1:9" s="13" customFormat="1" ht="13.8">
      <c r="A1020" s="281" t="s">
        <v>2520</v>
      </c>
      <c r="B1020" s="282" t="s">
        <v>1282</v>
      </c>
      <c r="C1020" s="283" t="s">
        <v>332</v>
      </c>
      <c r="D1020" s="284">
        <v>7</v>
      </c>
      <c r="E1020" s="285"/>
      <c r="F1020" s="287">
        <v>5415</v>
      </c>
      <c r="G1020" s="273"/>
      <c r="H1020" s="273">
        <f t="shared" si="234"/>
        <v>37905</v>
      </c>
      <c r="I1020" s="273">
        <f t="shared" si="235"/>
        <v>37905</v>
      </c>
    </row>
    <row r="1021" spans="1:9" s="13" customFormat="1" ht="13.8">
      <c r="A1021" s="281" t="s">
        <v>2521</v>
      </c>
      <c r="B1021" s="282" t="s">
        <v>1283</v>
      </c>
      <c r="C1021" s="283" t="s">
        <v>332</v>
      </c>
      <c r="D1021" s="284">
        <v>4</v>
      </c>
      <c r="E1021" s="285"/>
      <c r="F1021" s="287">
        <v>2263.09</v>
      </c>
      <c r="G1021" s="273"/>
      <c r="H1021" s="273">
        <f t="shared" si="234"/>
        <v>9052.36</v>
      </c>
      <c r="I1021" s="273">
        <f t="shared" si="235"/>
        <v>9052.36</v>
      </c>
    </row>
    <row r="1022" spans="1:9" s="13" customFormat="1" ht="13.8">
      <c r="A1022" s="281" t="s">
        <v>2522</v>
      </c>
      <c r="B1022" s="282" t="s">
        <v>1284</v>
      </c>
      <c r="C1022" s="283" t="s">
        <v>332</v>
      </c>
      <c r="D1022" s="284">
        <v>10</v>
      </c>
      <c r="E1022" s="285"/>
      <c r="F1022" s="287">
        <v>2475.23</v>
      </c>
      <c r="G1022" s="273"/>
      <c r="H1022" s="273">
        <f t="shared" si="234"/>
        <v>24752.3</v>
      </c>
      <c r="I1022" s="273">
        <f t="shared" si="235"/>
        <v>24752.3</v>
      </c>
    </row>
    <row r="1023" spans="1:9" s="13" customFormat="1" ht="13.8">
      <c r="A1023" s="281" t="s">
        <v>2523</v>
      </c>
      <c r="B1023" s="282" t="s">
        <v>1285</v>
      </c>
      <c r="C1023" s="283" t="s">
        <v>332</v>
      </c>
      <c r="D1023" s="284">
        <v>26</v>
      </c>
      <c r="E1023" s="285"/>
      <c r="F1023" s="287">
        <v>2713.44</v>
      </c>
      <c r="G1023" s="273"/>
      <c r="H1023" s="273">
        <f t="shared" si="234"/>
        <v>70549.440000000002</v>
      </c>
      <c r="I1023" s="273">
        <f t="shared" si="235"/>
        <v>70549.440000000002</v>
      </c>
    </row>
    <row r="1024" spans="1:9" s="13" customFormat="1" ht="13.8">
      <c r="A1024" s="281" t="s">
        <v>2524</v>
      </c>
      <c r="B1024" s="282" t="s">
        <v>1285</v>
      </c>
      <c r="C1024" s="283" t="s">
        <v>332</v>
      </c>
      <c r="D1024" s="284">
        <v>13</v>
      </c>
      <c r="E1024" s="285"/>
      <c r="F1024" s="287">
        <v>2713.44</v>
      </c>
      <c r="G1024" s="273"/>
      <c r="H1024" s="273">
        <f t="shared" si="234"/>
        <v>35274.720000000001</v>
      </c>
      <c r="I1024" s="273">
        <f t="shared" si="235"/>
        <v>35274.720000000001</v>
      </c>
    </row>
    <row r="1025" spans="1:9" s="13" customFormat="1" ht="13.8">
      <c r="A1025" s="281" t="s">
        <v>2525</v>
      </c>
      <c r="B1025" s="282" t="s">
        <v>1286</v>
      </c>
      <c r="C1025" s="283" t="s">
        <v>332</v>
      </c>
      <c r="D1025" s="284">
        <v>10</v>
      </c>
      <c r="E1025" s="285"/>
      <c r="F1025" s="287">
        <v>2918.36</v>
      </c>
      <c r="G1025" s="273"/>
      <c r="H1025" s="273">
        <f t="shared" si="234"/>
        <v>29183.600000000002</v>
      </c>
      <c r="I1025" s="273">
        <f t="shared" si="235"/>
        <v>29183.600000000002</v>
      </c>
    </row>
    <row r="1026" spans="1:9" s="13" customFormat="1" ht="13.8">
      <c r="A1026" s="281" t="s">
        <v>2526</v>
      </c>
      <c r="B1026" s="282" t="s">
        <v>1287</v>
      </c>
      <c r="C1026" s="283" t="s">
        <v>332</v>
      </c>
      <c r="D1026" s="284">
        <v>2</v>
      </c>
      <c r="E1026" s="285"/>
      <c r="F1026" s="287">
        <v>2205.02</v>
      </c>
      <c r="G1026" s="273"/>
      <c r="H1026" s="273">
        <f t="shared" si="234"/>
        <v>4410.04</v>
      </c>
      <c r="I1026" s="273">
        <f t="shared" si="235"/>
        <v>4410.04</v>
      </c>
    </row>
    <row r="1027" spans="1:9" s="13" customFormat="1" ht="13.8">
      <c r="A1027" s="281" t="s">
        <v>2527</v>
      </c>
      <c r="B1027" s="282" t="s">
        <v>1288</v>
      </c>
      <c r="C1027" s="283" t="s">
        <v>332</v>
      </c>
      <c r="D1027" s="284">
        <v>7</v>
      </c>
      <c r="E1027" s="285"/>
      <c r="F1027" s="287">
        <v>2451.84</v>
      </c>
      <c r="G1027" s="273"/>
      <c r="H1027" s="273">
        <f t="shared" si="234"/>
        <v>17162.88</v>
      </c>
      <c r="I1027" s="273">
        <f t="shared" si="235"/>
        <v>17162.88</v>
      </c>
    </row>
    <row r="1028" spans="1:9" s="13" customFormat="1" ht="13.8">
      <c r="A1028" s="281" t="s">
        <v>2528</v>
      </c>
      <c r="B1028" s="282" t="s">
        <v>1289</v>
      </c>
      <c r="C1028" s="288" t="s">
        <v>332</v>
      </c>
      <c r="D1028" s="289">
        <v>12</v>
      </c>
      <c r="E1028" s="285"/>
      <c r="F1028" s="287">
        <v>2688.55</v>
      </c>
      <c r="G1028" s="273"/>
      <c r="H1028" s="273">
        <f t="shared" si="234"/>
        <v>32262.600000000002</v>
      </c>
      <c r="I1028" s="273">
        <f t="shared" si="235"/>
        <v>32262.600000000002</v>
      </c>
    </row>
    <row r="1029" spans="1:9" s="13" customFormat="1" ht="13.8">
      <c r="A1029" s="281" t="s">
        <v>2529</v>
      </c>
      <c r="B1029" s="282" t="s">
        <v>1290</v>
      </c>
      <c r="C1029" s="288" t="s">
        <v>332</v>
      </c>
      <c r="D1029" s="289">
        <v>9</v>
      </c>
      <c r="E1029" s="285"/>
      <c r="F1029" s="287">
        <v>2945.49</v>
      </c>
      <c r="G1029" s="273"/>
      <c r="H1029" s="273">
        <f t="shared" si="234"/>
        <v>26509.409999999996</v>
      </c>
      <c r="I1029" s="273">
        <f t="shared" si="235"/>
        <v>26509.409999999996</v>
      </c>
    </row>
    <row r="1030" spans="1:9" s="13" customFormat="1" ht="13.8">
      <c r="A1030" s="281" t="s">
        <v>2530</v>
      </c>
      <c r="B1030" s="282" t="s">
        <v>1291</v>
      </c>
      <c r="C1030" s="288" t="s">
        <v>332</v>
      </c>
      <c r="D1030" s="289">
        <v>7</v>
      </c>
      <c r="E1030" s="285"/>
      <c r="F1030" s="287">
        <v>3151.86</v>
      </c>
      <c r="G1030" s="273"/>
      <c r="H1030" s="273">
        <f t="shared" si="234"/>
        <v>22063.02</v>
      </c>
      <c r="I1030" s="273">
        <f t="shared" si="235"/>
        <v>22063.02</v>
      </c>
    </row>
    <row r="1031" spans="1:9" s="13" customFormat="1" ht="13.8">
      <c r="A1031" s="281" t="s">
        <v>2531</v>
      </c>
      <c r="B1031" s="282" t="s">
        <v>1292</v>
      </c>
      <c r="C1031" s="288" t="s">
        <v>332</v>
      </c>
      <c r="D1031" s="289">
        <v>7</v>
      </c>
      <c r="E1031" s="285"/>
      <c r="F1031" s="287">
        <v>3408.8</v>
      </c>
      <c r="G1031" s="273"/>
      <c r="H1031" s="273">
        <f t="shared" si="234"/>
        <v>23861.600000000002</v>
      </c>
      <c r="I1031" s="273">
        <f t="shared" si="235"/>
        <v>23861.600000000002</v>
      </c>
    </row>
    <row r="1032" spans="1:9" s="13" customFormat="1" ht="13.8">
      <c r="A1032" s="281" t="s">
        <v>2532</v>
      </c>
      <c r="B1032" s="282" t="s">
        <v>1293</v>
      </c>
      <c r="C1032" s="288" t="s">
        <v>332</v>
      </c>
      <c r="D1032" s="289">
        <v>2</v>
      </c>
      <c r="E1032" s="285"/>
      <c r="F1032" s="287">
        <v>3635.39</v>
      </c>
      <c r="G1032" s="273"/>
      <c r="H1032" s="273">
        <f t="shared" si="234"/>
        <v>7270.78</v>
      </c>
      <c r="I1032" s="273">
        <f t="shared" si="235"/>
        <v>7270.78</v>
      </c>
    </row>
    <row r="1033" spans="1:9" s="13" customFormat="1" ht="13.8">
      <c r="A1033" s="281" t="s">
        <v>2533</v>
      </c>
      <c r="B1033" s="282" t="s">
        <v>1294</v>
      </c>
      <c r="C1033" s="288" t="s">
        <v>332</v>
      </c>
      <c r="D1033" s="289">
        <v>1</v>
      </c>
      <c r="E1033" s="285"/>
      <c r="F1033" s="287">
        <v>6650.44</v>
      </c>
      <c r="G1033" s="273"/>
      <c r="H1033" s="273">
        <f t="shared" si="234"/>
        <v>6650.44</v>
      </c>
      <c r="I1033" s="273">
        <f t="shared" si="235"/>
        <v>6650.44</v>
      </c>
    </row>
    <row r="1034" spans="1:9" s="13" customFormat="1" ht="13.8">
      <c r="A1034" s="281" t="s">
        <v>2534</v>
      </c>
      <c r="B1034" s="282" t="s">
        <v>1295</v>
      </c>
      <c r="C1034" s="288" t="s">
        <v>332</v>
      </c>
      <c r="D1034" s="289">
        <v>7</v>
      </c>
      <c r="E1034" s="285"/>
      <c r="F1034" s="285">
        <v>4644.13</v>
      </c>
      <c r="G1034" s="273"/>
      <c r="H1034" s="273">
        <f t="shared" si="234"/>
        <v>32508.91</v>
      </c>
      <c r="I1034" s="273">
        <f t="shared" si="235"/>
        <v>32508.91</v>
      </c>
    </row>
    <row r="1035" spans="1:9" s="13" customFormat="1" ht="13.8">
      <c r="A1035" s="281" t="s">
        <v>2535</v>
      </c>
      <c r="B1035" s="282" t="s">
        <v>1296</v>
      </c>
      <c r="C1035" s="288" t="s">
        <v>332</v>
      </c>
      <c r="D1035" s="289">
        <v>15</v>
      </c>
      <c r="E1035" s="285"/>
      <c r="F1035" s="290">
        <v>5201.8100000000004</v>
      </c>
      <c r="G1035" s="273"/>
      <c r="H1035" s="273">
        <f t="shared" si="234"/>
        <v>78027.150000000009</v>
      </c>
      <c r="I1035" s="273">
        <f t="shared" si="235"/>
        <v>78027.150000000009</v>
      </c>
    </row>
    <row r="1036" spans="1:9" s="13" customFormat="1" ht="13.8">
      <c r="A1036" s="281" t="s">
        <v>2536</v>
      </c>
      <c r="B1036" s="282" t="s">
        <v>1297</v>
      </c>
      <c r="C1036" s="288" t="s">
        <v>332</v>
      </c>
      <c r="D1036" s="289">
        <v>5</v>
      </c>
      <c r="E1036" s="285"/>
      <c r="F1036" s="291">
        <v>5569.83</v>
      </c>
      <c r="G1036" s="273"/>
      <c r="H1036" s="273">
        <f t="shared" si="234"/>
        <v>27849.15</v>
      </c>
      <c r="I1036" s="273">
        <f t="shared" si="235"/>
        <v>27849.15</v>
      </c>
    </row>
    <row r="1037" spans="1:9" s="13" customFormat="1" ht="13.8">
      <c r="A1037" s="281" t="s">
        <v>2537</v>
      </c>
      <c r="B1037" s="282" t="s">
        <v>1298</v>
      </c>
      <c r="C1037" s="288" t="s">
        <v>332</v>
      </c>
      <c r="D1037" s="289">
        <v>6</v>
      </c>
      <c r="E1037" s="285"/>
      <c r="F1037" s="287">
        <v>2695.23</v>
      </c>
      <c r="G1037" s="273"/>
      <c r="H1037" s="273">
        <f t="shared" si="234"/>
        <v>16171.380000000001</v>
      </c>
      <c r="I1037" s="273">
        <f t="shared" si="235"/>
        <v>16171.380000000001</v>
      </c>
    </row>
    <row r="1038" spans="1:9" s="13" customFormat="1" ht="13.8">
      <c r="A1038" s="281" t="s">
        <v>2538</v>
      </c>
      <c r="B1038" s="282" t="s">
        <v>1299</v>
      </c>
      <c r="C1038" s="288" t="s">
        <v>332</v>
      </c>
      <c r="D1038" s="289">
        <v>7</v>
      </c>
      <c r="E1038" s="285"/>
      <c r="F1038" s="287">
        <v>2695.23</v>
      </c>
      <c r="G1038" s="273"/>
      <c r="H1038" s="273">
        <f t="shared" si="234"/>
        <v>18866.61</v>
      </c>
      <c r="I1038" s="273">
        <f t="shared" si="235"/>
        <v>18866.61</v>
      </c>
    </row>
    <row r="1039" spans="1:9" s="13" customFormat="1" ht="13.8">
      <c r="A1039" s="281" t="s">
        <v>2539</v>
      </c>
      <c r="B1039" s="282" t="s">
        <v>1300</v>
      </c>
      <c r="C1039" s="288" t="s">
        <v>332</v>
      </c>
      <c r="D1039" s="289">
        <v>1</v>
      </c>
      <c r="E1039" s="285"/>
      <c r="F1039" s="287">
        <v>2917.62</v>
      </c>
      <c r="G1039" s="273"/>
      <c r="H1039" s="273">
        <f t="shared" si="234"/>
        <v>2917.62</v>
      </c>
      <c r="I1039" s="273">
        <f t="shared" si="235"/>
        <v>2917.62</v>
      </c>
    </row>
    <row r="1040" spans="1:9" s="13" customFormat="1" ht="13.8">
      <c r="A1040" s="281" t="s">
        <v>2540</v>
      </c>
      <c r="B1040" s="282" t="s">
        <v>1301</v>
      </c>
      <c r="C1040" s="288" t="s">
        <v>332</v>
      </c>
      <c r="D1040" s="289">
        <v>2</v>
      </c>
      <c r="E1040" s="285"/>
      <c r="F1040" s="287">
        <v>2285.65</v>
      </c>
      <c r="G1040" s="273"/>
      <c r="H1040" s="273">
        <f t="shared" si="234"/>
        <v>4571.3</v>
      </c>
      <c r="I1040" s="273">
        <f t="shared" si="235"/>
        <v>4571.3</v>
      </c>
    </row>
    <row r="1041" spans="1:9" s="13" customFormat="1" ht="13.8">
      <c r="A1041" s="281" t="s">
        <v>2541</v>
      </c>
      <c r="B1041" s="282" t="s">
        <v>1302</v>
      </c>
      <c r="C1041" s="288" t="s">
        <v>332</v>
      </c>
      <c r="D1041" s="289">
        <v>5</v>
      </c>
      <c r="E1041" s="285"/>
      <c r="F1041" s="287">
        <v>2548.6</v>
      </c>
      <c r="G1041" s="273"/>
      <c r="H1041" s="273">
        <f t="shared" si="234"/>
        <v>12743</v>
      </c>
      <c r="I1041" s="273">
        <f t="shared" si="235"/>
        <v>12743</v>
      </c>
    </row>
    <row r="1042" spans="1:9" s="13" customFormat="1" ht="13.8">
      <c r="A1042" s="281" t="s">
        <v>2542</v>
      </c>
      <c r="B1042" s="282" t="s">
        <v>1303</v>
      </c>
      <c r="C1042" s="288" t="s">
        <v>332</v>
      </c>
      <c r="D1042" s="289">
        <v>7</v>
      </c>
      <c r="E1042" s="285"/>
      <c r="F1042" s="287">
        <v>2801.43</v>
      </c>
      <c r="G1042" s="273"/>
      <c r="H1042" s="273">
        <f t="shared" si="234"/>
        <v>19610.009999999998</v>
      </c>
      <c r="I1042" s="273">
        <f t="shared" si="235"/>
        <v>19610.009999999998</v>
      </c>
    </row>
    <row r="1043" spans="1:9" s="13" customFormat="1" ht="13.8">
      <c r="A1043" s="281" t="s">
        <v>2543</v>
      </c>
      <c r="B1043" s="282" t="s">
        <v>1304</v>
      </c>
      <c r="C1043" s="288" t="s">
        <v>332</v>
      </c>
      <c r="D1043" s="289">
        <v>4</v>
      </c>
      <c r="E1043" s="285"/>
      <c r="F1043" s="287">
        <v>3074.5</v>
      </c>
      <c r="G1043" s="273"/>
      <c r="H1043" s="273">
        <f t="shared" si="234"/>
        <v>12298</v>
      </c>
      <c r="I1043" s="273">
        <f t="shared" si="235"/>
        <v>12298</v>
      </c>
    </row>
    <row r="1044" spans="1:9" s="13" customFormat="1" ht="13.8">
      <c r="A1044" s="281" t="s">
        <v>2544</v>
      </c>
      <c r="B1044" s="282" t="s">
        <v>1305</v>
      </c>
      <c r="C1044" s="288" t="s">
        <v>332</v>
      </c>
      <c r="D1044" s="289">
        <v>2</v>
      </c>
      <c r="E1044" s="285"/>
      <c r="F1044" s="287">
        <v>3296.99</v>
      </c>
      <c r="G1044" s="273"/>
      <c r="H1044" s="273">
        <f t="shared" si="234"/>
        <v>6593.98</v>
      </c>
      <c r="I1044" s="273">
        <f t="shared" si="235"/>
        <v>6593.98</v>
      </c>
    </row>
    <row r="1045" spans="1:9" s="13" customFormat="1" ht="13.8">
      <c r="A1045" s="281" t="s">
        <v>2545</v>
      </c>
      <c r="B1045" s="282" t="s">
        <v>1306</v>
      </c>
      <c r="C1045" s="288" t="s">
        <v>332</v>
      </c>
      <c r="D1045" s="289">
        <v>4</v>
      </c>
      <c r="E1045" s="285"/>
      <c r="F1045" s="287">
        <v>3570.06</v>
      </c>
      <c r="G1045" s="273"/>
      <c r="H1045" s="273">
        <f t="shared" si="234"/>
        <v>14280.24</v>
      </c>
      <c r="I1045" s="273">
        <f t="shared" si="235"/>
        <v>14280.24</v>
      </c>
    </row>
    <row r="1046" spans="1:9" s="13" customFormat="1" ht="13.8">
      <c r="A1046" s="281" t="s">
        <v>2546</v>
      </c>
      <c r="B1046" s="282" t="s">
        <v>1307</v>
      </c>
      <c r="C1046" s="288" t="s">
        <v>332</v>
      </c>
      <c r="D1046" s="289">
        <v>2</v>
      </c>
      <c r="E1046" s="285"/>
      <c r="F1046" s="287">
        <v>3812.78</v>
      </c>
      <c r="G1046" s="273"/>
      <c r="H1046" s="273">
        <f t="shared" si="234"/>
        <v>7625.56</v>
      </c>
      <c r="I1046" s="273">
        <f t="shared" si="235"/>
        <v>7625.56</v>
      </c>
    </row>
    <row r="1047" spans="1:9" s="13" customFormat="1" ht="13.8">
      <c r="A1047" s="281" t="s">
        <v>2547</v>
      </c>
      <c r="B1047" s="282" t="s">
        <v>1308</v>
      </c>
      <c r="C1047" s="288" t="s">
        <v>332</v>
      </c>
      <c r="D1047" s="289">
        <v>7</v>
      </c>
      <c r="E1047" s="285"/>
      <c r="F1047" s="287">
        <v>6883.34</v>
      </c>
      <c r="G1047" s="273"/>
      <c r="H1047" s="273">
        <f t="shared" si="234"/>
        <v>48183.380000000005</v>
      </c>
      <c r="I1047" s="273">
        <f t="shared" si="235"/>
        <v>48183.380000000005</v>
      </c>
    </row>
    <row r="1048" spans="1:9" s="13" customFormat="1" ht="13.8">
      <c r="A1048" s="281" t="s">
        <v>2548</v>
      </c>
      <c r="B1048" s="282" t="s">
        <v>1309</v>
      </c>
      <c r="C1048" s="288" t="s">
        <v>332</v>
      </c>
      <c r="D1048" s="289">
        <v>10</v>
      </c>
      <c r="E1048" s="285"/>
      <c r="F1048" s="287">
        <v>7551.87</v>
      </c>
      <c r="G1048" s="273"/>
      <c r="H1048" s="273">
        <f t="shared" si="234"/>
        <v>75518.7</v>
      </c>
      <c r="I1048" s="273">
        <f t="shared" si="235"/>
        <v>75518.7</v>
      </c>
    </row>
    <row r="1049" spans="1:9" s="13" customFormat="1" ht="13.8">
      <c r="A1049" s="281" t="s">
        <v>2549</v>
      </c>
      <c r="B1049" s="282" t="s">
        <v>1310</v>
      </c>
      <c r="C1049" s="288" t="s">
        <v>332</v>
      </c>
      <c r="D1049" s="289">
        <v>8</v>
      </c>
      <c r="E1049" s="285"/>
      <c r="F1049" s="287">
        <v>8543.9</v>
      </c>
      <c r="G1049" s="273"/>
      <c r="H1049" s="273">
        <f t="shared" si="234"/>
        <v>68351.199999999997</v>
      </c>
      <c r="I1049" s="273">
        <f t="shared" si="235"/>
        <v>68351.199999999997</v>
      </c>
    </row>
    <row r="1050" spans="1:9" s="13" customFormat="1" ht="13.8">
      <c r="A1050" s="281" t="s">
        <v>2550</v>
      </c>
      <c r="B1050" s="282" t="s">
        <v>1311</v>
      </c>
      <c r="C1050" s="288" t="s">
        <v>332</v>
      </c>
      <c r="D1050" s="289">
        <v>3</v>
      </c>
      <c r="E1050" s="285"/>
      <c r="F1050" s="292">
        <v>9315.86</v>
      </c>
      <c r="G1050" s="273"/>
      <c r="H1050" s="273">
        <f t="shared" si="234"/>
        <v>27947.58</v>
      </c>
      <c r="I1050" s="273">
        <f t="shared" si="235"/>
        <v>27947.58</v>
      </c>
    </row>
    <row r="1051" spans="1:9" s="13" customFormat="1" ht="13.8">
      <c r="A1051" s="281" t="s">
        <v>2551</v>
      </c>
      <c r="B1051" s="282" t="s">
        <v>1312</v>
      </c>
      <c r="C1051" s="288" t="s">
        <v>332</v>
      </c>
      <c r="D1051" s="289">
        <v>1</v>
      </c>
      <c r="E1051" s="285"/>
      <c r="F1051" s="287">
        <v>3577.17</v>
      </c>
      <c r="G1051" s="273"/>
      <c r="H1051" s="273">
        <f t="shared" si="234"/>
        <v>3577.17</v>
      </c>
      <c r="I1051" s="273">
        <f t="shared" si="235"/>
        <v>3577.17</v>
      </c>
    </row>
    <row r="1052" spans="1:9" s="13" customFormat="1" ht="13.8">
      <c r="A1052" s="281" t="s">
        <v>2552</v>
      </c>
      <c r="B1052" s="282" t="s">
        <v>1313</v>
      </c>
      <c r="C1052" s="288" t="s">
        <v>332</v>
      </c>
      <c r="D1052" s="289">
        <v>1</v>
      </c>
      <c r="E1052" s="285"/>
      <c r="F1052" s="287">
        <v>3914.93</v>
      </c>
      <c r="G1052" s="273"/>
      <c r="H1052" s="273">
        <f t="shared" si="234"/>
        <v>3914.93</v>
      </c>
      <c r="I1052" s="273">
        <f t="shared" si="235"/>
        <v>3914.93</v>
      </c>
    </row>
    <row r="1053" spans="1:9" s="13" customFormat="1" ht="13.8">
      <c r="A1053" s="281" t="s">
        <v>2553</v>
      </c>
      <c r="B1053" s="282" t="s">
        <v>1314</v>
      </c>
      <c r="C1053" s="288" t="s">
        <v>332</v>
      </c>
      <c r="D1053" s="289">
        <v>6</v>
      </c>
      <c r="E1053" s="285"/>
      <c r="F1053" s="287">
        <v>4193.87</v>
      </c>
      <c r="G1053" s="273"/>
      <c r="H1053" s="273">
        <f t="shared" si="234"/>
        <v>25163.22</v>
      </c>
      <c r="I1053" s="273">
        <f t="shared" si="235"/>
        <v>25163.22</v>
      </c>
    </row>
    <row r="1054" spans="1:9" s="13" customFormat="1" ht="13.8">
      <c r="A1054" s="281" t="s">
        <v>2554</v>
      </c>
      <c r="B1054" s="282" t="s">
        <v>1315</v>
      </c>
      <c r="C1054" s="288" t="s">
        <v>332</v>
      </c>
      <c r="D1054" s="289">
        <v>2</v>
      </c>
      <c r="E1054" s="285"/>
      <c r="F1054" s="287">
        <v>4193.87</v>
      </c>
      <c r="G1054" s="273"/>
      <c r="H1054" s="273">
        <f t="shared" si="234"/>
        <v>8387.74</v>
      </c>
      <c r="I1054" s="273">
        <f t="shared" si="235"/>
        <v>8387.74</v>
      </c>
    </row>
    <row r="1055" spans="1:9" s="13" customFormat="1" ht="13.8">
      <c r="A1055" s="281" t="s">
        <v>2555</v>
      </c>
      <c r="B1055" s="282" t="s">
        <v>1316</v>
      </c>
      <c r="C1055" s="288" t="s">
        <v>332</v>
      </c>
      <c r="D1055" s="289">
        <v>2</v>
      </c>
      <c r="E1055" s="285"/>
      <c r="F1055" s="287">
        <v>4841.67</v>
      </c>
      <c r="G1055" s="273"/>
      <c r="H1055" s="273">
        <f t="shared" si="234"/>
        <v>9683.34</v>
      </c>
      <c r="I1055" s="273">
        <f t="shared" si="235"/>
        <v>9683.34</v>
      </c>
    </row>
    <row r="1056" spans="1:9" s="13" customFormat="1" ht="13.8">
      <c r="A1056" s="281" t="s">
        <v>2556</v>
      </c>
      <c r="B1056" s="282" t="s">
        <v>1317</v>
      </c>
      <c r="C1056" s="288" t="s">
        <v>332</v>
      </c>
      <c r="D1056" s="289">
        <v>2</v>
      </c>
      <c r="E1056" s="285"/>
      <c r="F1056" s="287">
        <v>5466.74</v>
      </c>
      <c r="G1056" s="273"/>
      <c r="H1056" s="273">
        <f t="shared" si="234"/>
        <v>10933.48</v>
      </c>
      <c r="I1056" s="273">
        <f t="shared" si="235"/>
        <v>10933.48</v>
      </c>
    </row>
    <row r="1057" spans="1:9" s="13" customFormat="1" ht="13.8">
      <c r="A1057" s="281" t="s">
        <v>2557</v>
      </c>
      <c r="B1057" s="282" t="s">
        <v>1318</v>
      </c>
      <c r="C1057" s="288" t="s">
        <v>332</v>
      </c>
      <c r="D1057" s="289">
        <v>1</v>
      </c>
      <c r="E1057" s="285"/>
      <c r="F1057" s="287">
        <v>6866.57</v>
      </c>
      <c r="G1057" s="273"/>
      <c r="H1057" s="273">
        <f t="shared" si="234"/>
        <v>6866.57</v>
      </c>
      <c r="I1057" s="273">
        <f t="shared" si="235"/>
        <v>6866.57</v>
      </c>
    </row>
    <row r="1058" spans="1:9" s="13" customFormat="1" ht="13.8">
      <c r="A1058" s="281" t="s">
        <v>2558</v>
      </c>
      <c r="B1058" s="282" t="s">
        <v>1319</v>
      </c>
      <c r="C1058" s="288" t="s">
        <v>332</v>
      </c>
      <c r="D1058" s="289">
        <v>1</v>
      </c>
      <c r="E1058" s="285"/>
      <c r="F1058" s="287">
        <v>3616.67</v>
      </c>
      <c r="G1058" s="273"/>
      <c r="H1058" s="273">
        <f t="shared" si="234"/>
        <v>3616.67</v>
      </c>
      <c r="I1058" s="273">
        <f t="shared" si="235"/>
        <v>3616.67</v>
      </c>
    </row>
    <row r="1059" spans="1:9" s="13" customFormat="1" ht="13.8">
      <c r="A1059" s="281" t="s">
        <v>2559</v>
      </c>
      <c r="B1059" s="282" t="s">
        <v>1320</v>
      </c>
      <c r="C1059" s="288" t="s">
        <v>332</v>
      </c>
      <c r="D1059" s="289">
        <v>3</v>
      </c>
      <c r="E1059" s="285"/>
      <c r="F1059" s="287">
        <v>4100.8900000000003</v>
      </c>
      <c r="G1059" s="273"/>
      <c r="H1059" s="273">
        <f t="shared" si="234"/>
        <v>12302.670000000002</v>
      </c>
      <c r="I1059" s="273">
        <f t="shared" si="235"/>
        <v>12302.670000000002</v>
      </c>
    </row>
    <row r="1060" spans="1:9" s="13" customFormat="1" ht="13.8">
      <c r="A1060" s="281" t="s">
        <v>2560</v>
      </c>
      <c r="B1060" s="282" t="s">
        <v>1321</v>
      </c>
      <c r="C1060" s="288" t="s">
        <v>332</v>
      </c>
      <c r="D1060" s="289">
        <v>1</v>
      </c>
      <c r="E1060" s="285"/>
      <c r="F1060" s="287">
        <v>4556.37</v>
      </c>
      <c r="G1060" s="273"/>
      <c r="H1060" s="273">
        <f t="shared" si="234"/>
        <v>4556.37</v>
      </c>
      <c r="I1060" s="273">
        <f t="shared" si="235"/>
        <v>4556.37</v>
      </c>
    </row>
    <row r="1061" spans="1:9" s="13" customFormat="1" ht="13.8">
      <c r="A1061" s="281" t="s">
        <v>2561</v>
      </c>
      <c r="B1061" s="295" t="s">
        <v>1323</v>
      </c>
      <c r="C1061" s="294" t="s">
        <v>332</v>
      </c>
      <c r="D1061" s="273">
        <v>1388</v>
      </c>
      <c r="E1061" s="285"/>
      <c r="F1061" s="285">
        <v>6.49</v>
      </c>
      <c r="G1061" s="273"/>
      <c r="H1061" s="273">
        <f t="shared" si="234"/>
        <v>9008.1200000000008</v>
      </c>
      <c r="I1061" s="273">
        <f t="shared" si="235"/>
        <v>9008.1200000000008</v>
      </c>
    </row>
    <row r="1062" spans="1:9" s="13" customFormat="1" ht="13.8">
      <c r="A1062" s="281" t="s">
        <v>2562</v>
      </c>
      <c r="B1062" s="296" t="s">
        <v>1324</v>
      </c>
      <c r="C1062" s="294" t="s">
        <v>332</v>
      </c>
      <c r="D1062" s="273">
        <v>2388</v>
      </c>
      <c r="E1062" s="285"/>
      <c r="F1062" s="285">
        <v>3.77</v>
      </c>
      <c r="G1062" s="273"/>
      <c r="H1062" s="273">
        <f t="shared" si="234"/>
        <v>9002.76</v>
      </c>
      <c r="I1062" s="273">
        <f t="shared" si="235"/>
        <v>9002.76</v>
      </c>
    </row>
    <row r="1063" spans="1:9" s="13" customFormat="1" ht="13.8">
      <c r="A1063" s="281" t="s">
        <v>2563</v>
      </c>
      <c r="B1063" s="295" t="s">
        <v>1325</v>
      </c>
      <c r="C1063" s="294" t="s">
        <v>332</v>
      </c>
      <c r="D1063" s="273">
        <v>1428</v>
      </c>
      <c r="E1063" s="285"/>
      <c r="F1063" s="285">
        <v>72.540000000000006</v>
      </c>
      <c r="G1063" s="273"/>
      <c r="H1063" s="273">
        <f t="shared" ref="H1063:H1070" si="236">PRODUCT(F1063,D1063)</f>
        <v>103587.12000000001</v>
      </c>
      <c r="I1063" s="273">
        <f t="shared" ref="I1063:I1070" si="237">SUM(G1063:H1063)</f>
        <v>103587.12000000001</v>
      </c>
    </row>
    <row r="1064" spans="1:9" s="13" customFormat="1" ht="13.8">
      <c r="A1064" s="281" t="s">
        <v>2564</v>
      </c>
      <c r="B1064" s="295" t="s">
        <v>1326</v>
      </c>
      <c r="C1064" s="294" t="s">
        <v>20</v>
      </c>
      <c r="D1064" s="273">
        <v>115</v>
      </c>
      <c r="E1064" s="285"/>
      <c r="F1064" s="285">
        <v>88.66</v>
      </c>
      <c r="G1064" s="273"/>
      <c r="H1064" s="273">
        <f t="shared" si="236"/>
        <v>10195.9</v>
      </c>
      <c r="I1064" s="273">
        <f t="shared" si="237"/>
        <v>10195.9</v>
      </c>
    </row>
    <row r="1065" spans="1:9" s="13" customFormat="1" ht="13.8">
      <c r="A1065" s="281" t="s">
        <v>2565</v>
      </c>
      <c r="B1065" s="295" t="s">
        <v>1327</v>
      </c>
      <c r="C1065" s="294" t="s">
        <v>20</v>
      </c>
      <c r="D1065" s="273">
        <v>115</v>
      </c>
      <c r="E1065" s="285"/>
      <c r="F1065" s="285">
        <v>137.02000000000001</v>
      </c>
      <c r="G1065" s="273"/>
      <c r="H1065" s="273">
        <f t="shared" si="236"/>
        <v>15757.300000000001</v>
      </c>
      <c r="I1065" s="273">
        <f t="shared" si="237"/>
        <v>15757.300000000001</v>
      </c>
    </row>
    <row r="1066" spans="1:9" s="13" customFormat="1" ht="13.8">
      <c r="A1066" s="281" t="s">
        <v>2566</v>
      </c>
      <c r="B1066" s="295" t="s">
        <v>1328</v>
      </c>
      <c r="C1066" s="294" t="s">
        <v>332</v>
      </c>
      <c r="D1066" s="273">
        <v>24</v>
      </c>
      <c r="E1066" s="285"/>
      <c r="F1066" s="285">
        <v>60</v>
      </c>
      <c r="G1066" s="273"/>
      <c r="H1066" s="273">
        <f t="shared" si="236"/>
        <v>1440</v>
      </c>
      <c r="I1066" s="273">
        <f t="shared" si="237"/>
        <v>1440</v>
      </c>
    </row>
    <row r="1067" spans="1:9" s="13" customFormat="1" ht="13.8">
      <c r="A1067" s="281" t="s">
        <v>2567</v>
      </c>
      <c r="B1067" s="295" t="s">
        <v>1329</v>
      </c>
      <c r="C1067" s="294" t="s">
        <v>332</v>
      </c>
      <c r="D1067" s="273">
        <v>115</v>
      </c>
      <c r="E1067" s="285"/>
      <c r="F1067" s="285">
        <v>79.36</v>
      </c>
      <c r="G1067" s="273"/>
      <c r="H1067" s="273">
        <f t="shared" si="236"/>
        <v>9126.4</v>
      </c>
      <c r="I1067" s="273">
        <f t="shared" si="237"/>
        <v>9126.4</v>
      </c>
    </row>
    <row r="1068" spans="1:9" s="13" customFormat="1" ht="13.8">
      <c r="A1068" s="281" t="s">
        <v>2568</v>
      </c>
      <c r="B1068" s="295" t="s">
        <v>1330</v>
      </c>
      <c r="C1068" s="294" t="s">
        <v>332</v>
      </c>
      <c r="D1068" s="273">
        <v>345</v>
      </c>
      <c r="E1068" s="285"/>
      <c r="F1068" s="285">
        <v>32</v>
      </c>
      <c r="G1068" s="273"/>
      <c r="H1068" s="273">
        <f t="shared" si="236"/>
        <v>11040</v>
      </c>
      <c r="I1068" s="273">
        <f t="shared" si="237"/>
        <v>11040</v>
      </c>
    </row>
    <row r="1069" spans="1:9" s="13" customFormat="1" ht="13.8">
      <c r="A1069" s="281" t="s">
        <v>2569</v>
      </c>
      <c r="B1069" s="295" t="s">
        <v>1331</v>
      </c>
      <c r="C1069" s="294" t="s">
        <v>332</v>
      </c>
      <c r="D1069" s="273">
        <v>1198</v>
      </c>
      <c r="E1069" s="285"/>
      <c r="F1069" s="285">
        <v>35.76</v>
      </c>
      <c r="G1069" s="273"/>
      <c r="H1069" s="273">
        <f t="shared" si="236"/>
        <v>42840.479999999996</v>
      </c>
      <c r="I1069" s="273">
        <f t="shared" si="237"/>
        <v>42840.479999999996</v>
      </c>
    </row>
    <row r="1070" spans="1:9" s="13" customFormat="1" ht="13.8">
      <c r="A1070" s="281" t="s">
        <v>2570</v>
      </c>
      <c r="B1070" s="245" t="s">
        <v>1175</v>
      </c>
      <c r="C1070" s="246" t="s">
        <v>332</v>
      </c>
      <c r="D1070" s="273">
        <v>1664</v>
      </c>
      <c r="E1070" s="285"/>
      <c r="F1070" s="243">
        <v>14</v>
      </c>
      <c r="G1070" s="273"/>
      <c r="H1070" s="273">
        <f t="shared" si="236"/>
        <v>23296</v>
      </c>
      <c r="I1070" s="273">
        <f t="shared" si="237"/>
        <v>23296</v>
      </c>
    </row>
    <row r="1071" spans="1:9" s="13" customFormat="1" ht="13.8">
      <c r="A1071" s="281" t="s">
        <v>2571</v>
      </c>
      <c r="B1071" s="245" t="s">
        <v>2572</v>
      </c>
      <c r="C1071" s="294" t="s">
        <v>332</v>
      </c>
      <c r="D1071" s="273">
        <v>349</v>
      </c>
      <c r="E1071" s="285">
        <v>100</v>
      </c>
      <c r="F1071" s="243"/>
      <c r="G1071" s="234">
        <f>PRODUCT(E1071,D1071)</f>
        <v>34900</v>
      </c>
      <c r="H1071" s="234"/>
      <c r="I1071" s="234">
        <f t="shared" ref="I1071" si="238">SUM(G1071:H1071)</f>
        <v>34900</v>
      </c>
    </row>
    <row r="1072" spans="1:9" s="13" customFormat="1" ht="13.8">
      <c r="A1072" s="281" t="s">
        <v>2573</v>
      </c>
      <c r="B1072" s="293" t="s">
        <v>1322</v>
      </c>
      <c r="C1072" s="294" t="s">
        <v>332</v>
      </c>
      <c r="D1072" s="273">
        <v>349</v>
      </c>
      <c r="E1072" s="285"/>
      <c r="F1072" s="285">
        <v>282</v>
      </c>
      <c r="G1072" s="273"/>
      <c r="H1072" s="273">
        <f>PRODUCT(F1072,D1072)</f>
        <v>98418</v>
      </c>
      <c r="I1072" s="273">
        <f>SUM(G1072:H1072)</f>
        <v>98418</v>
      </c>
    </row>
    <row r="1073" spans="1:9" s="14" customFormat="1" ht="13.8">
      <c r="A1073" s="229" t="s">
        <v>2574</v>
      </c>
      <c r="B1073" s="230" t="s">
        <v>1333</v>
      </c>
      <c r="C1073" s="231" t="s">
        <v>332</v>
      </c>
      <c r="D1073" s="232">
        <v>24</v>
      </c>
      <c r="E1073" s="243">
        <v>1500</v>
      </c>
      <c r="F1073" s="243"/>
      <c r="G1073" s="234">
        <f t="shared" ref="G1073" si="239">PRODUCT(E1073,D1073)</f>
        <v>36000</v>
      </c>
      <c r="H1073" s="234"/>
      <c r="I1073" s="234">
        <f t="shared" ref="I1073:I1080" si="240">SUM(G1073:H1073)</f>
        <v>36000</v>
      </c>
    </row>
    <row r="1074" spans="1:9" s="13" customFormat="1" ht="13.8">
      <c r="A1074" s="229" t="s">
        <v>2575</v>
      </c>
      <c r="B1074" s="230" t="s">
        <v>1140</v>
      </c>
      <c r="C1074" s="231" t="s">
        <v>120</v>
      </c>
      <c r="D1074" s="232">
        <v>4</v>
      </c>
      <c r="E1074" s="243"/>
      <c r="F1074" s="233">
        <v>373.43</v>
      </c>
      <c r="G1074" s="234"/>
      <c r="H1074" s="234">
        <f t="shared" ref="H1074:H1077" si="241">PRODUCT(F1074,D1074)</f>
        <v>1493.72</v>
      </c>
      <c r="I1074" s="273">
        <f t="shared" si="240"/>
        <v>1493.72</v>
      </c>
    </row>
    <row r="1075" spans="1:9" s="13" customFormat="1" ht="13.8">
      <c r="A1075" s="229" t="s">
        <v>2576</v>
      </c>
      <c r="B1075" s="230" t="s">
        <v>1336</v>
      </c>
      <c r="C1075" s="231" t="s">
        <v>332</v>
      </c>
      <c r="D1075" s="232">
        <v>8</v>
      </c>
      <c r="E1075" s="243"/>
      <c r="F1075" s="243">
        <v>107.8</v>
      </c>
      <c r="G1075" s="234"/>
      <c r="H1075" s="234">
        <f t="shared" si="241"/>
        <v>862.4</v>
      </c>
      <c r="I1075" s="273">
        <f t="shared" ref="I1075:I1076" si="242">SUM(G1075:H1075)</f>
        <v>862.4</v>
      </c>
    </row>
    <row r="1076" spans="1:9" s="13" customFormat="1" ht="13.8">
      <c r="A1076" s="229" t="s">
        <v>2577</v>
      </c>
      <c r="B1076" s="230" t="s">
        <v>1146</v>
      </c>
      <c r="C1076" s="231" t="s">
        <v>120</v>
      </c>
      <c r="D1076" s="232">
        <v>46</v>
      </c>
      <c r="E1076" s="243"/>
      <c r="F1076" s="237">
        <v>195.9</v>
      </c>
      <c r="G1076" s="234"/>
      <c r="H1076" s="234">
        <f t="shared" si="241"/>
        <v>9011.4</v>
      </c>
      <c r="I1076" s="273">
        <f t="shared" si="242"/>
        <v>9011.4</v>
      </c>
    </row>
    <row r="1077" spans="1:9" s="13" customFormat="1" ht="13.8">
      <c r="A1077" s="229" t="s">
        <v>2578</v>
      </c>
      <c r="B1077" s="230" t="s">
        <v>1337</v>
      </c>
      <c r="C1077" s="231" t="s">
        <v>332</v>
      </c>
      <c r="D1077" s="232">
        <v>92</v>
      </c>
      <c r="E1077" s="243"/>
      <c r="F1077" s="243">
        <v>56</v>
      </c>
      <c r="G1077" s="234"/>
      <c r="H1077" s="234">
        <f t="shared" si="241"/>
        <v>5152</v>
      </c>
      <c r="I1077" s="273">
        <f t="shared" ref="I1077:I1078" si="243">SUM(G1077:H1077)</f>
        <v>5152</v>
      </c>
    </row>
    <row r="1078" spans="1:9" s="14" customFormat="1" ht="13.8">
      <c r="A1078" s="229" t="s">
        <v>2579</v>
      </c>
      <c r="B1078" s="230" t="s">
        <v>1339</v>
      </c>
      <c r="C1078" s="231" t="s">
        <v>332</v>
      </c>
      <c r="D1078" s="232">
        <f>SUM(D1079:D1080)</f>
        <v>2</v>
      </c>
      <c r="E1078" s="243">
        <v>1500</v>
      </c>
      <c r="F1078" s="249"/>
      <c r="G1078" s="234">
        <f t="shared" ref="G1078" si="244">PRODUCT(E1078,D1078)</f>
        <v>3000</v>
      </c>
      <c r="H1078" s="234"/>
      <c r="I1078" s="234">
        <f t="shared" si="243"/>
        <v>3000</v>
      </c>
    </row>
    <row r="1079" spans="1:9" s="13" customFormat="1" ht="13.8">
      <c r="A1079" s="229" t="s">
        <v>2580</v>
      </c>
      <c r="B1079" s="230" t="s">
        <v>1341</v>
      </c>
      <c r="C1079" s="231" t="s">
        <v>332</v>
      </c>
      <c r="D1079" s="232">
        <v>1</v>
      </c>
      <c r="E1079" s="243"/>
      <c r="F1079" s="243">
        <v>7130</v>
      </c>
      <c r="G1079" s="234"/>
      <c r="H1079" s="234">
        <f>PRODUCT(F1079,D1079)</f>
        <v>7130</v>
      </c>
      <c r="I1079" s="234">
        <f t="shared" si="240"/>
        <v>7130</v>
      </c>
    </row>
    <row r="1080" spans="1:9" s="13" customFormat="1" ht="13.8">
      <c r="A1080" s="229" t="s">
        <v>2581</v>
      </c>
      <c r="B1080" s="230" t="s">
        <v>1343</v>
      </c>
      <c r="C1080" s="231" t="s">
        <v>332</v>
      </c>
      <c r="D1080" s="232">
        <v>1</v>
      </c>
      <c r="E1080" s="243"/>
      <c r="F1080" s="243">
        <v>9250</v>
      </c>
      <c r="G1080" s="234"/>
      <c r="H1080" s="234">
        <f>PRODUCT(F1080,D1080)</f>
        <v>9250</v>
      </c>
      <c r="I1080" s="234">
        <f t="shared" si="240"/>
        <v>9250</v>
      </c>
    </row>
    <row r="1081" spans="1:9" s="13" customFormat="1" ht="13.8">
      <c r="A1081" s="229" t="s">
        <v>2582</v>
      </c>
      <c r="B1081" s="230" t="s">
        <v>2583</v>
      </c>
      <c r="C1081" s="231" t="s">
        <v>332</v>
      </c>
      <c r="D1081" s="232">
        <f>SUM(D1082)</f>
        <v>8</v>
      </c>
      <c r="E1081" s="243">
        <v>350</v>
      </c>
      <c r="F1081" s="249"/>
      <c r="G1081" s="234">
        <f t="shared" ref="G1081" si="245">PRODUCT(E1081,D1081)</f>
        <v>2800</v>
      </c>
      <c r="H1081" s="234"/>
      <c r="I1081" s="234">
        <f t="shared" ref="I1081" si="246">SUM(G1081:H1081)</f>
        <v>2800</v>
      </c>
    </row>
    <row r="1082" spans="1:9" s="13" customFormat="1" ht="13.8">
      <c r="A1082" s="229" t="s">
        <v>2584</v>
      </c>
      <c r="B1082" s="262" t="s">
        <v>1347</v>
      </c>
      <c r="C1082" s="246" t="s">
        <v>332</v>
      </c>
      <c r="D1082" s="247">
        <v>8</v>
      </c>
      <c r="E1082" s="244"/>
      <c r="F1082" s="244">
        <v>1985.95</v>
      </c>
      <c r="G1082" s="234"/>
      <c r="H1082" s="234">
        <f>PRODUCT(F1082,D1082)</f>
        <v>15887.6</v>
      </c>
      <c r="I1082" s="234">
        <f>SUM(G1082:H1082)</f>
        <v>15887.6</v>
      </c>
    </row>
    <row r="1083" spans="1:9" s="13" customFormat="1" ht="13.8">
      <c r="A1083" s="229" t="s">
        <v>2585</v>
      </c>
      <c r="B1083" s="245" t="s">
        <v>1348</v>
      </c>
      <c r="C1083" s="246" t="s">
        <v>332</v>
      </c>
      <c r="D1083" s="247">
        <v>16</v>
      </c>
      <c r="E1083" s="243"/>
      <c r="F1083" s="243">
        <v>14</v>
      </c>
      <c r="G1083" s="234"/>
      <c r="H1083" s="234">
        <f t="shared" ref="H1083:H1111" si="247">PRODUCT(F1083,D1083)</f>
        <v>224</v>
      </c>
      <c r="I1083" s="234">
        <f t="shared" ref="I1083:I1111" si="248">SUM(G1083:H1083)</f>
        <v>224</v>
      </c>
    </row>
    <row r="1084" spans="1:9" s="13" customFormat="1" ht="13.8">
      <c r="A1084" s="229" t="s">
        <v>2586</v>
      </c>
      <c r="B1084" s="245" t="s">
        <v>1349</v>
      </c>
      <c r="C1084" s="246" t="s">
        <v>332</v>
      </c>
      <c r="D1084" s="247">
        <v>16</v>
      </c>
      <c r="E1084" s="243"/>
      <c r="F1084" s="243">
        <v>596</v>
      </c>
      <c r="G1084" s="234"/>
      <c r="H1084" s="234">
        <f t="shared" si="247"/>
        <v>9536</v>
      </c>
      <c r="I1084" s="234">
        <f t="shared" si="248"/>
        <v>9536</v>
      </c>
    </row>
    <row r="1085" spans="1:9" s="13" customFormat="1" ht="13.8">
      <c r="A1085" s="229" t="s">
        <v>2582</v>
      </c>
      <c r="B1085" s="230" t="s">
        <v>2587</v>
      </c>
      <c r="C1085" s="231" t="s">
        <v>332</v>
      </c>
      <c r="D1085" s="232">
        <f>SUM(D1086,D1088,D1090,D1092,D1094,D1096,D1098,D1099,D1100,D1101,D1102,D1104,D1106,D1107,D1108,D1110)</f>
        <v>1659</v>
      </c>
      <c r="E1085" s="243">
        <v>200</v>
      </c>
      <c r="F1085" s="249"/>
      <c r="G1085" s="234">
        <f t="shared" ref="G1085" si="249">PRODUCT(E1085,D1085)</f>
        <v>331800</v>
      </c>
      <c r="H1085" s="234"/>
      <c r="I1085" s="234">
        <f t="shared" ref="I1085" si="250">SUM(G1085:H1085)</f>
        <v>331800</v>
      </c>
    </row>
    <row r="1086" spans="1:9" s="13" customFormat="1" ht="13.8">
      <c r="A1086" s="229" t="s">
        <v>2584</v>
      </c>
      <c r="B1086" s="262" t="s">
        <v>1350</v>
      </c>
      <c r="C1086" s="246" t="s">
        <v>332</v>
      </c>
      <c r="D1086" s="247">
        <v>34</v>
      </c>
      <c r="E1086" s="244"/>
      <c r="F1086" s="244">
        <v>700.3</v>
      </c>
      <c r="G1086" s="234"/>
      <c r="H1086" s="234">
        <f t="shared" si="247"/>
        <v>23810.199999999997</v>
      </c>
      <c r="I1086" s="234">
        <f t="shared" si="248"/>
        <v>23810.199999999997</v>
      </c>
    </row>
    <row r="1087" spans="1:9" s="13" customFormat="1" ht="13.8">
      <c r="A1087" s="229" t="s">
        <v>2585</v>
      </c>
      <c r="B1087" s="245" t="s">
        <v>1351</v>
      </c>
      <c r="C1087" s="246" t="s">
        <v>332</v>
      </c>
      <c r="D1087" s="247">
        <v>34</v>
      </c>
      <c r="E1087" s="243"/>
      <c r="F1087" s="243">
        <v>171</v>
      </c>
      <c r="G1087" s="234"/>
      <c r="H1087" s="234">
        <f t="shared" si="247"/>
        <v>5814</v>
      </c>
      <c r="I1087" s="234">
        <f t="shared" si="248"/>
        <v>5814</v>
      </c>
    </row>
    <row r="1088" spans="1:9" s="13" customFormat="1" ht="13.8">
      <c r="A1088" s="229" t="s">
        <v>2586</v>
      </c>
      <c r="B1088" s="262" t="s">
        <v>1352</v>
      </c>
      <c r="C1088" s="246" t="s">
        <v>332</v>
      </c>
      <c r="D1088" s="247">
        <v>6</v>
      </c>
      <c r="E1088" s="244"/>
      <c r="F1088" s="244">
        <v>479.3</v>
      </c>
      <c r="G1088" s="234"/>
      <c r="H1088" s="234">
        <f t="shared" si="247"/>
        <v>2875.8</v>
      </c>
      <c r="I1088" s="234">
        <f t="shared" si="248"/>
        <v>2875.8</v>
      </c>
    </row>
    <row r="1089" spans="1:9" s="13" customFormat="1" ht="13.8">
      <c r="A1089" s="229" t="s">
        <v>2588</v>
      </c>
      <c r="B1089" s="245" t="s">
        <v>1353</v>
      </c>
      <c r="C1089" s="246" t="s">
        <v>332</v>
      </c>
      <c r="D1089" s="247">
        <v>6</v>
      </c>
      <c r="E1089" s="243"/>
      <c r="F1089" s="243">
        <v>139</v>
      </c>
      <c r="G1089" s="234"/>
      <c r="H1089" s="234">
        <f t="shared" si="247"/>
        <v>834</v>
      </c>
      <c r="I1089" s="234">
        <f t="shared" si="248"/>
        <v>834</v>
      </c>
    </row>
    <row r="1090" spans="1:9" s="13" customFormat="1" ht="13.8">
      <c r="A1090" s="229" t="s">
        <v>2589</v>
      </c>
      <c r="B1090" s="245" t="s">
        <v>1354</v>
      </c>
      <c r="C1090" s="246" t="s">
        <v>332</v>
      </c>
      <c r="D1090" s="247">
        <v>1</v>
      </c>
      <c r="E1090" s="243"/>
      <c r="F1090" s="243">
        <v>293.88</v>
      </c>
      <c r="G1090" s="234"/>
      <c r="H1090" s="234">
        <f t="shared" si="247"/>
        <v>293.88</v>
      </c>
      <c r="I1090" s="234">
        <f t="shared" si="248"/>
        <v>293.88</v>
      </c>
    </row>
    <row r="1091" spans="1:9" s="13" customFormat="1" ht="13.8">
      <c r="A1091" s="229" t="s">
        <v>2590</v>
      </c>
      <c r="B1091" s="245" t="s">
        <v>1355</v>
      </c>
      <c r="C1091" s="246" t="s">
        <v>332</v>
      </c>
      <c r="D1091" s="247">
        <v>1</v>
      </c>
      <c r="E1091" s="243"/>
      <c r="F1091" s="243">
        <v>122</v>
      </c>
      <c r="G1091" s="234"/>
      <c r="H1091" s="234">
        <f t="shared" si="247"/>
        <v>122</v>
      </c>
      <c r="I1091" s="234">
        <f t="shared" si="248"/>
        <v>122</v>
      </c>
    </row>
    <row r="1092" spans="1:9" s="13" customFormat="1" ht="13.8">
      <c r="A1092" s="229" t="s">
        <v>2591</v>
      </c>
      <c r="B1092" s="245" t="s">
        <v>1356</v>
      </c>
      <c r="C1092" s="246" t="s">
        <v>332</v>
      </c>
      <c r="D1092" s="247">
        <v>34</v>
      </c>
      <c r="E1092" s="244"/>
      <c r="F1092" s="244">
        <v>505.92</v>
      </c>
      <c r="G1092" s="234"/>
      <c r="H1092" s="234">
        <f t="shared" si="247"/>
        <v>17201.28</v>
      </c>
      <c r="I1092" s="234">
        <f t="shared" si="248"/>
        <v>17201.28</v>
      </c>
    </row>
    <row r="1093" spans="1:9" s="13" customFormat="1" ht="13.8">
      <c r="A1093" s="229" t="s">
        <v>2592</v>
      </c>
      <c r="B1093" s="245" t="s">
        <v>1351</v>
      </c>
      <c r="C1093" s="246" t="s">
        <v>332</v>
      </c>
      <c r="D1093" s="247">
        <v>34</v>
      </c>
      <c r="E1093" s="243"/>
      <c r="F1093" s="243">
        <v>171</v>
      </c>
      <c r="G1093" s="234"/>
      <c r="H1093" s="234">
        <f t="shared" si="247"/>
        <v>5814</v>
      </c>
      <c r="I1093" s="234">
        <f t="shared" si="248"/>
        <v>5814</v>
      </c>
    </row>
    <row r="1094" spans="1:9" s="13" customFormat="1" ht="13.8">
      <c r="A1094" s="229" t="s">
        <v>2593</v>
      </c>
      <c r="B1094" s="245" t="s">
        <v>1357</v>
      </c>
      <c r="C1094" s="246" t="s">
        <v>332</v>
      </c>
      <c r="D1094" s="247">
        <v>8</v>
      </c>
      <c r="E1094" s="243"/>
      <c r="F1094" s="243">
        <v>289.54000000000002</v>
      </c>
      <c r="G1094" s="234"/>
      <c r="H1094" s="234">
        <f t="shared" si="247"/>
        <v>2316.3200000000002</v>
      </c>
      <c r="I1094" s="234">
        <f t="shared" si="248"/>
        <v>2316.3200000000002</v>
      </c>
    </row>
    <row r="1095" spans="1:9" s="13" customFormat="1" ht="13.8">
      <c r="A1095" s="229" t="s">
        <v>2594</v>
      </c>
      <c r="B1095" s="245" t="s">
        <v>1358</v>
      </c>
      <c r="C1095" s="246" t="s">
        <v>332</v>
      </c>
      <c r="D1095" s="247">
        <v>8</v>
      </c>
      <c r="E1095" s="243"/>
      <c r="F1095" s="243">
        <v>139</v>
      </c>
      <c r="G1095" s="234"/>
      <c r="H1095" s="234">
        <f t="shared" si="247"/>
        <v>1112</v>
      </c>
      <c r="I1095" s="234">
        <f t="shared" si="248"/>
        <v>1112</v>
      </c>
    </row>
    <row r="1096" spans="1:9" s="13" customFormat="1" ht="13.8">
      <c r="A1096" s="229" t="s">
        <v>2595</v>
      </c>
      <c r="B1096" s="245" t="s">
        <v>1359</v>
      </c>
      <c r="C1096" s="246" t="s">
        <v>332</v>
      </c>
      <c r="D1096" s="247">
        <v>7</v>
      </c>
      <c r="E1096" s="243"/>
      <c r="F1096" s="243">
        <v>190.96</v>
      </c>
      <c r="G1096" s="234"/>
      <c r="H1096" s="234">
        <f t="shared" si="247"/>
        <v>1336.72</v>
      </c>
      <c r="I1096" s="234">
        <f t="shared" si="248"/>
        <v>1336.72</v>
      </c>
    </row>
    <row r="1097" spans="1:9" s="13" customFormat="1" ht="13.8">
      <c r="A1097" s="229" t="s">
        <v>2596</v>
      </c>
      <c r="B1097" s="245" t="s">
        <v>1355</v>
      </c>
      <c r="C1097" s="246" t="s">
        <v>332</v>
      </c>
      <c r="D1097" s="247">
        <v>7</v>
      </c>
      <c r="E1097" s="243"/>
      <c r="F1097" s="243">
        <v>122</v>
      </c>
      <c r="G1097" s="234"/>
      <c r="H1097" s="234">
        <f t="shared" si="247"/>
        <v>854</v>
      </c>
      <c r="I1097" s="234">
        <f t="shared" si="248"/>
        <v>854</v>
      </c>
    </row>
    <row r="1098" spans="1:9" s="13" customFormat="1" ht="13.8">
      <c r="A1098" s="229" t="s">
        <v>2597</v>
      </c>
      <c r="B1098" s="245" t="s">
        <v>1360</v>
      </c>
      <c r="C1098" s="246" t="s">
        <v>332</v>
      </c>
      <c r="D1098" s="247">
        <v>43</v>
      </c>
      <c r="E1098" s="244"/>
      <c r="F1098" s="244">
        <v>369</v>
      </c>
      <c r="G1098" s="234"/>
      <c r="H1098" s="234">
        <f t="shared" si="247"/>
        <v>15867</v>
      </c>
      <c r="I1098" s="234">
        <f t="shared" si="248"/>
        <v>15867</v>
      </c>
    </row>
    <row r="1099" spans="1:9" s="13" customFormat="1" ht="13.8">
      <c r="A1099" s="229" t="s">
        <v>2598</v>
      </c>
      <c r="B1099" s="245" t="s">
        <v>1361</v>
      </c>
      <c r="C1099" s="246" t="s">
        <v>332</v>
      </c>
      <c r="D1099" s="247">
        <v>737</v>
      </c>
      <c r="E1099" s="244"/>
      <c r="F1099" s="244">
        <v>734</v>
      </c>
      <c r="G1099" s="234"/>
      <c r="H1099" s="234">
        <f t="shared" si="247"/>
        <v>540958</v>
      </c>
      <c r="I1099" s="234">
        <f t="shared" si="248"/>
        <v>540958</v>
      </c>
    </row>
    <row r="1100" spans="1:9" s="13" customFormat="1" ht="13.8">
      <c r="A1100" s="229" t="s">
        <v>2599</v>
      </c>
      <c r="B1100" s="245" t="s">
        <v>1362</v>
      </c>
      <c r="C1100" s="246" t="s">
        <v>332</v>
      </c>
      <c r="D1100" s="247">
        <v>48</v>
      </c>
      <c r="E1100" s="243"/>
      <c r="F1100" s="243">
        <v>231.88</v>
      </c>
      <c r="G1100" s="234"/>
      <c r="H1100" s="234">
        <f t="shared" si="247"/>
        <v>11130.24</v>
      </c>
      <c r="I1100" s="234">
        <f t="shared" si="248"/>
        <v>11130.24</v>
      </c>
    </row>
    <row r="1101" spans="1:9" s="13" customFormat="1" ht="13.8">
      <c r="A1101" s="229" t="s">
        <v>2600</v>
      </c>
      <c r="B1101" s="245" t="s">
        <v>1363</v>
      </c>
      <c r="C1101" s="246" t="s">
        <v>332</v>
      </c>
      <c r="D1101" s="247">
        <v>6</v>
      </c>
      <c r="E1101" s="244"/>
      <c r="F1101" s="244">
        <v>1324</v>
      </c>
      <c r="G1101" s="234"/>
      <c r="H1101" s="234">
        <f t="shared" si="247"/>
        <v>7944</v>
      </c>
      <c r="I1101" s="234">
        <f t="shared" si="248"/>
        <v>7944</v>
      </c>
    </row>
    <row r="1102" spans="1:9" s="13" customFormat="1" ht="13.8">
      <c r="A1102" s="229" t="s">
        <v>2601</v>
      </c>
      <c r="B1102" s="262" t="s">
        <v>1364</v>
      </c>
      <c r="C1102" s="246" t="s">
        <v>332</v>
      </c>
      <c r="D1102" s="247">
        <v>29</v>
      </c>
      <c r="E1102" s="243"/>
      <c r="F1102" s="244">
        <v>5821.06</v>
      </c>
      <c r="G1102" s="234"/>
      <c r="H1102" s="234">
        <f t="shared" si="247"/>
        <v>168810.74000000002</v>
      </c>
      <c r="I1102" s="234">
        <f t="shared" si="248"/>
        <v>168810.74000000002</v>
      </c>
    </row>
    <row r="1103" spans="1:9" s="13" customFormat="1" ht="13.8">
      <c r="A1103" s="229" t="s">
        <v>2602</v>
      </c>
      <c r="B1103" s="245" t="s">
        <v>1365</v>
      </c>
      <c r="C1103" s="246" t="s">
        <v>332</v>
      </c>
      <c r="D1103" s="247">
        <v>58</v>
      </c>
      <c r="E1103" s="243"/>
      <c r="F1103" s="243">
        <v>596.16999999999996</v>
      </c>
      <c r="G1103" s="234"/>
      <c r="H1103" s="234">
        <f t="shared" si="247"/>
        <v>34577.86</v>
      </c>
      <c r="I1103" s="234">
        <f t="shared" si="248"/>
        <v>34577.86</v>
      </c>
    </row>
    <row r="1104" spans="1:9" s="13" customFormat="1" ht="13.8">
      <c r="A1104" s="229" t="s">
        <v>2603</v>
      </c>
      <c r="B1104" s="262" t="s">
        <v>1366</v>
      </c>
      <c r="C1104" s="246" t="s">
        <v>332</v>
      </c>
      <c r="D1104" s="247">
        <v>12</v>
      </c>
      <c r="E1104" s="243"/>
      <c r="F1104" s="244">
        <v>5381.71</v>
      </c>
      <c r="G1104" s="234"/>
      <c r="H1104" s="234">
        <f t="shared" si="247"/>
        <v>64580.520000000004</v>
      </c>
      <c r="I1104" s="234">
        <f t="shared" si="248"/>
        <v>64580.520000000004</v>
      </c>
    </row>
    <row r="1105" spans="1:9" s="13" customFormat="1" ht="13.8">
      <c r="A1105" s="229" t="s">
        <v>2604</v>
      </c>
      <c r="B1105" s="245" t="s">
        <v>1367</v>
      </c>
      <c r="C1105" s="246" t="s">
        <v>332</v>
      </c>
      <c r="D1105" s="247">
        <v>24</v>
      </c>
      <c r="E1105" s="243"/>
      <c r="F1105" s="243">
        <v>875.46</v>
      </c>
      <c r="G1105" s="234"/>
      <c r="H1105" s="234">
        <f t="shared" si="247"/>
        <v>21011.040000000001</v>
      </c>
      <c r="I1105" s="234">
        <f t="shared" si="248"/>
        <v>21011.040000000001</v>
      </c>
    </row>
    <row r="1106" spans="1:9" s="13" customFormat="1" ht="13.8">
      <c r="A1106" s="229" t="s">
        <v>2605</v>
      </c>
      <c r="B1106" s="297" t="s">
        <v>1368</v>
      </c>
      <c r="C1106" s="298" t="s">
        <v>332</v>
      </c>
      <c r="D1106" s="299">
        <v>1</v>
      </c>
      <c r="E1106" s="300"/>
      <c r="F1106" s="300">
        <v>431</v>
      </c>
      <c r="G1106" s="301"/>
      <c r="H1106" s="234">
        <f t="shared" si="247"/>
        <v>431</v>
      </c>
      <c r="I1106" s="234">
        <f t="shared" si="248"/>
        <v>431</v>
      </c>
    </row>
    <row r="1107" spans="1:9" s="13" customFormat="1" ht="13.8">
      <c r="A1107" s="229" t="s">
        <v>2606</v>
      </c>
      <c r="B1107" s="245" t="s">
        <v>1369</v>
      </c>
      <c r="C1107" s="246" t="s">
        <v>332</v>
      </c>
      <c r="D1107" s="247">
        <v>1</v>
      </c>
      <c r="E1107" s="243"/>
      <c r="F1107" s="243">
        <v>4654</v>
      </c>
      <c r="G1107" s="234"/>
      <c r="H1107" s="234">
        <f t="shared" si="247"/>
        <v>4654</v>
      </c>
      <c r="I1107" s="234">
        <f t="shared" si="248"/>
        <v>4654</v>
      </c>
    </row>
    <row r="1108" spans="1:9" s="13" customFormat="1" ht="13.8">
      <c r="A1108" s="229" t="s">
        <v>2607</v>
      </c>
      <c r="B1108" s="245" t="s">
        <v>1370</v>
      </c>
      <c r="C1108" s="246" t="s">
        <v>332</v>
      </c>
      <c r="D1108" s="247">
        <v>1</v>
      </c>
      <c r="E1108" s="243"/>
      <c r="F1108" s="243">
        <v>8159</v>
      </c>
      <c r="G1108" s="234"/>
      <c r="H1108" s="234">
        <f t="shared" si="247"/>
        <v>8159</v>
      </c>
      <c r="I1108" s="234">
        <f t="shared" si="248"/>
        <v>8159</v>
      </c>
    </row>
    <row r="1109" spans="1:9" s="13" customFormat="1" ht="13.8">
      <c r="A1109" s="229" t="s">
        <v>2608</v>
      </c>
      <c r="B1109" s="245" t="s">
        <v>1355</v>
      </c>
      <c r="C1109" s="246" t="s">
        <v>332</v>
      </c>
      <c r="D1109" s="247">
        <v>2</v>
      </c>
      <c r="E1109" s="243"/>
      <c r="F1109" s="243">
        <v>122</v>
      </c>
      <c r="G1109" s="234"/>
      <c r="H1109" s="234">
        <f t="shared" si="247"/>
        <v>244</v>
      </c>
      <c r="I1109" s="234">
        <f t="shared" si="248"/>
        <v>244</v>
      </c>
    </row>
    <row r="1110" spans="1:9" s="13" customFormat="1" ht="27.6">
      <c r="A1110" s="229" t="s">
        <v>2609</v>
      </c>
      <c r="B1110" s="302" t="s">
        <v>1371</v>
      </c>
      <c r="C1110" s="303" t="s">
        <v>332</v>
      </c>
      <c r="D1110" s="247">
        <v>691</v>
      </c>
      <c r="E1110" s="304"/>
      <c r="F1110" s="304">
        <v>435</v>
      </c>
      <c r="G1110" s="234"/>
      <c r="H1110" s="234">
        <f t="shared" si="247"/>
        <v>300585</v>
      </c>
      <c r="I1110" s="234">
        <f t="shared" si="248"/>
        <v>300585</v>
      </c>
    </row>
    <row r="1111" spans="1:9" s="13" customFormat="1" ht="13.8">
      <c r="A1111" s="229" t="s">
        <v>2610</v>
      </c>
      <c r="B1111" s="302" t="s">
        <v>1372</v>
      </c>
      <c r="C1111" s="303" t="s">
        <v>332</v>
      </c>
      <c r="D1111" s="247">
        <v>691</v>
      </c>
      <c r="E1111" s="304"/>
      <c r="F1111" s="304">
        <v>242.74</v>
      </c>
      <c r="G1111" s="234"/>
      <c r="H1111" s="234">
        <f t="shared" si="247"/>
        <v>167733.34</v>
      </c>
      <c r="I1111" s="234">
        <f t="shared" si="248"/>
        <v>167733.34</v>
      </c>
    </row>
    <row r="1112" spans="1:9" s="14" customFormat="1" ht="13.8">
      <c r="A1112" s="229" t="s">
        <v>2611</v>
      </c>
      <c r="B1112" s="230" t="s">
        <v>1374</v>
      </c>
      <c r="C1112" s="231" t="s">
        <v>332</v>
      </c>
      <c r="D1112" s="232">
        <f>SUM(D1113)</f>
        <v>690</v>
      </c>
      <c r="E1112" s="243">
        <v>150</v>
      </c>
      <c r="F1112" s="243"/>
      <c r="G1112" s="234">
        <f>D1112*E1112</f>
        <v>103500</v>
      </c>
      <c r="H1112" s="234"/>
      <c r="I1112" s="234">
        <f t="shared" ref="I1112:I1113" si="251">SUM(G1112:H1112)</f>
        <v>103500</v>
      </c>
    </row>
    <row r="1113" spans="1:9" s="13" customFormat="1" ht="13.8">
      <c r="A1113" s="229" t="s">
        <v>2612</v>
      </c>
      <c r="B1113" s="230" t="s">
        <v>1375</v>
      </c>
      <c r="C1113" s="231" t="s">
        <v>332</v>
      </c>
      <c r="D1113" s="232">
        <v>690</v>
      </c>
      <c r="E1113" s="243"/>
      <c r="F1113" s="305">
        <v>3183.22</v>
      </c>
      <c r="G1113" s="234"/>
      <c r="H1113" s="234">
        <f>PRODUCT(F1113,D1113)</f>
        <v>2196421.7999999998</v>
      </c>
      <c r="I1113" s="234">
        <f t="shared" si="251"/>
        <v>2196421.7999999998</v>
      </c>
    </row>
    <row r="1114" spans="1:9" s="13" customFormat="1" ht="13.8">
      <c r="A1114" s="229" t="s">
        <v>2613</v>
      </c>
      <c r="B1114" s="230" t="s">
        <v>1376</v>
      </c>
      <c r="C1114" s="231" t="s">
        <v>332</v>
      </c>
      <c r="D1114" s="232">
        <v>690</v>
      </c>
      <c r="E1114" s="243"/>
      <c r="F1114" s="305">
        <v>162.38</v>
      </c>
      <c r="G1114" s="234"/>
      <c r="H1114" s="234">
        <f>PRODUCT(F1114,D1114)</f>
        <v>112042.2</v>
      </c>
      <c r="I1114" s="234">
        <f t="shared" ref="I1114:I1118" si="252">SUM(G1114:H1114)</f>
        <v>112042.2</v>
      </c>
    </row>
    <row r="1115" spans="1:9" s="13" customFormat="1" ht="13.8">
      <c r="A1115" s="229" t="s">
        <v>2614</v>
      </c>
      <c r="B1115" s="230" t="s">
        <v>1377</v>
      </c>
      <c r="C1115" s="231" t="s">
        <v>332</v>
      </c>
      <c r="D1115" s="232">
        <f>PRODUCT(D1113,2)</f>
        <v>1380</v>
      </c>
      <c r="E1115" s="243"/>
      <c r="F1115" s="305">
        <v>34.270000000000003</v>
      </c>
      <c r="G1115" s="234"/>
      <c r="H1115" s="234">
        <f>PRODUCT(F1115,D1115)</f>
        <v>47292.600000000006</v>
      </c>
      <c r="I1115" s="234">
        <f t="shared" si="252"/>
        <v>47292.600000000006</v>
      </c>
    </row>
    <row r="1116" spans="1:9" s="13" customFormat="1" ht="13.8">
      <c r="A1116" s="229" t="s">
        <v>2615</v>
      </c>
      <c r="B1116" s="230" t="s">
        <v>1378</v>
      </c>
      <c r="C1116" s="231" t="s">
        <v>332</v>
      </c>
      <c r="D1116" s="232">
        <f>PRODUCT(D1113,2)</f>
        <v>1380</v>
      </c>
      <c r="E1116" s="243"/>
      <c r="F1116" s="305">
        <v>4.08</v>
      </c>
      <c r="G1116" s="234"/>
      <c r="H1116" s="234">
        <f>PRODUCT(F1116,D1116)</f>
        <v>5630.4000000000005</v>
      </c>
      <c r="I1116" s="234">
        <f t="shared" si="252"/>
        <v>5630.4000000000005</v>
      </c>
    </row>
    <row r="1117" spans="1:9" s="14" customFormat="1" ht="13.8">
      <c r="A1117" s="229" t="s">
        <v>2616</v>
      </c>
      <c r="B1117" s="230" t="s">
        <v>1380</v>
      </c>
      <c r="C1117" s="231" t="s">
        <v>332</v>
      </c>
      <c r="D1117" s="232">
        <f>SUM(D1118:D1121)</f>
        <v>1016</v>
      </c>
      <c r="E1117" s="243">
        <v>30</v>
      </c>
      <c r="F1117" s="243"/>
      <c r="G1117" s="234">
        <f>D1117*E1117</f>
        <v>30480</v>
      </c>
      <c r="H1117" s="234"/>
      <c r="I1117" s="234">
        <f t="shared" ref="I1117" si="253">SUM(G1117:H1117)</f>
        <v>30480</v>
      </c>
    </row>
    <row r="1118" spans="1:9" s="13" customFormat="1" ht="13.8">
      <c r="A1118" s="229" t="s">
        <v>2617</v>
      </c>
      <c r="B1118" s="230" t="s">
        <v>1382</v>
      </c>
      <c r="C1118" s="231" t="s">
        <v>332</v>
      </c>
      <c r="D1118" s="232">
        <v>24</v>
      </c>
      <c r="E1118" s="243"/>
      <c r="F1118" s="243">
        <v>18.14</v>
      </c>
      <c r="G1118" s="234"/>
      <c r="H1118" s="234">
        <f>F1118*D1118</f>
        <v>435.36</v>
      </c>
      <c r="I1118" s="234">
        <f t="shared" si="252"/>
        <v>435.36</v>
      </c>
    </row>
    <row r="1119" spans="1:9" s="13" customFormat="1" ht="13.8">
      <c r="A1119" s="229" t="s">
        <v>2618</v>
      </c>
      <c r="B1119" s="230" t="s">
        <v>1383</v>
      </c>
      <c r="C1119" s="231" t="s">
        <v>332</v>
      </c>
      <c r="D1119" s="232">
        <v>144</v>
      </c>
      <c r="E1119" s="243"/>
      <c r="F1119" s="243">
        <v>33.76</v>
      </c>
      <c r="G1119" s="234"/>
      <c r="H1119" s="234">
        <f t="shared" ref="H1119:H1121" si="254">F1119*D1119</f>
        <v>4861.4399999999996</v>
      </c>
      <c r="I1119" s="234">
        <f t="shared" ref="I1119:I1122" si="255">SUM(G1119:H1119)</f>
        <v>4861.4399999999996</v>
      </c>
    </row>
    <row r="1120" spans="1:9" s="13" customFormat="1" ht="13.8">
      <c r="A1120" s="229" t="s">
        <v>2619</v>
      </c>
      <c r="B1120" s="230" t="s">
        <v>1384</v>
      </c>
      <c r="C1120" s="231" t="s">
        <v>332</v>
      </c>
      <c r="D1120" s="232">
        <v>824</v>
      </c>
      <c r="E1120" s="243"/>
      <c r="F1120" s="243">
        <v>41.53</v>
      </c>
      <c r="G1120" s="234"/>
      <c r="H1120" s="234">
        <f t="shared" si="254"/>
        <v>34220.720000000001</v>
      </c>
      <c r="I1120" s="234">
        <f t="shared" si="255"/>
        <v>34220.720000000001</v>
      </c>
    </row>
    <row r="1121" spans="1:9" s="13" customFormat="1" ht="13.8">
      <c r="A1121" s="229" t="s">
        <v>2620</v>
      </c>
      <c r="B1121" s="230" t="s">
        <v>1385</v>
      </c>
      <c r="C1121" s="231" t="s">
        <v>332</v>
      </c>
      <c r="D1121" s="232">
        <v>24</v>
      </c>
      <c r="E1121" s="243"/>
      <c r="F1121" s="243">
        <v>146.51</v>
      </c>
      <c r="G1121" s="234"/>
      <c r="H1121" s="234">
        <f t="shared" si="254"/>
        <v>3516.24</v>
      </c>
      <c r="I1121" s="234">
        <f t="shared" si="255"/>
        <v>3516.24</v>
      </c>
    </row>
    <row r="1122" spans="1:9" s="13" customFormat="1" ht="13.8">
      <c r="A1122" s="229" t="s">
        <v>2621</v>
      </c>
      <c r="B1122" s="306" t="s">
        <v>1386</v>
      </c>
      <c r="C1122" s="231" t="s">
        <v>332</v>
      </c>
      <c r="D1122" s="232">
        <v>20</v>
      </c>
      <c r="E1122" s="243"/>
      <c r="F1122" s="307">
        <v>1875</v>
      </c>
      <c r="G1122" s="234"/>
      <c r="H1122" s="234">
        <f>PRODUCT(F1122,D1122)</f>
        <v>37500</v>
      </c>
      <c r="I1122" s="234">
        <f t="shared" si="255"/>
        <v>37500</v>
      </c>
    </row>
    <row r="1123" spans="1:9" s="14" customFormat="1" ht="13.8">
      <c r="A1123" s="229" t="s">
        <v>2623</v>
      </c>
      <c r="B1123" s="230" t="s">
        <v>1388</v>
      </c>
      <c r="C1123" s="231" t="s">
        <v>332</v>
      </c>
      <c r="D1123" s="232">
        <v>1000</v>
      </c>
      <c r="E1123" s="243">
        <v>150</v>
      </c>
      <c r="F1123" s="243"/>
      <c r="G1123" s="234">
        <f>D1123*E1123</f>
        <v>150000</v>
      </c>
      <c r="H1123" s="234"/>
      <c r="I1123" s="234">
        <f t="shared" ref="I1123" si="256">SUM(G1123:H1123)</f>
        <v>150000</v>
      </c>
    </row>
    <row r="1124" spans="1:9" s="13" customFormat="1" ht="13.8">
      <c r="A1124" s="229" t="s">
        <v>2624</v>
      </c>
      <c r="B1124" s="308" t="s">
        <v>1391</v>
      </c>
      <c r="C1124" s="231" t="s">
        <v>332</v>
      </c>
      <c r="D1124" s="232">
        <v>25</v>
      </c>
      <c r="E1124" s="243"/>
      <c r="F1124" s="309">
        <v>2606</v>
      </c>
      <c r="G1124" s="234"/>
      <c r="H1124" s="234">
        <f>PRODUCT(F1124,D1124)</f>
        <v>65150</v>
      </c>
      <c r="I1124" s="234">
        <f t="shared" ref="I1124" si="257">SUM(G1124:H1124)</f>
        <v>65150</v>
      </c>
    </row>
    <row r="1125" spans="1:9" s="13" customFormat="1" ht="13.8">
      <c r="A1125" s="517" t="s">
        <v>2625</v>
      </c>
      <c r="B1125" s="262" t="s">
        <v>2622</v>
      </c>
      <c r="C1125" s="518" t="s">
        <v>20</v>
      </c>
      <c r="D1125" s="340">
        <v>1</v>
      </c>
      <c r="E1125" s="259">
        <v>400000</v>
      </c>
      <c r="F1125" s="259"/>
      <c r="G1125" s="260">
        <f>D1125*E1125</f>
        <v>400000</v>
      </c>
      <c r="H1125" s="261"/>
      <c r="I1125" s="260">
        <f>H1125+G1125</f>
        <v>400000</v>
      </c>
    </row>
    <row r="1126" spans="1:9" s="13" customFormat="1" ht="13.8">
      <c r="A1126" s="517" t="s">
        <v>2626</v>
      </c>
      <c r="B1126" s="262" t="s">
        <v>1393</v>
      </c>
      <c r="C1126" s="518" t="s">
        <v>20</v>
      </c>
      <c r="D1126" s="340">
        <v>1</v>
      </c>
      <c r="E1126" s="259"/>
      <c r="F1126" s="259">
        <v>2300000</v>
      </c>
      <c r="G1126" s="260"/>
      <c r="H1126" s="261">
        <f>D1126*F1126</f>
        <v>2300000</v>
      </c>
      <c r="I1126" s="260">
        <f>H1126+G1126</f>
        <v>2300000</v>
      </c>
    </row>
    <row r="1127" spans="1:9" s="13" customFormat="1" ht="13.8">
      <c r="A1127" s="27"/>
      <c r="B1127" s="427" t="s">
        <v>2085</v>
      </c>
      <c r="C1127" s="533" t="s">
        <v>2627</v>
      </c>
      <c r="D1127" s="534"/>
      <c r="E1127" s="534"/>
      <c r="F1127" s="535"/>
      <c r="G1127" s="32">
        <f>SUM(G896:G1126)</f>
        <v>2867680</v>
      </c>
      <c r="H1127" s="32">
        <f t="shared" ref="H1127:I1127" si="258">SUM(H896:H1126)</f>
        <v>9457705.5142164659</v>
      </c>
      <c r="I1127" s="32">
        <f t="shared" si="258"/>
        <v>12325385.514216466</v>
      </c>
    </row>
    <row r="1128" spans="1:9" s="13" customFormat="1" ht="13.8">
      <c r="A1128" s="27"/>
      <c r="B1128" s="427" t="s">
        <v>2088</v>
      </c>
      <c r="C1128" s="530"/>
      <c r="D1128" s="531"/>
      <c r="E1128" s="531"/>
      <c r="F1128" s="532"/>
      <c r="G1128" s="32">
        <f>PRODUCT(G1127,1/1.2,0.2)</f>
        <v>477946.66666666674</v>
      </c>
      <c r="H1128" s="32">
        <f>PRODUCT(H1127,1/1.2,0.2)</f>
        <v>1576284.2523694113</v>
      </c>
      <c r="I1128" s="32">
        <f>PRODUCT(I1127,1/1.2,0.2)</f>
        <v>2054230.9190360778</v>
      </c>
    </row>
    <row r="1129" spans="1:9" s="13" customFormat="1" ht="13.8">
      <c r="A1129" s="207"/>
      <c r="B1129" s="208" t="s">
        <v>2628</v>
      </c>
      <c r="C1129" s="209"/>
      <c r="D1129" s="210"/>
      <c r="E1129" s="31"/>
      <c r="F1129" s="211"/>
      <c r="G1129" s="212"/>
      <c r="H1129" s="212"/>
      <c r="I1129" s="212"/>
    </row>
    <row r="1130" spans="1:9" s="15" customFormat="1" ht="13.8">
      <c r="A1130" s="311" t="s">
        <v>1395</v>
      </c>
      <c r="B1130" s="317" t="s">
        <v>1396</v>
      </c>
      <c r="C1130" s="313" t="s">
        <v>602</v>
      </c>
      <c r="D1130" s="519">
        <v>96</v>
      </c>
      <c r="E1130" s="318">
        <v>550</v>
      </c>
      <c r="F1130" s="310"/>
      <c r="G1130" s="260">
        <f>D1130*E1130</f>
        <v>52800</v>
      </c>
      <c r="H1130" s="261"/>
      <c r="I1130" s="260">
        <f>H1130+G1130</f>
        <v>52800</v>
      </c>
    </row>
    <row r="1131" spans="1:9" s="15" customFormat="1" ht="27.6">
      <c r="A1131" s="311" t="s">
        <v>1397</v>
      </c>
      <c r="B1131" s="312" t="s">
        <v>1398</v>
      </c>
      <c r="C1131" s="313" t="s">
        <v>332</v>
      </c>
      <c r="D1131" s="314">
        <v>96</v>
      </c>
      <c r="E1131" s="244"/>
      <c r="F1131" s="244">
        <v>810</v>
      </c>
      <c r="G1131" s="315"/>
      <c r="H1131" s="315">
        <f t="shared" ref="H1131:H1155" si="259">PRODUCT(D1131,F1131)</f>
        <v>77760</v>
      </c>
      <c r="I1131" s="315">
        <f>SUM(G1131:H1131)</f>
        <v>77760</v>
      </c>
    </row>
    <row r="1132" spans="1:9" s="15" customFormat="1" ht="13.8">
      <c r="A1132" s="311" t="s">
        <v>1399</v>
      </c>
      <c r="B1132" s="316" t="s">
        <v>1400</v>
      </c>
      <c r="C1132" s="313" t="s">
        <v>332</v>
      </c>
      <c r="D1132" s="314">
        <v>96</v>
      </c>
      <c r="E1132" s="244"/>
      <c r="F1132" s="244">
        <v>42</v>
      </c>
      <c r="G1132" s="315"/>
      <c r="H1132" s="315">
        <f t="shared" si="259"/>
        <v>4032</v>
      </c>
      <c r="I1132" s="315">
        <f t="shared" ref="I1132:I1156" si="260">SUM(G1132:H1132)</f>
        <v>4032</v>
      </c>
    </row>
    <row r="1133" spans="1:9" s="15" customFormat="1" ht="13.8">
      <c r="A1133" s="311" t="s">
        <v>1401</v>
      </c>
      <c r="B1133" s="317" t="s">
        <v>1402</v>
      </c>
      <c r="C1133" s="313" t="s">
        <v>332</v>
      </c>
      <c r="D1133" s="314">
        <v>96</v>
      </c>
      <c r="E1133" s="244"/>
      <c r="F1133" s="318">
        <v>181</v>
      </c>
      <c r="G1133" s="315"/>
      <c r="H1133" s="315">
        <f t="shared" si="259"/>
        <v>17376</v>
      </c>
      <c r="I1133" s="315">
        <f t="shared" si="260"/>
        <v>17376</v>
      </c>
    </row>
    <row r="1134" spans="1:9" s="15" customFormat="1" ht="13.8">
      <c r="A1134" s="311" t="s">
        <v>1403</v>
      </c>
      <c r="B1134" s="319" t="s">
        <v>1404</v>
      </c>
      <c r="C1134" s="313" t="s">
        <v>332</v>
      </c>
      <c r="D1134" s="314">
        <v>96</v>
      </c>
      <c r="E1134" s="244"/>
      <c r="F1134" s="244">
        <v>131</v>
      </c>
      <c r="G1134" s="315"/>
      <c r="H1134" s="315">
        <f t="shared" si="259"/>
        <v>12576</v>
      </c>
      <c r="I1134" s="315">
        <f t="shared" si="260"/>
        <v>12576</v>
      </c>
    </row>
    <row r="1135" spans="1:9" s="15" customFormat="1" ht="13.8">
      <c r="A1135" s="311" t="s">
        <v>1405</v>
      </c>
      <c r="B1135" s="317" t="s">
        <v>1406</v>
      </c>
      <c r="C1135" s="313" t="s">
        <v>332</v>
      </c>
      <c r="D1135" s="314">
        <v>96</v>
      </c>
      <c r="E1135" s="244"/>
      <c r="F1135" s="244">
        <v>71</v>
      </c>
      <c r="G1135" s="315"/>
      <c r="H1135" s="315">
        <f t="shared" si="259"/>
        <v>6816</v>
      </c>
      <c r="I1135" s="315">
        <f t="shared" si="260"/>
        <v>6816</v>
      </c>
    </row>
    <row r="1136" spans="1:9" s="15" customFormat="1" ht="13.8">
      <c r="A1136" s="311" t="s">
        <v>1407</v>
      </c>
      <c r="B1136" s="317" t="s">
        <v>1408</v>
      </c>
      <c r="C1136" s="313" t="s">
        <v>332</v>
      </c>
      <c r="D1136" s="314">
        <v>96</v>
      </c>
      <c r="E1136" s="318"/>
      <c r="F1136" s="244">
        <v>894</v>
      </c>
      <c r="G1136" s="315"/>
      <c r="H1136" s="315">
        <f t="shared" si="259"/>
        <v>85824</v>
      </c>
      <c r="I1136" s="315">
        <f t="shared" si="260"/>
        <v>85824</v>
      </c>
    </row>
    <row r="1137" spans="1:9" s="15" customFormat="1" ht="13.8">
      <c r="A1137" s="311" t="s">
        <v>1409</v>
      </c>
      <c r="B1137" s="317" t="s">
        <v>1410</v>
      </c>
      <c r="C1137" s="313" t="s">
        <v>332</v>
      </c>
      <c r="D1137" s="314">
        <v>48</v>
      </c>
      <c r="E1137" s="244"/>
      <c r="F1137" s="244">
        <v>1875</v>
      </c>
      <c r="G1137" s="315"/>
      <c r="H1137" s="315">
        <f t="shared" si="259"/>
        <v>90000</v>
      </c>
      <c r="I1137" s="315">
        <f t="shared" si="260"/>
        <v>90000</v>
      </c>
    </row>
    <row r="1138" spans="1:9" s="15" customFormat="1" ht="13.8">
      <c r="A1138" s="311" t="s">
        <v>1411</v>
      </c>
      <c r="B1138" s="317" t="s">
        <v>1412</v>
      </c>
      <c r="C1138" s="313" t="s">
        <v>332</v>
      </c>
      <c r="D1138" s="314">
        <v>192</v>
      </c>
      <c r="E1138" s="318"/>
      <c r="F1138" s="318">
        <v>82</v>
      </c>
      <c r="G1138" s="315"/>
      <c r="H1138" s="315">
        <f t="shared" si="259"/>
        <v>15744</v>
      </c>
      <c r="I1138" s="315">
        <f t="shared" si="260"/>
        <v>15744</v>
      </c>
    </row>
    <row r="1139" spans="1:9" s="15" customFormat="1" ht="13.8">
      <c r="A1139" s="311" t="s">
        <v>1413</v>
      </c>
      <c r="B1139" s="316" t="s">
        <v>1414</v>
      </c>
      <c r="C1139" s="313" t="s">
        <v>332</v>
      </c>
      <c r="D1139" s="320">
        <v>16</v>
      </c>
      <c r="E1139" s="318"/>
      <c r="F1139" s="318">
        <v>200</v>
      </c>
      <c r="G1139" s="315"/>
      <c r="H1139" s="315">
        <f t="shared" si="259"/>
        <v>3200</v>
      </c>
      <c r="I1139" s="315">
        <f t="shared" si="260"/>
        <v>3200</v>
      </c>
    </row>
    <row r="1140" spans="1:9" s="15" customFormat="1" ht="13.8">
      <c r="A1140" s="311" t="s">
        <v>1415</v>
      </c>
      <c r="B1140" s="316" t="s">
        <v>1416</v>
      </c>
      <c r="C1140" s="313" t="s">
        <v>332</v>
      </c>
      <c r="D1140" s="320">
        <v>12</v>
      </c>
      <c r="E1140" s="318"/>
      <c r="F1140" s="318">
        <v>200</v>
      </c>
      <c r="G1140" s="315"/>
      <c r="H1140" s="315">
        <f t="shared" si="259"/>
        <v>2400</v>
      </c>
      <c r="I1140" s="315">
        <f t="shared" si="260"/>
        <v>2400</v>
      </c>
    </row>
    <row r="1141" spans="1:9" s="15" customFormat="1" ht="13.8">
      <c r="A1141" s="311" t="s">
        <v>1417</v>
      </c>
      <c r="B1141" s="316" t="s">
        <v>1418</v>
      </c>
      <c r="C1141" s="313" t="s">
        <v>332</v>
      </c>
      <c r="D1141" s="320">
        <v>12</v>
      </c>
      <c r="E1141" s="318"/>
      <c r="F1141" s="318">
        <v>200</v>
      </c>
      <c r="G1141" s="315"/>
      <c r="H1141" s="315">
        <f t="shared" si="259"/>
        <v>2400</v>
      </c>
      <c r="I1141" s="315">
        <f t="shared" si="260"/>
        <v>2400</v>
      </c>
    </row>
    <row r="1142" spans="1:9" s="15" customFormat="1" ht="13.8">
      <c r="A1142" s="311" t="s">
        <v>1419</v>
      </c>
      <c r="B1142" s="316" t="s">
        <v>1420</v>
      </c>
      <c r="C1142" s="313" t="s">
        <v>332</v>
      </c>
      <c r="D1142" s="320">
        <v>12</v>
      </c>
      <c r="E1142" s="318"/>
      <c r="F1142" s="318">
        <v>200</v>
      </c>
      <c r="G1142" s="315"/>
      <c r="H1142" s="315">
        <f t="shared" si="259"/>
        <v>2400</v>
      </c>
      <c r="I1142" s="315">
        <f t="shared" si="260"/>
        <v>2400</v>
      </c>
    </row>
    <row r="1143" spans="1:9" s="15" customFormat="1" ht="13.8">
      <c r="A1143" s="311" t="s">
        <v>1421</v>
      </c>
      <c r="B1143" s="316" t="s">
        <v>1422</v>
      </c>
      <c r="C1143" s="313" t="s">
        <v>332</v>
      </c>
      <c r="D1143" s="320">
        <v>16</v>
      </c>
      <c r="E1143" s="318"/>
      <c r="F1143" s="318">
        <v>200</v>
      </c>
      <c r="G1143" s="315"/>
      <c r="H1143" s="315">
        <f t="shared" si="259"/>
        <v>3200</v>
      </c>
      <c r="I1143" s="315">
        <f t="shared" si="260"/>
        <v>3200</v>
      </c>
    </row>
    <row r="1144" spans="1:9" s="15" customFormat="1" ht="13.8">
      <c r="A1144" s="311" t="s">
        <v>1423</v>
      </c>
      <c r="B1144" s="317" t="s">
        <v>1424</v>
      </c>
      <c r="C1144" s="313" t="s">
        <v>332</v>
      </c>
      <c r="D1144" s="314">
        <v>2</v>
      </c>
      <c r="E1144" s="318"/>
      <c r="F1144" s="318">
        <v>167</v>
      </c>
      <c r="G1144" s="315"/>
      <c r="H1144" s="315">
        <f t="shared" si="259"/>
        <v>334</v>
      </c>
      <c r="I1144" s="315">
        <f t="shared" si="260"/>
        <v>334</v>
      </c>
    </row>
    <row r="1145" spans="1:9" s="15" customFormat="1" ht="13.8">
      <c r="A1145" s="311" t="s">
        <v>1425</v>
      </c>
      <c r="B1145" s="321" t="s">
        <v>1426</v>
      </c>
      <c r="C1145" s="313" t="s">
        <v>332</v>
      </c>
      <c r="D1145" s="322">
        <v>2</v>
      </c>
      <c r="E1145" s="318"/>
      <c r="F1145" s="318">
        <v>160</v>
      </c>
      <c r="G1145" s="315"/>
      <c r="H1145" s="315">
        <f t="shared" si="259"/>
        <v>320</v>
      </c>
      <c r="I1145" s="315">
        <f t="shared" si="260"/>
        <v>320</v>
      </c>
    </row>
    <row r="1146" spans="1:9" s="15" customFormat="1" ht="13.8">
      <c r="A1146" s="311" t="s">
        <v>1427</v>
      </c>
      <c r="B1146" s="321" t="s">
        <v>1428</v>
      </c>
      <c r="C1146" s="313" t="s">
        <v>332</v>
      </c>
      <c r="D1146" s="322">
        <v>2</v>
      </c>
      <c r="E1146" s="318"/>
      <c r="F1146" s="318">
        <v>132.75</v>
      </c>
      <c r="G1146" s="315"/>
      <c r="H1146" s="315">
        <f t="shared" si="259"/>
        <v>265.5</v>
      </c>
      <c r="I1146" s="315">
        <f t="shared" si="260"/>
        <v>265.5</v>
      </c>
    </row>
    <row r="1147" spans="1:9" s="15" customFormat="1" ht="13.8">
      <c r="A1147" s="311" t="s">
        <v>1434</v>
      </c>
      <c r="B1147" s="321" t="s">
        <v>2629</v>
      </c>
      <c r="C1147" s="313"/>
      <c r="D1147" s="323">
        <v>2</v>
      </c>
      <c r="E1147" s="244">
        <v>150</v>
      </c>
      <c r="F1147" s="244"/>
      <c r="G1147" s="315">
        <f t="shared" ref="G1147" si="261">PRODUCT(D1147,E1147)</f>
        <v>300</v>
      </c>
      <c r="H1147" s="315"/>
      <c r="I1147" s="315">
        <f t="shared" ref="I1147" si="262">SUM(G1147:H1147)</f>
        <v>300</v>
      </c>
    </row>
    <row r="1148" spans="1:9" s="15" customFormat="1" ht="41.4">
      <c r="A1148" s="311" t="s">
        <v>1436</v>
      </c>
      <c r="B1148" s="321" t="s">
        <v>1429</v>
      </c>
      <c r="C1148" s="313" t="s">
        <v>332</v>
      </c>
      <c r="D1148" s="323">
        <v>2</v>
      </c>
      <c r="E1148" s="244"/>
      <c r="F1148" s="244">
        <v>262</v>
      </c>
      <c r="G1148" s="315"/>
      <c r="H1148" s="315">
        <f t="shared" si="259"/>
        <v>524</v>
      </c>
      <c r="I1148" s="315">
        <f t="shared" si="260"/>
        <v>524</v>
      </c>
    </row>
    <row r="1149" spans="1:9" s="15" customFormat="1" ht="13.8">
      <c r="A1149" s="311" t="s">
        <v>1439</v>
      </c>
      <c r="B1149" s="321" t="s">
        <v>1430</v>
      </c>
      <c r="C1149" s="313" t="s">
        <v>332</v>
      </c>
      <c r="D1149" s="323">
        <v>2</v>
      </c>
      <c r="E1149" s="318"/>
      <c r="F1149" s="318">
        <v>23</v>
      </c>
      <c r="G1149" s="315"/>
      <c r="H1149" s="315">
        <f t="shared" si="259"/>
        <v>46</v>
      </c>
      <c r="I1149" s="315">
        <f t="shared" si="260"/>
        <v>46</v>
      </c>
    </row>
    <row r="1150" spans="1:9" s="15" customFormat="1" ht="13.8">
      <c r="A1150" s="311" t="s">
        <v>1443</v>
      </c>
      <c r="B1150" s="321" t="s">
        <v>2630</v>
      </c>
      <c r="C1150" s="313" t="s">
        <v>332</v>
      </c>
      <c r="D1150" s="323">
        <v>1</v>
      </c>
      <c r="E1150" s="244">
        <v>300</v>
      </c>
      <c r="F1150" s="244"/>
      <c r="G1150" s="315">
        <f t="shared" ref="G1150" si="263">PRODUCT(D1150,E1150)</f>
        <v>300</v>
      </c>
      <c r="H1150" s="315"/>
      <c r="I1150" s="315">
        <f t="shared" ref="I1150" si="264">SUM(G1150:H1150)</f>
        <v>300</v>
      </c>
    </row>
    <row r="1151" spans="1:9" s="15" customFormat="1" ht="13.8">
      <c r="A1151" s="311" t="s">
        <v>1444</v>
      </c>
      <c r="B1151" s="321" t="s">
        <v>1431</v>
      </c>
      <c r="C1151" s="313" t="s">
        <v>332</v>
      </c>
      <c r="D1151" s="323">
        <v>1</v>
      </c>
      <c r="E1151" s="244"/>
      <c r="F1151" s="244">
        <v>8140</v>
      </c>
      <c r="G1151" s="315"/>
      <c r="H1151" s="315">
        <f t="shared" si="259"/>
        <v>8140</v>
      </c>
      <c r="I1151" s="315">
        <f t="shared" si="260"/>
        <v>8140</v>
      </c>
    </row>
    <row r="1152" spans="1:9" s="15" customFormat="1" ht="13.8">
      <c r="A1152" s="311" t="s">
        <v>1446</v>
      </c>
      <c r="B1152" s="321" t="s">
        <v>1430</v>
      </c>
      <c r="C1152" s="313" t="s">
        <v>332</v>
      </c>
      <c r="D1152" s="323">
        <v>1</v>
      </c>
      <c r="E1152" s="244"/>
      <c r="F1152" s="244">
        <v>23</v>
      </c>
      <c r="G1152" s="315"/>
      <c r="H1152" s="547">
        <f t="shared" si="259"/>
        <v>23</v>
      </c>
      <c r="I1152" s="547">
        <f>H1152</f>
        <v>23</v>
      </c>
    </row>
    <row r="1153" spans="1:9" s="15" customFormat="1" ht="13.8">
      <c r="A1153" s="311" t="s">
        <v>1456</v>
      </c>
      <c r="B1153" s="321" t="s">
        <v>2631</v>
      </c>
      <c r="C1153" s="313" t="s">
        <v>332</v>
      </c>
      <c r="D1153" s="315">
        <v>276</v>
      </c>
      <c r="E1153" s="244">
        <v>350</v>
      </c>
      <c r="F1153" s="244"/>
      <c r="G1153" s="315">
        <f t="shared" ref="G1153" si="265">PRODUCT(D1153,E1153)</f>
        <v>96600</v>
      </c>
      <c r="H1153" s="315"/>
      <c r="I1153" s="315">
        <f t="shared" ref="I1153" si="266">SUM(G1153:H1153)</f>
        <v>96600</v>
      </c>
    </row>
    <row r="1154" spans="1:9" s="15" customFormat="1" ht="13.8">
      <c r="A1154" s="311" t="s">
        <v>1457</v>
      </c>
      <c r="B1154" s="324" t="s">
        <v>1432</v>
      </c>
      <c r="C1154" s="313" t="s">
        <v>332</v>
      </c>
      <c r="D1154" s="315">
        <v>276</v>
      </c>
      <c r="E1154" s="244"/>
      <c r="F1154" s="244">
        <v>208</v>
      </c>
      <c r="G1154" s="315"/>
      <c r="H1154" s="315">
        <f t="shared" si="259"/>
        <v>57408</v>
      </c>
      <c r="I1154" s="315">
        <f t="shared" si="260"/>
        <v>57408</v>
      </c>
    </row>
    <row r="1155" spans="1:9" s="15" customFormat="1" ht="13.8">
      <c r="A1155" s="311" t="s">
        <v>1458</v>
      </c>
      <c r="B1155" s="324" t="s">
        <v>1433</v>
      </c>
      <c r="C1155" s="313" t="s">
        <v>332</v>
      </c>
      <c r="D1155" s="315">
        <v>276</v>
      </c>
      <c r="E1155" s="244"/>
      <c r="F1155" s="244">
        <v>130</v>
      </c>
      <c r="G1155" s="315"/>
      <c r="H1155" s="315">
        <f t="shared" si="259"/>
        <v>35880</v>
      </c>
      <c r="I1155" s="315">
        <f t="shared" si="260"/>
        <v>35880</v>
      </c>
    </row>
    <row r="1156" spans="1:9" s="15" customFormat="1" ht="13.8">
      <c r="A1156" s="311" t="s">
        <v>1491</v>
      </c>
      <c r="B1156" s="317" t="s">
        <v>1435</v>
      </c>
      <c r="C1156" s="313" t="s">
        <v>602</v>
      </c>
      <c r="D1156" s="314">
        <v>3</v>
      </c>
      <c r="E1156" s="318">
        <v>12500</v>
      </c>
      <c r="F1156" s="310"/>
      <c r="G1156" s="315">
        <f t="shared" ref="G1156" si="267">PRODUCT(D1156,E1156)</f>
        <v>37500</v>
      </c>
      <c r="H1156" s="315"/>
      <c r="I1156" s="315">
        <f t="shared" si="260"/>
        <v>37500</v>
      </c>
    </row>
    <row r="1157" spans="1:9" s="15" customFormat="1" ht="13.8">
      <c r="A1157" s="311" t="s">
        <v>1493</v>
      </c>
      <c r="B1157" s="325" t="s">
        <v>1437</v>
      </c>
      <c r="C1157" s="318" t="s">
        <v>1438</v>
      </c>
      <c r="D1157" s="315">
        <v>1</v>
      </c>
      <c r="E1157" s="318"/>
      <c r="F1157" s="318">
        <v>268341</v>
      </c>
      <c r="G1157" s="315"/>
      <c r="H1157" s="315">
        <f t="shared" ref="H1157:H1160" si="268">PRODUCT(F1157,D1157)</f>
        <v>268341</v>
      </c>
      <c r="I1157" s="315">
        <f t="shared" ref="I1157:I1160" si="269">SUM(G1157:H1157)</f>
        <v>268341</v>
      </c>
    </row>
    <row r="1158" spans="1:9" s="15" customFormat="1" ht="13.8">
      <c r="A1158" s="311" t="s">
        <v>1495</v>
      </c>
      <c r="B1158" s="325" t="s">
        <v>1440</v>
      </c>
      <c r="C1158" s="318" t="s">
        <v>1438</v>
      </c>
      <c r="D1158" s="315">
        <v>1</v>
      </c>
      <c r="E1158" s="318"/>
      <c r="F1158" s="318">
        <v>405996</v>
      </c>
      <c r="G1158" s="315"/>
      <c r="H1158" s="315">
        <f t="shared" si="268"/>
        <v>405996</v>
      </c>
      <c r="I1158" s="315">
        <f t="shared" si="269"/>
        <v>405996</v>
      </c>
    </row>
    <row r="1159" spans="1:9" s="15" customFormat="1" ht="13.8">
      <c r="A1159" s="311" t="s">
        <v>2632</v>
      </c>
      <c r="B1159" s="325" t="s">
        <v>1441</v>
      </c>
      <c r="C1159" s="318" t="s">
        <v>1438</v>
      </c>
      <c r="D1159" s="315">
        <v>1</v>
      </c>
      <c r="E1159" s="318"/>
      <c r="F1159" s="318">
        <v>704007</v>
      </c>
      <c r="G1159" s="315"/>
      <c r="H1159" s="315">
        <f t="shared" si="268"/>
        <v>704007</v>
      </c>
      <c r="I1159" s="315">
        <f t="shared" si="269"/>
        <v>704007</v>
      </c>
    </row>
    <row r="1160" spans="1:9" s="15" customFormat="1" ht="13.8">
      <c r="A1160" s="311" t="s">
        <v>2633</v>
      </c>
      <c r="B1160" s="326" t="s">
        <v>1442</v>
      </c>
      <c r="C1160" s="327" t="s">
        <v>332</v>
      </c>
      <c r="D1160" s="320">
        <v>4</v>
      </c>
      <c r="E1160" s="318"/>
      <c r="F1160" s="244">
        <v>3435.05</v>
      </c>
      <c r="G1160" s="315"/>
      <c r="H1160" s="315">
        <f t="shared" si="268"/>
        <v>13740.2</v>
      </c>
      <c r="I1160" s="315">
        <f t="shared" si="269"/>
        <v>13740.2</v>
      </c>
    </row>
    <row r="1161" spans="1:9" s="15" customFormat="1" ht="13.8">
      <c r="A1161" s="311" t="s">
        <v>1497</v>
      </c>
      <c r="B1161" s="325" t="s">
        <v>2637</v>
      </c>
      <c r="C1161" s="327" t="s">
        <v>332</v>
      </c>
      <c r="D1161" s="320">
        <v>660</v>
      </c>
      <c r="E1161" s="244">
        <v>150</v>
      </c>
      <c r="F1161" s="244"/>
      <c r="G1161" s="315">
        <f t="shared" ref="G1161" si="270">PRODUCT(D1161,E1161)</f>
        <v>99000</v>
      </c>
      <c r="H1161" s="315"/>
      <c r="I1161" s="315">
        <f t="shared" ref="I1161" si="271">SUM(G1161:H1161)</f>
        <v>99000</v>
      </c>
    </row>
    <row r="1162" spans="1:9" s="15" customFormat="1" ht="13.8">
      <c r="A1162" s="311" t="s">
        <v>1498</v>
      </c>
      <c r="B1162" s="325" t="s">
        <v>1445</v>
      </c>
      <c r="C1162" s="327" t="s">
        <v>332</v>
      </c>
      <c r="D1162" s="320">
        <v>660</v>
      </c>
      <c r="E1162" s="244"/>
      <c r="F1162" s="244">
        <v>460</v>
      </c>
      <c r="G1162" s="315"/>
      <c r="H1162" s="315">
        <f>PRODUCT(F1162,D1162)</f>
        <v>303600</v>
      </c>
      <c r="I1162" s="315">
        <f t="shared" ref="I1162:I1170" si="272">SUM(G1162:H1162)</f>
        <v>303600</v>
      </c>
    </row>
    <row r="1163" spans="1:9" s="15" customFormat="1" ht="13.8">
      <c r="A1163" s="311" t="s">
        <v>1502</v>
      </c>
      <c r="B1163" s="328" t="s">
        <v>2636</v>
      </c>
      <c r="C1163" s="329" t="s">
        <v>332</v>
      </c>
      <c r="D1163" s="330">
        <v>1</v>
      </c>
      <c r="E1163" s="244">
        <v>27000</v>
      </c>
      <c r="F1163" s="244"/>
      <c r="G1163" s="315">
        <f>PRODUCT(E1163,D1163)</f>
        <v>27000</v>
      </c>
      <c r="H1163" s="315"/>
      <c r="I1163" s="315">
        <f t="shared" si="272"/>
        <v>27000</v>
      </c>
    </row>
    <row r="1164" spans="1:9" s="15" customFormat="1" ht="13.8">
      <c r="A1164" s="311" t="s">
        <v>1504</v>
      </c>
      <c r="B1164" s="328" t="s">
        <v>2635</v>
      </c>
      <c r="C1164" s="329" t="s">
        <v>332</v>
      </c>
      <c r="D1164" s="330">
        <v>2</v>
      </c>
      <c r="E1164" s="244"/>
      <c r="F1164" s="244">
        <v>11002.614</v>
      </c>
      <c r="G1164" s="315"/>
      <c r="H1164" s="315">
        <f t="shared" ref="H1164:H1169" si="273">PRODUCT(F1164,D1164)</f>
        <v>22005.227999999999</v>
      </c>
      <c r="I1164" s="315">
        <f t="shared" si="272"/>
        <v>22005.227999999999</v>
      </c>
    </row>
    <row r="1165" spans="1:9" s="15" customFormat="1" ht="13.8">
      <c r="A1165" s="311" t="s">
        <v>1506</v>
      </c>
      <c r="B1165" s="328" t="s">
        <v>1448</v>
      </c>
      <c r="C1165" s="329" t="s">
        <v>332</v>
      </c>
      <c r="D1165" s="330">
        <v>2</v>
      </c>
      <c r="E1165" s="244"/>
      <c r="F1165" s="244">
        <v>25591</v>
      </c>
      <c r="G1165" s="315"/>
      <c r="H1165" s="315">
        <f t="shared" si="273"/>
        <v>51182</v>
      </c>
      <c r="I1165" s="315">
        <f t="shared" si="272"/>
        <v>51182</v>
      </c>
    </row>
    <row r="1166" spans="1:9" s="15" customFormat="1" ht="13.8">
      <c r="A1166" s="311" t="s">
        <v>1508</v>
      </c>
      <c r="B1166" s="328" t="s">
        <v>1449</v>
      </c>
      <c r="C1166" s="329" t="s">
        <v>332</v>
      </c>
      <c r="D1166" s="330">
        <v>2</v>
      </c>
      <c r="E1166" s="244"/>
      <c r="F1166" s="244">
        <v>344.75</v>
      </c>
      <c r="G1166" s="315"/>
      <c r="H1166" s="315">
        <f t="shared" si="273"/>
        <v>689.5</v>
      </c>
      <c r="I1166" s="315">
        <f t="shared" si="272"/>
        <v>689.5</v>
      </c>
    </row>
    <row r="1167" spans="1:9" s="15" customFormat="1" ht="27.6">
      <c r="A1167" s="311" t="s">
        <v>1510</v>
      </c>
      <c r="B1167" s="328" t="s">
        <v>1450</v>
      </c>
      <c r="C1167" s="329" t="s">
        <v>332</v>
      </c>
      <c r="D1167" s="330">
        <v>2</v>
      </c>
      <c r="E1167" s="244"/>
      <c r="F1167" s="244">
        <v>379.22</v>
      </c>
      <c r="G1167" s="315"/>
      <c r="H1167" s="315">
        <f t="shared" si="273"/>
        <v>758.44</v>
      </c>
      <c r="I1167" s="315">
        <f t="shared" si="272"/>
        <v>758.44</v>
      </c>
    </row>
    <row r="1168" spans="1:9" s="15" customFormat="1" ht="13.8">
      <c r="A1168" s="311" t="s">
        <v>1512</v>
      </c>
      <c r="B1168" s="328" t="s">
        <v>1451</v>
      </c>
      <c r="C1168" s="329" t="s">
        <v>20</v>
      </c>
      <c r="D1168" s="330">
        <v>2</v>
      </c>
      <c r="E1168" s="331"/>
      <c r="F1168" s="331">
        <v>15</v>
      </c>
      <c r="G1168" s="315"/>
      <c r="H1168" s="315">
        <f t="shared" si="273"/>
        <v>30</v>
      </c>
      <c r="I1168" s="315">
        <f t="shared" si="272"/>
        <v>30</v>
      </c>
    </row>
    <row r="1169" spans="1:9" s="15" customFormat="1" ht="13.8">
      <c r="A1169" s="311" t="s">
        <v>1514</v>
      </c>
      <c r="B1169" s="328" t="s">
        <v>1452</v>
      </c>
      <c r="C1169" s="329" t="s">
        <v>20</v>
      </c>
      <c r="D1169" s="330">
        <v>8</v>
      </c>
      <c r="E1169" s="331"/>
      <c r="F1169" s="331">
        <v>20</v>
      </c>
      <c r="G1169" s="315"/>
      <c r="H1169" s="315">
        <f t="shared" si="273"/>
        <v>160</v>
      </c>
      <c r="I1169" s="315">
        <f t="shared" si="272"/>
        <v>160</v>
      </c>
    </row>
    <row r="1170" spans="1:9" s="15" customFormat="1" ht="13.8">
      <c r="A1170" s="311" t="s">
        <v>1529</v>
      </c>
      <c r="B1170" s="328" t="s">
        <v>2634</v>
      </c>
      <c r="C1170" s="329" t="s">
        <v>332</v>
      </c>
      <c r="D1170" s="330">
        <v>2</v>
      </c>
      <c r="E1170" s="244">
        <v>10000</v>
      </c>
      <c r="F1170" s="244"/>
      <c r="G1170" s="315">
        <f>PRODUCT(E1170,D1170)</f>
        <v>20000</v>
      </c>
      <c r="H1170" s="315"/>
      <c r="I1170" s="315">
        <f t="shared" si="272"/>
        <v>20000</v>
      </c>
    </row>
    <row r="1171" spans="1:9" s="15" customFormat="1" ht="13.8">
      <c r="A1171" s="311" t="s">
        <v>1531</v>
      </c>
      <c r="B1171" s="328" t="s">
        <v>2638</v>
      </c>
      <c r="C1171" s="329" t="s">
        <v>332</v>
      </c>
      <c r="D1171" s="330">
        <v>2</v>
      </c>
      <c r="E1171" s="244"/>
      <c r="F1171" s="244">
        <v>8697.0869999999995</v>
      </c>
      <c r="G1171" s="315"/>
      <c r="H1171" s="315">
        <f t="shared" ref="H1171" si="274">PRODUCT(F1171,D1171)</f>
        <v>17394.173999999999</v>
      </c>
      <c r="I1171" s="315">
        <f t="shared" ref="I1171" si="275">SUM(G1171:H1171)</f>
        <v>17394.173999999999</v>
      </c>
    </row>
    <row r="1172" spans="1:9" s="15" customFormat="1" ht="13.8">
      <c r="A1172" s="311" t="s">
        <v>1532</v>
      </c>
      <c r="B1172" s="328" t="s">
        <v>1455</v>
      </c>
      <c r="C1172" s="329" t="s">
        <v>332</v>
      </c>
      <c r="D1172" s="330">
        <v>4</v>
      </c>
      <c r="E1172" s="331"/>
      <c r="F1172" s="331">
        <v>32</v>
      </c>
      <c r="G1172" s="315"/>
      <c r="H1172" s="315">
        <f>PRODUCT(F1172,D1172)</f>
        <v>128</v>
      </c>
      <c r="I1172" s="315">
        <f t="shared" ref="I1172:I1218" si="276">SUM(G1172:H1172)</f>
        <v>128</v>
      </c>
    </row>
    <row r="1173" spans="1:9" s="15" customFormat="1" ht="13.8">
      <c r="A1173" s="311" t="s">
        <v>2639</v>
      </c>
      <c r="B1173" s="328" t="s">
        <v>1447</v>
      </c>
      <c r="C1173" s="329" t="s">
        <v>332</v>
      </c>
      <c r="D1173" s="330">
        <v>2</v>
      </c>
      <c r="E1173" s="244"/>
      <c r="F1173" s="244">
        <v>8624</v>
      </c>
      <c r="G1173" s="315"/>
      <c r="H1173" s="315">
        <f>PRODUCT(F1173,D1173)</f>
        <v>17248</v>
      </c>
      <c r="I1173" s="315">
        <f t="shared" si="276"/>
        <v>17248</v>
      </c>
    </row>
    <row r="1174" spans="1:9" s="15" customFormat="1" ht="13.8">
      <c r="A1174" s="311" t="s">
        <v>1534</v>
      </c>
      <c r="B1174" s="328" t="s">
        <v>2640</v>
      </c>
      <c r="C1174" s="313" t="s">
        <v>25</v>
      </c>
      <c r="D1174" s="315">
        <v>591</v>
      </c>
      <c r="E1174" s="244">
        <v>120</v>
      </c>
      <c r="F1174" s="244"/>
      <c r="G1174" s="315">
        <f>PRODUCT(E1174,D1174)</f>
        <v>70920</v>
      </c>
      <c r="H1174" s="315"/>
      <c r="I1174" s="315">
        <f t="shared" si="276"/>
        <v>70920</v>
      </c>
    </row>
    <row r="1175" spans="1:9" s="15" customFormat="1" ht="13.8">
      <c r="A1175" s="311" t="s">
        <v>1535</v>
      </c>
      <c r="B1175" s="319" t="s">
        <v>2653</v>
      </c>
      <c r="C1175" s="313" t="s">
        <v>25</v>
      </c>
      <c r="D1175" s="315">
        <v>591</v>
      </c>
      <c r="E1175" s="244"/>
      <c r="F1175" s="244">
        <v>95.79</v>
      </c>
      <c r="G1175" s="315"/>
      <c r="H1175" s="315">
        <f>PRODUCT(F1175,D1175)</f>
        <v>56611.890000000007</v>
      </c>
      <c r="I1175" s="315">
        <f t="shared" si="276"/>
        <v>56611.890000000007</v>
      </c>
    </row>
    <row r="1176" spans="1:9" s="15" customFormat="1" ht="13.8">
      <c r="A1176" s="311" t="s">
        <v>2726</v>
      </c>
      <c r="B1176" s="316" t="s">
        <v>1481</v>
      </c>
      <c r="C1176" s="327" t="s">
        <v>332</v>
      </c>
      <c r="D1176" s="320">
        <v>2688</v>
      </c>
      <c r="E1176" s="318"/>
      <c r="F1176" s="318">
        <v>15</v>
      </c>
      <c r="G1176" s="315"/>
      <c r="H1176" s="315">
        <f>PRODUCT(F1176,D1176)</f>
        <v>40320</v>
      </c>
      <c r="I1176" s="315">
        <f t="shared" si="276"/>
        <v>40320</v>
      </c>
    </row>
    <row r="1177" spans="1:9" s="15" customFormat="1" ht="13.8">
      <c r="A1177" s="311" t="s">
        <v>1536</v>
      </c>
      <c r="B1177" s="328" t="s">
        <v>2641</v>
      </c>
      <c r="C1177" s="313" t="s">
        <v>25</v>
      </c>
      <c r="D1177" s="315">
        <v>1407.2</v>
      </c>
      <c r="E1177" s="244">
        <v>120</v>
      </c>
      <c r="F1177" s="244"/>
      <c r="G1177" s="315">
        <f>PRODUCT(E1177,D1177)</f>
        <v>168864</v>
      </c>
      <c r="H1177" s="315"/>
      <c r="I1177" s="315">
        <f t="shared" si="276"/>
        <v>168864</v>
      </c>
    </row>
    <row r="1178" spans="1:9" s="15" customFormat="1" ht="13.8">
      <c r="A1178" s="311" t="s">
        <v>1537</v>
      </c>
      <c r="B1178" s="319" t="s">
        <v>2654</v>
      </c>
      <c r="C1178" s="313" t="s">
        <v>25</v>
      </c>
      <c r="D1178" s="315">
        <v>1407.2</v>
      </c>
      <c r="E1178" s="244"/>
      <c r="F1178" s="244">
        <v>119.7</v>
      </c>
      <c r="G1178" s="315"/>
      <c r="H1178" s="315">
        <f>PRODUCT(F1178,D1178)</f>
        <v>168441.84</v>
      </c>
      <c r="I1178" s="315">
        <f t="shared" si="276"/>
        <v>168441.84</v>
      </c>
    </row>
    <row r="1179" spans="1:9" s="15" customFormat="1" ht="13.8">
      <c r="A1179" s="311" t="s">
        <v>1538</v>
      </c>
      <c r="B1179" s="316" t="s">
        <v>1482</v>
      </c>
      <c r="C1179" s="313" t="s">
        <v>332</v>
      </c>
      <c r="D1179" s="314">
        <v>196</v>
      </c>
      <c r="E1179" s="318"/>
      <c r="F1179" s="318">
        <v>19</v>
      </c>
      <c r="G1179" s="315"/>
      <c r="H1179" s="315">
        <f>PRODUCT(F1179,D1179)</f>
        <v>3724</v>
      </c>
      <c r="I1179" s="315">
        <f t="shared" si="276"/>
        <v>3724</v>
      </c>
    </row>
    <row r="1180" spans="1:9" s="15" customFormat="1" ht="13.8">
      <c r="A1180" s="311" t="s">
        <v>1540</v>
      </c>
      <c r="B1180" s="328" t="s">
        <v>2642</v>
      </c>
      <c r="C1180" s="313" t="s">
        <v>25</v>
      </c>
      <c r="D1180" s="315">
        <v>2584.1</v>
      </c>
      <c r="E1180" s="244">
        <v>120</v>
      </c>
      <c r="F1180" s="244"/>
      <c r="G1180" s="315">
        <f>PRODUCT(E1180,D1180)</f>
        <v>310092</v>
      </c>
      <c r="H1180" s="315"/>
      <c r="I1180" s="315">
        <f t="shared" si="276"/>
        <v>310092</v>
      </c>
    </row>
    <row r="1181" spans="1:9" s="15" customFormat="1" ht="13.8">
      <c r="A1181" s="311" t="s">
        <v>1541</v>
      </c>
      <c r="B1181" s="319" t="s">
        <v>2655</v>
      </c>
      <c r="C1181" s="313" t="s">
        <v>25</v>
      </c>
      <c r="D1181" s="315">
        <v>2584.1</v>
      </c>
      <c r="E1181" s="244"/>
      <c r="F1181" s="244">
        <v>169.5</v>
      </c>
      <c r="G1181" s="315"/>
      <c r="H1181" s="315">
        <f>PRODUCT(F1181,D1181)</f>
        <v>438004.95</v>
      </c>
      <c r="I1181" s="315">
        <f t="shared" si="276"/>
        <v>438004.95</v>
      </c>
    </row>
    <row r="1182" spans="1:9" s="15" customFormat="1" ht="13.8">
      <c r="A1182" s="311" t="s">
        <v>1543</v>
      </c>
      <c r="B1182" s="317" t="s">
        <v>1469</v>
      </c>
      <c r="C1182" s="313" t="s">
        <v>20</v>
      </c>
      <c r="D1182" s="315">
        <v>6</v>
      </c>
      <c r="E1182" s="318"/>
      <c r="F1182" s="318">
        <v>28.98</v>
      </c>
      <c r="G1182" s="315"/>
      <c r="H1182" s="315">
        <f>PRODUCT(F1182,D1182)</f>
        <v>173.88</v>
      </c>
      <c r="I1182" s="315">
        <f t="shared" si="276"/>
        <v>173.88</v>
      </c>
    </row>
    <row r="1183" spans="1:9" s="15" customFormat="1" ht="13.8">
      <c r="A1183" s="311" t="s">
        <v>1545</v>
      </c>
      <c r="B1183" s="316" t="s">
        <v>1483</v>
      </c>
      <c r="C1183" s="313" t="s">
        <v>332</v>
      </c>
      <c r="D1183" s="314">
        <v>148</v>
      </c>
      <c r="E1183" s="318"/>
      <c r="F1183" s="318">
        <v>30</v>
      </c>
      <c r="G1183" s="315"/>
      <c r="H1183" s="315">
        <f>PRODUCT(F1183,D1183)</f>
        <v>4440</v>
      </c>
      <c r="I1183" s="315">
        <f t="shared" si="276"/>
        <v>4440</v>
      </c>
    </row>
    <row r="1184" spans="1:9" s="15" customFormat="1" ht="13.8">
      <c r="A1184" s="311" t="s">
        <v>1547</v>
      </c>
      <c r="B1184" s="328" t="s">
        <v>2643</v>
      </c>
      <c r="C1184" s="313" t="s">
        <v>25</v>
      </c>
      <c r="D1184" s="315">
        <v>128</v>
      </c>
      <c r="E1184" s="244">
        <v>150</v>
      </c>
      <c r="F1184" s="244"/>
      <c r="G1184" s="315">
        <f>PRODUCT(E1184,D1184)</f>
        <v>19200</v>
      </c>
      <c r="H1184" s="315"/>
      <c r="I1184" s="315">
        <f t="shared" si="276"/>
        <v>19200</v>
      </c>
    </row>
    <row r="1185" spans="1:9" s="15" customFormat="1" ht="13.8">
      <c r="A1185" s="311" t="s">
        <v>1548</v>
      </c>
      <c r="B1185" s="319" t="s">
        <v>2656</v>
      </c>
      <c r="C1185" s="313" t="s">
        <v>25</v>
      </c>
      <c r="D1185" s="315">
        <v>128</v>
      </c>
      <c r="E1185" s="244"/>
      <c r="F1185" s="244">
        <v>219.59</v>
      </c>
      <c r="G1185" s="315"/>
      <c r="H1185" s="315">
        <f>PRODUCT(F1185,D1185)</f>
        <v>28107.52</v>
      </c>
      <c r="I1185" s="315">
        <f t="shared" si="276"/>
        <v>28107.52</v>
      </c>
    </row>
    <row r="1186" spans="1:9" s="15" customFormat="1" ht="13.8">
      <c r="A1186" s="311" t="s">
        <v>1550</v>
      </c>
      <c r="B1186" s="317" t="s">
        <v>1461</v>
      </c>
      <c r="C1186" s="313" t="s">
        <v>20</v>
      </c>
      <c r="D1186" s="315">
        <v>15</v>
      </c>
      <c r="E1186" s="318"/>
      <c r="F1186" s="318">
        <v>96</v>
      </c>
      <c r="G1186" s="315"/>
      <c r="H1186" s="315">
        <f>PRODUCT(F1186,D1186)</f>
        <v>1440</v>
      </c>
      <c r="I1186" s="315">
        <f t="shared" si="276"/>
        <v>1440</v>
      </c>
    </row>
    <row r="1187" spans="1:9" s="15" customFormat="1" ht="13.8">
      <c r="A1187" s="311" t="s">
        <v>1552</v>
      </c>
      <c r="B1187" s="317" t="s">
        <v>1476</v>
      </c>
      <c r="C1187" s="313" t="s">
        <v>20</v>
      </c>
      <c r="D1187" s="315">
        <v>2</v>
      </c>
      <c r="E1187" s="318"/>
      <c r="F1187" s="318">
        <v>295</v>
      </c>
      <c r="G1187" s="315"/>
      <c r="H1187" s="315">
        <f>PRODUCT(F1187,D1187)</f>
        <v>590</v>
      </c>
      <c r="I1187" s="315">
        <f t="shared" si="276"/>
        <v>590</v>
      </c>
    </row>
    <row r="1188" spans="1:9" s="15" customFormat="1" ht="13.8">
      <c r="A1188" s="311" t="s">
        <v>1578</v>
      </c>
      <c r="B1188" s="328" t="s">
        <v>2644</v>
      </c>
      <c r="C1188" s="313" t="s">
        <v>25</v>
      </c>
      <c r="D1188" s="315">
        <v>37</v>
      </c>
      <c r="E1188" s="244">
        <v>200</v>
      </c>
      <c r="F1188" s="244"/>
      <c r="G1188" s="315">
        <f>PRODUCT(E1188,D1188)</f>
        <v>7400</v>
      </c>
      <c r="H1188" s="315"/>
      <c r="I1188" s="315">
        <f t="shared" si="276"/>
        <v>7400</v>
      </c>
    </row>
    <row r="1189" spans="1:9" s="15" customFormat="1" ht="13.8">
      <c r="A1189" s="311" t="s">
        <v>1580</v>
      </c>
      <c r="B1189" s="319" t="s">
        <v>2657</v>
      </c>
      <c r="C1189" s="313" t="s">
        <v>25</v>
      </c>
      <c r="D1189" s="315">
        <v>37</v>
      </c>
      <c r="E1189" s="244"/>
      <c r="F1189" s="244">
        <v>270.26</v>
      </c>
      <c r="G1189" s="315"/>
      <c r="H1189" s="315">
        <f t="shared" ref="H1189:H1194" si="277">PRODUCT(F1189,D1189)</f>
        <v>9999.619999999999</v>
      </c>
      <c r="I1189" s="315">
        <f t="shared" si="276"/>
        <v>9999.619999999999</v>
      </c>
    </row>
    <row r="1190" spans="1:9" s="15" customFormat="1" ht="13.8">
      <c r="A1190" s="311" t="s">
        <v>1582</v>
      </c>
      <c r="B1190" s="317" t="s">
        <v>1462</v>
      </c>
      <c r="C1190" s="313" t="s">
        <v>20</v>
      </c>
      <c r="D1190" s="315">
        <v>8</v>
      </c>
      <c r="E1190" s="318"/>
      <c r="F1190" s="318">
        <v>101</v>
      </c>
      <c r="G1190" s="315"/>
      <c r="H1190" s="315">
        <f t="shared" si="277"/>
        <v>808</v>
      </c>
      <c r="I1190" s="315">
        <f t="shared" si="276"/>
        <v>808</v>
      </c>
    </row>
    <row r="1191" spans="1:9" s="15" customFormat="1" ht="13.8">
      <c r="A1191" s="311" t="s">
        <v>1584</v>
      </c>
      <c r="B1191" s="317" t="s">
        <v>1470</v>
      </c>
      <c r="C1191" s="313" t="s">
        <v>332</v>
      </c>
      <c r="D1191" s="315">
        <v>2</v>
      </c>
      <c r="E1191" s="318"/>
      <c r="F1191" s="318">
        <v>42</v>
      </c>
      <c r="G1191" s="315"/>
      <c r="H1191" s="315">
        <f t="shared" si="277"/>
        <v>84</v>
      </c>
      <c r="I1191" s="315">
        <f t="shared" si="276"/>
        <v>84</v>
      </c>
    </row>
    <row r="1192" spans="1:9" s="15" customFormat="1" ht="13.8">
      <c r="A1192" s="311" t="s">
        <v>1585</v>
      </c>
      <c r="B1192" s="317" t="s">
        <v>1471</v>
      </c>
      <c r="C1192" s="313" t="s">
        <v>332</v>
      </c>
      <c r="D1192" s="315">
        <v>4</v>
      </c>
      <c r="E1192" s="318"/>
      <c r="F1192" s="318">
        <v>38</v>
      </c>
      <c r="G1192" s="315"/>
      <c r="H1192" s="315">
        <f t="shared" si="277"/>
        <v>152</v>
      </c>
      <c r="I1192" s="315">
        <f t="shared" si="276"/>
        <v>152</v>
      </c>
    </row>
    <row r="1193" spans="1:9" s="15" customFormat="1" ht="13.8">
      <c r="A1193" s="311" t="s">
        <v>1587</v>
      </c>
      <c r="B1193" s="317" t="s">
        <v>1477</v>
      </c>
      <c r="C1193" s="313" t="s">
        <v>20</v>
      </c>
      <c r="D1193" s="315">
        <v>1</v>
      </c>
      <c r="E1193" s="318"/>
      <c r="F1193" s="318">
        <v>148</v>
      </c>
      <c r="G1193" s="315"/>
      <c r="H1193" s="315">
        <f t="shared" si="277"/>
        <v>148</v>
      </c>
      <c r="I1193" s="315">
        <f t="shared" si="276"/>
        <v>148</v>
      </c>
    </row>
    <row r="1194" spans="1:9" s="15" customFormat="1" ht="13.8">
      <c r="A1194" s="311" t="s">
        <v>1589</v>
      </c>
      <c r="B1194" s="316" t="s">
        <v>1484</v>
      </c>
      <c r="C1194" s="313" t="s">
        <v>332</v>
      </c>
      <c r="D1194" s="314">
        <v>4</v>
      </c>
      <c r="E1194" s="318"/>
      <c r="F1194" s="318">
        <v>35</v>
      </c>
      <c r="G1194" s="315"/>
      <c r="H1194" s="315">
        <f t="shared" si="277"/>
        <v>140</v>
      </c>
      <c r="I1194" s="315">
        <f t="shared" si="276"/>
        <v>140</v>
      </c>
    </row>
    <row r="1195" spans="1:9" s="15" customFormat="1" ht="13.8">
      <c r="A1195" s="311" t="s">
        <v>2649</v>
      </c>
      <c r="B1195" s="328" t="s">
        <v>2645</v>
      </c>
      <c r="C1195" s="313" t="s">
        <v>25</v>
      </c>
      <c r="D1195" s="315">
        <v>408</v>
      </c>
      <c r="E1195" s="244">
        <v>250</v>
      </c>
      <c r="F1195" s="244"/>
      <c r="G1195" s="315">
        <f>PRODUCT(E1195,D1195)</f>
        <v>102000</v>
      </c>
      <c r="H1195" s="315"/>
      <c r="I1195" s="315">
        <f t="shared" si="276"/>
        <v>102000</v>
      </c>
    </row>
    <row r="1196" spans="1:9" s="15" customFormat="1" ht="13.8">
      <c r="A1196" s="311" t="s">
        <v>2728</v>
      </c>
      <c r="B1196" s="319" t="s">
        <v>2658</v>
      </c>
      <c r="C1196" s="313" t="s">
        <v>25</v>
      </c>
      <c r="D1196" s="315">
        <v>408</v>
      </c>
      <c r="E1196" s="244"/>
      <c r="F1196" s="244">
        <v>318.95</v>
      </c>
      <c r="G1196" s="315"/>
      <c r="H1196" s="315">
        <f t="shared" ref="H1196:H1201" si="278">PRODUCT(F1196,D1196)</f>
        <v>130131.59999999999</v>
      </c>
      <c r="I1196" s="315">
        <f t="shared" si="276"/>
        <v>130131.59999999999</v>
      </c>
    </row>
    <row r="1197" spans="1:9" s="15" customFormat="1" ht="13.8">
      <c r="A1197" s="311" t="s">
        <v>2731</v>
      </c>
      <c r="B1197" s="317" t="s">
        <v>1463</v>
      </c>
      <c r="C1197" s="313" t="s">
        <v>20</v>
      </c>
      <c r="D1197" s="315">
        <v>38</v>
      </c>
      <c r="E1197" s="318"/>
      <c r="F1197" s="318">
        <v>84</v>
      </c>
      <c r="G1197" s="315"/>
      <c r="H1197" s="315">
        <f t="shared" si="278"/>
        <v>3192</v>
      </c>
      <c r="I1197" s="315">
        <f t="shared" si="276"/>
        <v>3192</v>
      </c>
    </row>
    <row r="1198" spans="1:9" s="15" customFormat="1" ht="13.8">
      <c r="A1198" s="311" t="s">
        <v>2729</v>
      </c>
      <c r="B1198" s="317" t="s">
        <v>1464</v>
      </c>
      <c r="C1198" s="313" t="s">
        <v>20</v>
      </c>
      <c r="D1198" s="315">
        <v>4</v>
      </c>
      <c r="E1198" s="318"/>
      <c r="F1198" s="318">
        <v>98.73</v>
      </c>
      <c r="G1198" s="315"/>
      <c r="H1198" s="315">
        <f t="shared" si="278"/>
        <v>394.92</v>
      </c>
      <c r="I1198" s="315">
        <f t="shared" si="276"/>
        <v>394.92</v>
      </c>
    </row>
    <row r="1199" spans="1:9" s="15" customFormat="1" ht="13.8">
      <c r="A1199" s="311" t="s">
        <v>2732</v>
      </c>
      <c r="B1199" s="317" t="s">
        <v>1472</v>
      </c>
      <c r="C1199" s="313" t="s">
        <v>20</v>
      </c>
      <c r="D1199" s="315">
        <v>10</v>
      </c>
      <c r="E1199" s="318"/>
      <c r="F1199" s="318">
        <v>56</v>
      </c>
      <c r="G1199" s="315"/>
      <c r="H1199" s="315">
        <f t="shared" si="278"/>
        <v>560</v>
      </c>
      <c r="I1199" s="315">
        <f t="shared" si="276"/>
        <v>560</v>
      </c>
    </row>
    <row r="1200" spans="1:9" s="15" customFormat="1" ht="13.8">
      <c r="A1200" s="311" t="s">
        <v>2730</v>
      </c>
      <c r="B1200" s="317" t="s">
        <v>1402</v>
      </c>
      <c r="C1200" s="313" t="s">
        <v>20</v>
      </c>
      <c r="D1200" s="315">
        <v>1</v>
      </c>
      <c r="E1200" s="318"/>
      <c r="F1200" s="318">
        <v>181</v>
      </c>
      <c r="G1200" s="315"/>
      <c r="H1200" s="315">
        <f t="shared" si="278"/>
        <v>181</v>
      </c>
      <c r="I1200" s="315">
        <f t="shared" si="276"/>
        <v>181</v>
      </c>
    </row>
    <row r="1201" spans="1:9" s="15" customFormat="1" ht="13.8">
      <c r="A1201" s="311" t="s">
        <v>2733</v>
      </c>
      <c r="B1201" s="316" t="s">
        <v>1400</v>
      </c>
      <c r="C1201" s="313" t="s">
        <v>332</v>
      </c>
      <c r="D1201" s="314">
        <v>8</v>
      </c>
      <c r="E1201" s="318"/>
      <c r="F1201" s="318">
        <v>42</v>
      </c>
      <c r="G1201" s="315"/>
      <c r="H1201" s="315">
        <f t="shared" si="278"/>
        <v>336</v>
      </c>
      <c r="I1201" s="315">
        <f t="shared" si="276"/>
        <v>336</v>
      </c>
    </row>
    <row r="1202" spans="1:9" s="15" customFormat="1" ht="13.8">
      <c r="A1202" s="311" t="s">
        <v>2650</v>
      </c>
      <c r="B1202" s="328" t="s">
        <v>2646</v>
      </c>
      <c r="C1202" s="313" t="s">
        <v>25</v>
      </c>
      <c r="D1202" s="315">
        <v>503</v>
      </c>
      <c r="E1202" s="244">
        <v>250</v>
      </c>
      <c r="F1202" s="244"/>
      <c r="G1202" s="315">
        <f>PRODUCT(E1202,D1202)</f>
        <v>125750</v>
      </c>
      <c r="H1202" s="315"/>
      <c r="I1202" s="315">
        <f t="shared" si="276"/>
        <v>125750</v>
      </c>
    </row>
    <row r="1203" spans="1:9" s="15" customFormat="1" ht="13.8">
      <c r="A1203" s="311" t="s">
        <v>2727</v>
      </c>
      <c r="B1203" s="319" t="s">
        <v>2659</v>
      </c>
      <c r="C1203" s="313" t="s">
        <v>25</v>
      </c>
      <c r="D1203" s="315">
        <v>503</v>
      </c>
      <c r="E1203" s="244"/>
      <c r="F1203" s="244">
        <v>432.13</v>
      </c>
      <c r="G1203" s="315"/>
      <c r="H1203" s="315">
        <f>PRODUCT(F1203,D1203)</f>
        <v>217361.38999999998</v>
      </c>
      <c r="I1203" s="315">
        <f t="shared" si="276"/>
        <v>217361.38999999998</v>
      </c>
    </row>
    <row r="1204" spans="1:9" s="15" customFormat="1" ht="13.8">
      <c r="A1204" s="311" t="s">
        <v>2736</v>
      </c>
      <c r="B1204" s="317" t="s">
        <v>1465</v>
      </c>
      <c r="C1204" s="313" t="s">
        <v>20</v>
      </c>
      <c r="D1204" s="315">
        <v>54</v>
      </c>
      <c r="E1204" s="318"/>
      <c r="F1204" s="318">
        <v>234</v>
      </c>
      <c r="G1204" s="315"/>
      <c r="H1204" s="315">
        <f>PRODUCT(F1204,D1204)</f>
        <v>12636</v>
      </c>
      <c r="I1204" s="315">
        <f t="shared" si="276"/>
        <v>12636</v>
      </c>
    </row>
    <row r="1205" spans="1:9" s="15" customFormat="1" ht="13.8">
      <c r="A1205" s="311" t="s">
        <v>2737</v>
      </c>
      <c r="B1205" s="317" t="s">
        <v>1466</v>
      </c>
      <c r="C1205" s="313" t="s">
        <v>20</v>
      </c>
      <c r="D1205" s="315">
        <v>4</v>
      </c>
      <c r="E1205" s="318"/>
      <c r="F1205" s="244">
        <v>187.96</v>
      </c>
      <c r="G1205" s="315"/>
      <c r="H1205" s="315">
        <f>PRODUCT(F1205,D1205)</f>
        <v>751.84</v>
      </c>
      <c r="I1205" s="315">
        <f t="shared" si="276"/>
        <v>751.84</v>
      </c>
    </row>
    <row r="1206" spans="1:9" s="15" customFormat="1" ht="13.8">
      <c r="A1206" s="311" t="s">
        <v>2735</v>
      </c>
      <c r="B1206" s="317" t="s">
        <v>1473</v>
      </c>
      <c r="C1206" s="313" t="s">
        <v>20</v>
      </c>
      <c r="D1206" s="315">
        <v>13</v>
      </c>
      <c r="E1206" s="318"/>
      <c r="F1206" s="318">
        <v>99</v>
      </c>
      <c r="G1206" s="315"/>
      <c r="H1206" s="315">
        <f>PRODUCT(F1206,D1206)</f>
        <v>1287</v>
      </c>
      <c r="I1206" s="315">
        <f t="shared" si="276"/>
        <v>1287</v>
      </c>
    </row>
    <row r="1207" spans="1:9" s="15" customFormat="1" ht="13.8">
      <c r="A1207" s="311" t="s">
        <v>2734</v>
      </c>
      <c r="B1207" s="317" t="s">
        <v>1478</v>
      </c>
      <c r="C1207" s="313" t="s">
        <v>20</v>
      </c>
      <c r="D1207" s="315">
        <v>7</v>
      </c>
      <c r="E1207" s="318"/>
      <c r="F1207" s="318">
        <v>315</v>
      </c>
      <c r="G1207" s="315"/>
      <c r="H1207" s="315">
        <f>PRODUCT(F1207,D1207)</f>
        <v>2205</v>
      </c>
      <c r="I1207" s="315">
        <f t="shared" si="276"/>
        <v>2205</v>
      </c>
    </row>
    <row r="1208" spans="1:9" s="15" customFormat="1" ht="13.8">
      <c r="A1208" s="311" t="s">
        <v>2651</v>
      </c>
      <c r="B1208" s="328" t="s">
        <v>2647</v>
      </c>
      <c r="C1208" s="313" t="s">
        <v>25</v>
      </c>
      <c r="D1208" s="315">
        <v>82.1</v>
      </c>
      <c r="E1208" s="244">
        <v>300</v>
      </c>
      <c r="F1208" s="244"/>
      <c r="G1208" s="315">
        <f>PRODUCT(E1208,D1208)</f>
        <v>24630</v>
      </c>
      <c r="H1208" s="315"/>
      <c r="I1208" s="315">
        <f t="shared" si="276"/>
        <v>24630</v>
      </c>
    </row>
    <row r="1209" spans="1:9" s="15" customFormat="1" ht="13.8">
      <c r="A1209" s="311" t="s">
        <v>2738</v>
      </c>
      <c r="B1209" s="319" t="s">
        <v>2660</v>
      </c>
      <c r="C1209" s="313" t="s">
        <v>25</v>
      </c>
      <c r="D1209" s="315">
        <v>82.1</v>
      </c>
      <c r="E1209" s="244"/>
      <c r="F1209" s="244">
        <v>509.14</v>
      </c>
      <c r="G1209" s="315"/>
      <c r="H1209" s="315">
        <f>PRODUCT(F1209,D1209)</f>
        <v>41800.393999999993</v>
      </c>
      <c r="I1209" s="315">
        <f t="shared" si="276"/>
        <v>41800.393999999993</v>
      </c>
    </row>
    <row r="1210" spans="1:9" s="15" customFormat="1" ht="13.8">
      <c r="A1210" s="311" t="s">
        <v>2739</v>
      </c>
      <c r="B1210" s="317" t="s">
        <v>1467</v>
      </c>
      <c r="C1210" s="313" t="s">
        <v>20</v>
      </c>
      <c r="D1210" s="315">
        <v>33</v>
      </c>
      <c r="E1210" s="318"/>
      <c r="F1210" s="318">
        <v>298</v>
      </c>
      <c r="G1210" s="315"/>
      <c r="H1210" s="315">
        <f>PRODUCT(F1210,D1210)</f>
        <v>9834</v>
      </c>
      <c r="I1210" s="315">
        <f t="shared" si="276"/>
        <v>9834</v>
      </c>
    </row>
    <row r="1211" spans="1:9" s="15" customFormat="1" ht="13.8">
      <c r="A1211" s="311" t="s">
        <v>2740</v>
      </c>
      <c r="B1211" s="317" t="s">
        <v>1475</v>
      </c>
      <c r="C1211" s="313" t="s">
        <v>20</v>
      </c>
      <c r="D1211" s="315">
        <v>6</v>
      </c>
      <c r="E1211" s="318"/>
      <c r="F1211" s="318">
        <v>138</v>
      </c>
      <c r="G1211" s="315"/>
      <c r="H1211" s="315">
        <f>PRODUCT(F1211,D1211)</f>
        <v>828</v>
      </c>
      <c r="I1211" s="315">
        <f t="shared" si="276"/>
        <v>828</v>
      </c>
    </row>
    <row r="1212" spans="1:9" s="15" customFormat="1" ht="13.8">
      <c r="A1212" s="311" t="s">
        <v>2741</v>
      </c>
      <c r="B1212" s="317" t="s">
        <v>1479</v>
      </c>
      <c r="C1212" s="313" t="s">
        <v>20</v>
      </c>
      <c r="D1212" s="315">
        <v>5</v>
      </c>
      <c r="E1212" s="318"/>
      <c r="F1212" s="318">
        <v>420</v>
      </c>
      <c r="G1212" s="315"/>
      <c r="H1212" s="315">
        <f>PRODUCT(F1212,D1212)</f>
        <v>2100</v>
      </c>
      <c r="I1212" s="315">
        <f t="shared" si="276"/>
        <v>2100</v>
      </c>
    </row>
    <row r="1213" spans="1:9" s="15" customFormat="1" ht="13.8">
      <c r="A1213" s="311" t="s">
        <v>2652</v>
      </c>
      <c r="B1213" s="328" t="s">
        <v>2648</v>
      </c>
      <c r="C1213" s="313" t="s">
        <v>25</v>
      </c>
      <c r="D1213" s="315">
        <v>47</v>
      </c>
      <c r="E1213" s="244">
        <v>350</v>
      </c>
      <c r="F1213" s="244"/>
      <c r="G1213" s="315">
        <f>PRODUCT(E1213,D1213)</f>
        <v>16450</v>
      </c>
      <c r="H1213" s="315"/>
      <c r="I1213" s="315">
        <f t="shared" si="276"/>
        <v>16450</v>
      </c>
    </row>
    <row r="1214" spans="1:9" s="15" customFormat="1" ht="13.8">
      <c r="A1214" s="311" t="s">
        <v>2742</v>
      </c>
      <c r="B1214" s="319" t="s">
        <v>2665</v>
      </c>
      <c r="C1214" s="313" t="s">
        <v>25</v>
      </c>
      <c r="D1214" s="315">
        <v>47</v>
      </c>
      <c r="E1214" s="244"/>
      <c r="F1214" s="244">
        <v>622.75</v>
      </c>
      <c r="G1214" s="315"/>
      <c r="H1214" s="315">
        <f>PRODUCT(F1214,D1214)</f>
        <v>29269.25</v>
      </c>
      <c r="I1214" s="315">
        <f t="shared" si="276"/>
        <v>29269.25</v>
      </c>
    </row>
    <row r="1215" spans="1:9" s="15" customFormat="1" ht="13.8">
      <c r="A1215" s="311" t="s">
        <v>2743</v>
      </c>
      <c r="B1215" s="317" t="s">
        <v>1468</v>
      </c>
      <c r="C1215" s="313" t="s">
        <v>20</v>
      </c>
      <c r="D1215" s="315">
        <v>14</v>
      </c>
      <c r="E1215" s="318"/>
      <c r="F1215" s="318">
        <v>409.5</v>
      </c>
      <c r="G1215" s="315"/>
      <c r="H1215" s="315">
        <f>PRODUCT(F1215,D1215)</f>
        <v>5733</v>
      </c>
      <c r="I1215" s="315">
        <f t="shared" si="276"/>
        <v>5733</v>
      </c>
    </row>
    <row r="1216" spans="1:9" s="15" customFormat="1" ht="13.8">
      <c r="A1216" s="311" t="s">
        <v>2744</v>
      </c>
      <c r="B1216" s="317" t="s">
        <v>1474</v>
      </c>
      <c r="C1216" s="313" t="s">
        <v>20</v>
      </c>
      <c r="D1216" s="315">
        <v>4</v>
      </c>
      <c r="E1216" s="318"/>
      <c r="F1216" s="318">
        <v>202</v>
      </c>
      <c r="G1216" s="315"/>
      <c r="H1216" s="315">
        <f>PRODUCT(F1216,D1216)</f>
        <v>808</v>
      </c>
      <c r="I1216" s="315">
        <f t="shared" si="276"/>
        <v>808</v>
      </c>
    </row>
    <row r="1217" spans="1:9" s="15" customFormat="1" ht="13.8">
      <c r="A1217" s="311" t="s">
        <v>2745</v>
      </c>
      <c r="B1217" s="317" t="s">
        <v>1480</v>
      </c>
      <c r="C1217" s="313" t="s">
        <v>20</v>
      </c>
      <c r="D1217" s="315">
        <v>6</v>
      </c>
      <c r="E1217" s="318"/>
      <c r="F1217" s="318">
        <v>591.46</v>
      </c>
      <c r="G1217" s="315"/>
      <c r="H1217" s="315">
        <f>PRODUCT(F1217,D1217)</f>
        <v>3548.76</v>
      </c>
      <c r="I1217" s="315">
        <f t="shared" si="276"/>
        <v>3548.76</v>
      </c>
    </row>
    <row r="1218" spans="1:9" s="15" customFormat="1" ht="13.8">
      <c r="A1218" s="311" t="s">
        <v>2662</v>
      </c>
      <c r="B1218" s="317" t="s">
        <v>2661</v>
      </c>
      <c r="C1218" s="313" t="s">
        <v>20</v>
      </c>
      <c r="D1218" s="519">
        <v>341</v>
      </c>
      <c r="E1218" s="318">
        <v>60</v>
      </c>
      <c r="F1218" s="310"/>
      <c r="G1218" s="315">
        <f>PRODUCT(E1218,D1218)</f>
        <v>20460</v>
      </c>
      <c r="H1218" s="315"/>
      <c r="I1218" s="315">
        <f t="shared" si="276"/>
        <v>20460</v>
      </c>
    </row>
    <row r="1219" spans="1:9" s="15" customFormat="1" ht="13.8">
      <c r="A1219" s="311" t="s">
        <v>2663</v>
      </c>
      <c r="B1219" s="317" t="s">
        <v>1459</v>
      </c>
      <c r="C1219" s="313" t="s">
        <v>25</v>
      </c>
      <c r="D1219" s="314">
        <v>1</v>
      </c>
      <c r="E1219" s="318"/>
      <c r="F1219" s="318">
        <v>987.36</v>
      </c>
      <c r="G1219" s="315"/>
      <c r="H1219" s="315">
        <f t="shared" ref="H1219:H1233" si="279">PRODUCT(F1219,D1219)</f>
        <v>987.36</v>
      </c>
      <c r="I1219" s="315">
        <f t="shared" ref="I1219:I1233" si="280">SUM(G1219:H1219)</f>
        <v>987.36</v>
      </c>
    </row>
    <row r="1220" spans="1:9" s="15" customFormat="1" ht="13.8">
      <c r="A1220" s="311" t="s">
        <v>2664</v>
      </c>
      <c r="B1220" s="317" t="s">
        <v>1460</v>
      </c>
      <c r="C1220" s="313" t="s">
        <v>25</v>
      </c>
      <c r="D1220" s="314">
        <v>340</v>
      </c>
      <c r="E1220" s="318"/>
      <c r="F1220" s="244">
        <v>318.95</v>
      </c>
      <c r="G1220" s="315"/>
      <c r="H1220" s="315">
        <f>PRODUCT(F1220,D1220)</f>
        <v>108443</v>
      </c>
      <c r="I1220" s="315">
        <f>SUM(G1220:H1220)</f>
        <v>108443</v>
      </c>
    </row>
    <row r="1221" spans="1:9" s="15" customFormat="1" ht="13.8">
      <c r="A1221" s="311" t="s">
        <v>2666</v>
      </c>
      <c r="B1221" s="317" t="s">
        <v>2669</v>
      </c>
      <c r="C1221" s="313" t="s">
        <v>20</v>
      </c>
      <c r="D1221" s="314">
        <v>2</v>
      </c>
      <c r="E1221" s="318">
        <v>1500</v>
      </c>
      <c r="F1221" s="318"/>
      <c r="G1221" s="315">
        <f>PRODUCT(E1221,D1221)</f>
        <v>3000</v>
      </c>
      <c r="H1221" s="315"/>
      <c r="I1221" s="315">
        <f>SUM(G1221:H1221)</f>
        <v>3000</v>
      </c>
    </row>
    <row r="1222" spans="1:9" s="15" customFormat="1" ht="27.6">
      <c r="A1222" s="311" t="s">
        <v>2667</v>
      </c>
      <c r="B1222" s="317" t="s">
        <v>1485</v>
      </c>
      <c r="C1222" s="313" t="s">
        <v>20</v>
      </c>
      <c r="D1222" s="314">
        <v>2</v>
      </c>
      <c r="E1222" s="318"/>
      <c r="F1222" s="318">
        <v>11880</v>
      </c>
      <c r="G1222" s="315"/>
      <c r="H1222" s="315">
        <f t="shared" si="279"/>
        <v>23760</v>
      </c>
      <c r="I1222" s="315">
        <f t="shared" si="280"/>
        <v>23760</v>
      </c>
    </row>
    <row r="1223" spans="1:9" s="15" customFormat="1" ht="13.8">
      <c r="A1223" s="311" t="s">
        <v>2668</v>
      </c>
      <c r="B1223" s="317" t="s">
        <v>1486</v>
      </c>
      <c r="C1223" s="313" t="s">
        <v>20</v>
      </c>
      <c r="D1223" s="314">
        <v>1</v>
      </c>
      <c r="E1223" s="318"/>
      <c r="F1223" s="318">
        <v>23</v>
      </c>
      <c r="G1223" s="315"/>
      <c r="H1223" s="315">
        <f t="shared" si="279"/>
        <v>23</v>
      </c>
      <c r="I1223" s="315">
        <f t="shared" si="280"/>
        <v>23</v>
      </c>
    </row>
    <row r="1224" spans="1:9" s="15" customFormat="1" ht="13.8">
      <c r="A1224" s="311" t="s">
        <v>2670</v>
      </c>
      <c r="B1224" s="317" t="s">
        <v>1492</v>
      </c>
      <c r="C1224" s="313" t="s">
        <v>25</v>
      </c>
      <c r="D1224" s="314">
        <f>SUM(D1225:D1226)</f>
        <v>20</v>
      </c>
      <c r="E1224" s="318">
        <v>175</v>
      </c>
      <c r="F1224" s="318"/>
      <c r="G1224" s="315">
        <f>PRODUCT(E1224,D1224)</f>
        <v>3500</v>
      </c>
      <c r="H1224" s="315"/>
      <c r="I1224" s="315">
        <f>SUM(G1224:H1224)</f>
        <v>3500</v>
      </c>
    </row>
    <row r="1225" spans="1:9" s="15" customFormat="1" ht="13.8">
      <c r="A1225" s="311" t="s">
        <v>2671</v>
      </c>
      <c r="B1225" s="319" t="s">
        <v>1494</v>
      </c>
      <c r="C1225" s="313" t="s">
        <v>25</v>
      </c>
      <c r="D1225" s="314">
        <v>10</v>
      </c>
      <c r="E1225" s="244"/>
      <c r="F1225" s="244">
        <v>70</v>
      </c>
      <c r="G1225" s="315"/>
      <c r="H1225" s="315">
        <f t="shared" ref="H1225:H1226" si="281">PRODUCT(F1225,D1225)</f>
        <v>700</v>
      </c>
      <c r="I1225" s="315">
        <f>SUM(G1225:H1225)</f>
        <v>700</v>
      </c>
    </row>
    <row r="1226" spans="1:9" s="15" customFormat="1" ht="13.8">
      <c r="A1226" s="311" t="s">
        <v>2672</v>
      </c>
      <c r="B1226" s="319" t="s">
        <v>1496</v>
      </c>
      <c r="C1226" s="313" t="s">
        <v>25</v>
      </c>
      <c r="D1226" s="314">
        <v>10</v>
      </c>
      <c r="E1226" s="244"/>
      <c r="F1226" s="244">
        <v>29</v>
      </c>
      <c r="G1226" s="315"/>
      <c r="H1226" s="315">
        <f t="shared" si="281"/>
        <v>290</v>
      </c>
      <c r="I1226" s="315">
        <f>SUM(G1226:H1226)</f>
        <v>290</v>
      </c>
    </row>
    <row r="1227" spans="1:9" s="15" customFormat="1" ht="13.8">
      <c r="A1227" s="311" t="s">
        <v>2673</v>
      </c>
      <c r="B1227" s="326" t="s">
        <v>1196</v>
      </c>
      <c r="C1227" s="313"/>
      <c r="D1227" s="314"/>
      <c r="E1227" s="318"/>
      <c r="F1227" s="318"/>
      <c r="G1227" s="315"/>
      <c r="H1227" s="315"/>
      <c r="I1227" s="315"/>
    </row>
    <row r="1228" spans="1:9" s="15" customFormat="1" ht="13.8">
      <c r="A1228" s="311" t="s">
        <v>2674</v>
      </c>
      <c r="B1228" s="325" t="s">
        <v>1487</v>
      </c>
      <c r="C1228" s="313" t="s">
        <v>20</v>
      </c>
      <c r="D1228" s="314">
        <v>320</v>
      </c>
      <c r="E1228" s="318"/>
      <c r="F1228" s="318">
        <v>128</v>
      </c>
      <c r="G1228" s="315"/>
      <c r="H1228" s="315">
        <f t="shared" si="279"/>
        <v>40960</v>
      </c>
      <c r="I1228" s="315">
        <f t="shared" si="280"/>
        <v>40960</v>
      </c>
    </row>
    <row r="1229" spans="1:9" s="15" customFormat="1" ht="13.8">
      <c r="A1229" s="311" t="s">
        <v>2675</v>
      </c>
      <c r="B1229" s="325" t="s">
        <v>1488</v>
      </c>
      <c r="C1229" s="313" t="s">
        <v>20</v>
      </c>
      <c r="D1229" s="314">
        <v>640</v>
      </c>
      <c r="E1229" s="318"/>
      <c r="F1229" s="318">
        <v>2.9</v>
      </c>
      <c r="G1229" s="315"/>
      <c r="H1229" s="315">
        <f t="shared" si="279"/>
        <v>1856</v>
      </c>
      <c r="I1229" s="315">
        <f t="shared" si="280"/>
        <v>1856</v>
      </c>
    </row>
    <row r="1230" spans="1:9" s="15" customFormat="1" ht="13.8">
      <c r="A1230" s="311" t="s">
        <v>2676</v>
      </c>
      <c r="B1230" s="325" t="s">
        <v>1489</v>
      </c>
      <c r="C1230" s="313" t="s">
        <v>20</v>
      </c>
      <c r="D1230" s="314">
        <v>320</v>
      </c>
      <c r="E1230" s="318"/>
      <c r="F1230" s="318">
        <v>60.23</v>
      </c>
      <c r="G1230" s="315"/>
      <c r="H1230" s="315">
        <f t="shared" si="279"/>
        <v>19273.599999999999</v>
      </c>
      <c r="I1230" s="315">
        <f t="shared" si="280"/>
        <v>19273.599999999999</v>
      </c>
    </row>
    <row r="1231" spans="1:9" s="15" customFormat="1" ht="13.8">
      <c r="A1231" s="311" t="s">
        <v>2677</v>
      </c>
      <c r="B1231" s="325" t="s">
        <v>1490</v>
      </c>
      <c r="C1231" s="313" t="s">
        <v>20</v>
      </c>
      <c r="D1231" s="314">
        <v>10</v>
      </c>
      <c r="E1231" s="318"/>
      <c r="F1231" s="318">
        <v>506</v>
      </c>
      <c r="G1231" s="315"/>
      <c r="H1231" s="315">
        <f t="shared" si="279"/>
        <v>5060</v>
      </c>
      <c r="I1231" s="315">
        <f t="shared" si="280"/>
        <v>5060</v>
      </c>
    </row>
    <row r="1232" spans="1:9" s="15" customFormat="1" ht="13.8">
      <c r="A1232" s="311" t="s">
        <v>2678</v>
      </c>
      <c r="B1232" s="332" t="s">
        <v>1193</v>
      </c>
      <c r="C1232" s="333" t="s">
        <v>125</v>
      </c>
      <c r="D1232" s="334">
        <v>150</v>
      </c>
      <c r="E1232" s="318"/>
      <c r="F1232" s="318">
        <v>113.4</v>
      </c>
      <c r="G1232" s="315"/>
      <c r="H1232" s="315">
        <f t="shared" si="279"/>
        <v>17010</v>
      </c>
      <c r="I1232" s="315">
        <f t="shared" si="280"/>
        <v>17010</v>
      </c>
    </row>
    <row r="1233" spans="1:9" s="15" customFormat="1" ht="13.8">
      <c r="A1233" s="311" t="s">
        <v>2679</v>
      </c>
      <c r="B1233" s="332" t="s">
        <v>1194</v>
      </c>
      <c r="C1233" s="333" t="s">
        <v>125</v>
      </c>
      <c r="D1233" s="334">
        <v>3</v>
      </c>
      <c r="E1233" s="318"/>
      <c r="F1233" s="318">
        <v>660</v>
      </c>
      <c r="G1233" s="315"/>
      <c r="H1233" s="315">
        <f t="shared" si="279"/>
        <v>1980</v>
      </c>
      <c r="I1233" s="315">
        <f t="shared" si="280"/>
        <v>1980</v>
      </c>
    </row>
    <row r="1234" spans="1:9" s="15" customFormat="1" ht="13.8">
      <c r="A1234" s="311" t="s">
        <v>2680</v>
      </c>
      <c r="B1234" s="326" t="s">
        <v>1499</v>
      </c>
      <c r="C1234" s="520" t="s">
        <v>20</v>
      </c>
      <c r="D1234" s="521">
        <v>200</v>
      </c>
      <c r="E1234" s="244">
        <v>300</v>
      </c>
      <c r="F1234" s="244"/>
      <c r="G1234" s="260">
        <f t="shared" ref="G1234" si="282">D1234*E1234</f>
        <v>60000</v>
      </c>
      <c r="H1234" s="260"/>
      <c r="I1234" s="260">
        <f t="shared" ref="I1234:I1247" si="283">G1234+H1234</f>
        <v>60000</v>
      </c>
    </row>
    <row r="1235" spans="1:9" s="15" customFormat="1" ht="13.8">
      <c r="A1235" s="311" t="s">
        <v>2681</v>
      </c>
      <c r="B1235" s="317" t="s">
        <v>1187</v>
      </c>
      <c r="C1235" s="313" t="s">
        <v>20</v>
      </c>
      <c r="D1235" s="314">
        <v>400</v>
      </c>
      <c r="E1235" s="318"/>
      <c r="F1235" s="318">
        <v>14</v>
      </c>
      <c r="G1235" s="315"/>
      <c r="H1235" s="315">
        <f>PRODUCT(F1235,D1235)</f>
        <v>5600</v>
      </c>
      <c r="I1235" s="315">
        <f>SUM(G1235:H1235)</f>
        <v>5600</v>
      </c>
    </row>
    <row r="1236" spans="1:9" s="15" customFormat="1" ht="13.8">
      <c r="A1236" s="311" t="s">
        <v>2682</v>
      </c>
      <c r="B1236" s="250" t="s">
        <v>1206</v>
      </c>
      <c r="C1236" s="251" t="s">
        <v>332</v>
      </c>
      <c r="D1236" s="258">
        <v>400</v>
      </c>
      <c r="E1236" s="244"/>
      <c r="F1236" s="259">
        <v>51.864406779661003</v>
      </c>
      <c r="G1236" s="260"/>
      <c r="H1236" s="260">
        <f t="shared" ref="H1236:H1245" si="284">D1236*F1236</f>
        <v>20745.762711864401</v>
      </c>
      <c r="I1236" s="260">
        <f t="shared" si="283"/>
        <v>20745.762711864401</v>
      </c>
    </row>
    <row r="1237" spans="1:9" s="15" customFormat="1" ht="13.8">
      <c r="A1237" s="311" t="s">
        <v>2683</v>
      </c>
      <c r="B1237" s="262" t="s">
        <v>772</v>
      </c>
      <c r="C1237" s="251" t="s">
        <v>1190</v>
      </c>
      <c r="D1237" s="263">
        <v>0.23200000000000001</v>
      </c>
      <c r="E1237" s="244"/>
      <c r="F1237" s="244">
        <v>40200</v>
      </c>
      <c r="G1237" s="260"/>
      <c r="H1237" s="260">
        <f t="shared" si="284"/>
        <v>9326.4</v>
      </c>
      <c r="I1237" s="260">
        <f t="shared" si="283"/>
        <v>9326.4</v>
      </c>
    </row>
    <row r="1238" spans="1:9" s="15" customFormat="1" ht="13.8">
      <c r="A1238" s="311" t="s">
        <v>2684</v>
      </c>
      <c r="B1238" s="262" t="s">
        <v>1207</v>
      </c>
      <c r="C1238" s="251" t="s">
        <v>332</v>
      </c>
      <c r="D1238" s="263">
        <v>800</v>
      </c>
      <c r="E1238" s="244"/>
      <c r="F1238" s="244">
        <v>5.62</v>
      </c>
      <c r="G1238" s="260"/>
      <c r="H1238" s="260">
        <f t="shared" si="284"/>
        <v>4496</v>
      </c>
      <c r="I1238" s="260">
        <f t="shared" si="283"/>
        <v>4496</v>
      </c>
    </row>
    <row r="1239" spans="1:9" s="15" customFormat="1" ht="13.8">
      <c r="A1239" s="311" t="s">
        <v>2685</v>
      </c>
      <c r="B1239" s="264" t="s">
        <v>1208</v>
      </c>
      <c r="C1239" s="265" t="s">
        <v>332</v>
      </c>
      <c r="D1239" s="266">
        <v>800</v>
      </c>
      <c r="E1239" s="244"/>
      <c r="F1239" s="267">
        <v>1.32</v>
      </c>
      <c r="G1239" s="260"/>
      <c r="H1239" s="260">
        <f t="shared" si="284"/>
        <v>1056</v>
      </c>
      <c r="I1239" s="260">
        <f t="shared" si="283"/>
        <v>1056</v>
      </c>
    </row>
    <row r="1240" spans="1:9" s="16" customFormat="1" ht="13.8">
      <c r="A1240" s="311" t="s">
        <v>2686</v>
      </c>
      <c r="B1240" s="250" t="s">
        <v>1500</v>
      </c>
      <c r="C1240" s="339" t="s">
        <v>20</v>
      </c>
      <c r="D1240" s="335">
        <v>65</v>
      </c>
      <c r="E1240" s="244">
        <v>400</v>
      </c>
      <c r="F1240" s="244"/>
      <c r="G1240" s="260">
        <f t="shared" ref="G1240:G1246" si="285">D1240*E1240</f>
        <v>26000</v>
      </c>
      <c r="H1240" s="260"/>
      <c r="I1240" s="260">
        <f t="shared" si="283"/>
        <v>26000</v>
      </c>
    </row>
    <row r="1241" spans="1:9" s="15" customFormat="1" ht="13.8">
      <c r="A1241" s="311" t="s">
        <v>2687</v>
      </c>
      <c r="B1241" s="250" t="s">
        <v>1211</v>
      </c>
      <c r="C1241" s="251" t="s">
        <v>310</v>
      </c>
      <c r="D1241" s="335">
        <v>9</v>
      </c>
      <c r="E1241" s="244"/>
      <c r="F1241" s="244">
        <v>195.9</v>
      </c>
      <c r="G1241" s="260"/>
      <c r="H1241" s="260">
        <f t="shared" si="284"/>
        <v>1763.1000000000001</v>
      </c>
      <c r="I1241" s="260">
        <f t="shared" si="283"/>
        <v>1763.1000000000001</v>
      </c>
    </row>
    <row r="1242" spans="1:9" s="15" customFormat="1" ht="13.8">
      <c r="A1242" s="311" t="s">
        <v>2688</v>
      </c>
      <c r="B1242" s="250" t="s">
        <v>1212</v>
      </c>
      <c r="C1242" s="251" t="s">
        <v>310</v>
      </c>
      <c r="D1242" s="335">
        <v>4</v>
      </c>
      <c r="E1242" s="244"/>
      <c r="F1242" s="244">
        <v>265.5</v>
      </c>
      <c r="G1242" s="260"/>
      <c r="H1242" s="260">
        <f t="shared" si="284"/>
        <v>1062</v>
      </c>
      <c r="I1242" s="260">
        <f t="shared" si="283"/>
        <v>1062</v>
      </c>
    </row>
    <row r="1243" spans="1:9" s="15" customFormat="1" ht="13.8">
      <c r="A1243" s="311" t="s">
        <v>2689</v>
      </c>
      <c r="B1243" s="250" t="s">
        <v>1213</v>
      </c>
      <c r="C1243" s="251" t="s">
        <v>1190</v>
      </c>
      <c r="D1243" s="335">
        <v>0.28000000000000003</v>
      </c>
      <c r="E1243" s="244"/>
      <c r="F1243" s="244">
        <v>46000</v>
      </c>
      <c r="G1243" s="260"/>
      <c r="H1243" s="260">
        <f t="shared" si="284"/>
        <v>12880.000000000002</v>
      </c>
      <c r="I1243" s="260">
        <f t="shared" si="283"/>
        <v>12880.000000000002</v>
      </c>
    </row>
    <row r="1244" spans="1:9" s="15" customFormat="1" ht="13.8">
      <c r="A1244" s="311" t="s">
        <v>2690</v>
      </c>
      <c r="B1244" s="250" t="s">
        <v>1214</v>
      </c>
      <c r="C1244" s="251" t="s">
        <v>1190</v>
      </c>
      <c r="D1244" s="335">
        <v>0.12</v>
      </c>
      <c r="E1244" s="244"/>
      <c r="F1244" s="244">
        <v>46000</v>
      </c>
      <c r="G1244" s="260"/>
      <c r="H1244" s="260">
        <f t="shared" si="284"/>
        <v>5520</v>
      </c>
      <c r="I1244" s="260">
        <f t="shared" si="283"/>
        <v>5520</v>
      </c>
    </row>
    <row r="1245" spans="1:9" s="15" customFormat="1" ht="13.8">
      <c r="A1245" s="311" t="s">
        <v>2691</v>
      </c>
      <c r="B1245" s="250" t="s">
        <v>1215</v>
      </c>
      <c r="C1245" s="251" t="s">
        <v>332</v>
      </c>
      <c r="D1245" s="335">
        <v>260</v>
      </c>
      <c r="E1245" s="244"/>
      <c r="F1245" s="244">
        <v>15.39</v>
      </c>
      <c r="G1245" s="260"/>
      <c r="H1245" s="260">
        <f t="shared" si="284"/>
        <v>4001.4</v>
      </c>
      <c r="I1245" s="260">
        <f t="shared" si="283"/>
        <v>4001.4</v>
      </c>
    </row>
    <row r="1246" spans="1:9" s="16" customFormat="1" ht="13.8">
      <c r="A1246" s="311" t="s">
        <v>2692</v>
      </c>
      <c r="B1246" s="250" t="s">
        <v>1501</v>
      </c>
      <c r="C1246" s="251" t="s">
        <v>332</v>
      </c>
      <c r="D1246" s="335">
        <v>164</v>
      </c>
      <c r="E1246" s="244">
        <v>350</v>
      </c>
      <c r="F1246" s="244"/>
      <c r="G1246" s="260">
        <f t="shared" si="285"/>
        <v>57400</v>
      </c>
      <c r="H1246" s="260"/>
      <c r="I1246" s="260">
        <f t="shared" si="283"/>
        <v>57400</v>
      </c>
    </row>
    <row r="1247" spans="1:9" s="15" customFormat="1" ht="13.8">
      <c r="A1247" s="311" t="s">
        <v>2693</v>
      </c>
      <c r="B1247" s="336" t="s">
        <v>1203</v>
      </c>
      <c r="C1247" s="251" t="s">
        <v>1190</v>
      </c>
      <c r="D1247" s="335">
        <v>0.33263999999999999</v>
      </c>
      <c r="E1247" s="244"/>
      <c r="F1247" s="244">
        <v>46000</v>
      </c>
      <c r="G1247" s="260"/>
      <c r="H1247" s="260">
        <f t="shared" ref="H1247" si="286">D1247*F1247</f>
        <v>15301.439999999999</v>
      </c>
      <c r="I1247" s="260">
        <f t="shared" si="283"/>
        <v>15301.439999999999</v>
      </c>
    </row>
    <row r="1248" spans="1:9" s="15" customFormat="1" ht="13.8">
      <c r="A1248" s="311" t="s">
        <v>2694</v>
      </c>
      <c r="B1248" s="337" t="s">
        <v>1199</v>
      </c>
      <c r="C1248" s="251" t="s">
        <v>1190</v>
      </c>
      <c r="D1248" s="232">
        <v>4.1599999999999998E-2</v>
      </c>
      <c r="E1248" s="243"/>
      <c r="F1248" s="338">
        <v>46000</v>
      </c>
      <c r="G1248" s="234"/>
      <c r="H1248" s="234">
        <f t="shared" ref="H1248" si="287">PRODUCT(F1248,D1248)</f>
        <v>1913.6</v>
      </c>
      <c r="I1248" s="234">
        <f t="shared" ref="I1248:I1279" si="288">SUM(G1248:H1248)</f>
        <v>1913.6</v>
      </c>
    </row>
    <row r="1249" spans="1:9" s="15" customFormat="1" ht="13.8">
      <c r="A1249" s="311" t="s">
        <v>2695</v>
      </c>
      <c r="B1249" s="317" t="s">
        <v>1503</v>
      </c>
      <c r="C1249" s="313" t="s">
        <v>25</v>
      </c>
      <c r="D1249" s="314">
        <f>SUM(D1250:D1266)</f>
        <v>4656.4000000000005</v>
      </c>
      <c r="E1249" s="318">
        <v>30</v>
      </c>
      <c r="F1249" s="318"/>
      <c r="G1249" s="315">
        <f>PRODUCT(D1249:E1249)</f>
        <v>139692.00000000003</v>
      </c>
      <c r="H1249" s="315"/>
      <c r="I1249" s="315">
        <f t="shared" si="288"/>
        <v>139692.00000000003</v>
      </c>
    </row>
    <row r="1250" spans="1:9" s="15" customFormat="1" ht="13.8">
      <c r="A1250" s="311" t="s">
        <v>2696</v>
      </c>
      <c r="B1250" s="317" t="s">
        <v>1505</v>
      </c>
      <c r="C1250" s="313" t="s">
        <v>25</v>
      </c>
      <c r="D1250" s="314">
        <v>104.8</v>
      </c>
      <c r="E1250" s="318"/>
      <c r="F1250" s="318">
        <v>30</v>
      </c>
      <c r="G1250" s="260"/>
      <c r="H1250" s="315">
        <f t="shared" ref="H1250:H1271" si="289">PRODUCT(F1250,D1250)</f>
        <v>3144</v>
      </c>
      <c r="I1250" s="315">
        <f t="shared" si="288"/>
        <v>3144</v>
      </c>
    </row>
    <row r="1251" spans="1:9" s="15" customFormat="1" ht="13.8">
      <c r="A1251" s="311" t="s">
        <v>2697</v>
      </c>
      <c r="B1251" s="317" t="s">
        <v>1507</v>
      </c>
      <c r="C1251" s="313" t="s">
        <v>25</v>
      </c>
      <c r="D1251" s="314">
        <v>39.9</v>
      </c>
      <c r="E1251" s="318"/>
      <c r="F1251" s="244">
        <v>69.23</v>
      </c>
      <c r="G1251" s="260"/>
      <c r="H1251" s="315">
        <f t="shared" si="289"/>
        <v>2762.277</v>
      </c>
      <c r="I1251" s="315">
        <f t="shared" si="288"/>
        <v>2762.277</v>
      </c>
    </row>
    <row r="1252" spans="1:9" s="15" customFormat="1" ht="13.8">
      <c r="A1252" s="311" t="s">
        <v>2698</v>
      </c>
      <c r="B1252" s="317" t="s">
        <v>1509</v>
      </c>
      <c r="C1252" s="313" t="s">
        <v>25</v>
      </c>
      <c r="D1252" s="314">
        <v>157.80000000000001</v>
      </c>
      <c r="E1252" s="318"/>
      <c r="F1252" s="244">
        <v>77.349999999999994</v>
      </c>
      <c r="G1252" s="260"/>
      <c r="H1252" s="315">
        <f t="shared" si="289"/>
        <v>12205.83</v>
      </c>
      <c r="I1252" s="315">
        <f t="shared" si="288"/>
        <v>12205.83</v>
      </c>
    </row>
    <row r="1253" spans="1:9" s="15" customFormat="1" ht="13.8">
      <c r="A1253" s="311" t="s">
        <v>2699</v>
      </c>
      <c r="B1253" s="317" t="s">
        <v>1511</v>
      </c>
      <c r="C1253" s="313" t="s">
        <v>25</v>
      </c>
      <c r="D1253" s="314">
        <v>286.89999999999998</v>
      </c>
      <c r="E1253" s="318"/>
      <c r="F1253" s="244">
        <v>86.45</v>
      </c>
      <c r="G1253" s="260"/>
      <c r="H1253" s="315">
        <f t="shared" si="289"/>
        <v>24802.504999999997</v>
      </c>
      <c r="I1253" s="315">
        <f t="shared" si="288"/>
        <v>24802.504999999997</v>
      </c>
    </row>
    <row r="1254" spans="1:9" s="15" customFormat="1" ht="13.8">
      <c r="A1254" s="311" t="s">
        <v>2700</v>
      </c>
      <c r="B1254" s="317" t="s">
        <v>1513</v>
      </c>
      <c r="C1254" s="313" t="s">
        <v>25</v>
      </c>
      <c r="D1254" s="314">
        <v>108.4</v>
      </c>
      <c r="E1254" s="318"/>
      <c r="F1254" s="244">
        <v>91.65</v>
      </c>
      <c r="G1254" s="260"/>
      <c r="H1254" s="315">
        <f t="shared" si="289"/>
        <v>9934.86</v>
      </c>
      <c r="I1254" s="315">
        <f t="shared" si="288"/>
        <v>9934.86</v>
      </c>
    </row>
    <row r="1255" spans="1:9" s="15" customFormat="1" ht="13.8">
      <c r="A1255" s="311" t="s">
        <v>2701</v>
      </c>
      <c r="B1255" s="317" t="s">
        <v>1515</v>
      </c>
      <c r="C1255" s="313" t="s">
        <v>25</v>
      </c>
      <c r="D1255" s="314">
        <v>36.9</v>
      </c>
      <c r="E1255" s="318"/>
      <c r="F1255" s="244">
        <v>109.76</v>
      </c>
      <c r="G1255" s="260"/>
      <c r="H1255" s="315">
        <f t="shared" si="289"/>
        <v>4050.1440000000002</v>
      </c>
      <c r="I1255" s="315">
        <f t="shared" si="288"/>
        <v>4050.1440000000002</v>
      </c>
    </row>
    <row r="1256" spans="1:9" s="15" customFormat="1" ht="13.8">
      <c r="A1256" s="311" t="s">
        <v>2702</v>
      </c>
      <c r="B1256" s="317" t="s">
        <v>1516</v>
      </c>
      <c r="C1256" s="313" t="s">
        <v>25</v>
      </c>
      <c r="D1256" s="314">
        <v>209.9</v>
      </c>
      <c r="E1256" s="318"/>
      <c r="F1256" s="244">
        <v>97.5</v>
      </c>
      <c r="G1256" s="260"/>
      <c r="H1256" s="315">
        <f t="shared" si="289"/>
        <v>20465.25</v>
      </c>
      <c r="I1256" s="315">
        <f t="shared" si="288"/>
        <v>20465.25</v>
      </c>
    </row>
    <row r="1257" spans="1:9" s="15" customFormat="1" ht="13.8">
      <c r="A1257" s="311" t="s">
        <v>2703</v>
      </c>
      <c r="B1257" s="317" t="s">
        <v>1517</v>
      </c>
      <c r="C1257" s="313" t="s">
        <v>25</v>
      </c>
      <c r="D1257" s="314">
        <v>51.4</v>
      </c>
      <c r="E1257" s="318"/>
      <c r="F1257" s="244">
        <v>111.15</v>
      </c>
      <c r="G1257" s="260"/>
      <c r="H1257" s="315">
        <f t="shared" si="289"/>
        <v>5713.1100000000006</v>
      </c>
      <c r="I1257" s="315">
        <f t="shared" si="288"/>
        <v>5713.1100000000006</v>
      </c>
    </row>
    <row r="1258" spans="1:9" s="15" customFormat="1" ht="13.8">
      <c r="A1258" s="311" t="s">
        <v>2704</v>
      </c>
      <c r="B1258" s="317" t="s">
        <v>1518</v>
      </c>
      <c r="C1258" s="313" t="s">
        <v>25</v>
      </c>
      <c r="D1258" s="314">
        <v>78.7</v>
      </c>
      <c r="E1258" s="318"/>
      <c r="F1258" s="244">
        <v>128.69999999999999</v>
      </c>
      <c r="G1258" s="260"/>
      <c r="H1258" s="315">
        <f t="shared" si="289"/>
        <v>10128.689999999999</v>
      </c>
      <c r="I1258" s="315">
        <f t="shared" si="288"/>
        <v>10128.689999999999</v>
      </c>
    </row>
    <row r="1259" spans="1:9" s="15" customFormat="1" ht="13.8">
      <c r="A1259" s="311" t="s">
        <v>2705</v>
      </c>
      <c r="B1259" s="317" t="s">
        <v>1519</v>
      </c>
      <c r="C1259" s="313" t="s">
        <v>25</v>
      </c>
      <c r="D1259" s="314">
        <v>46.7</v>
      </c>
      <c r="E1259" s="318"/>
      <c r="F1259" s="244">
        <v>172.9</v>
      </c>
      <c r="G1259" s="260"/>
      <c r="H1259" s="315">
        <f t="shared" si="289"/>
        <v>8074.4300000000012</v>
      </c>
      <c r="I1259" s="315">
        <f t="shared" si="288"/>
        <v>8074.4300000000012</v>
      </c>
    </row>
    <row r="1260" spans="1:9" s="15" customFormat="1" ht="13.8">
      <c r="A1260" s="311" t="s">
        <v>2706</v>
      </c>
      <c r="B1260" s="317" t="s">
        <v>1520</v>
      </c>
      <c r="C1260" s="313" t="s">
        <v>25</v>
      </c>
      <c r="D1260" s="314">
        <v>12.9</v>
      </c>
      <c r="E1260" s="318"/>
      <c r="F1260" s="244">
        <v>16.899999999999999</v>
      </c>
      <c r="G1260" s="260"/>
      <c r="H1260" s="315">
        <f t="shared" si="289"/>
        <v>218.01</v>
      </c>
      <c r="I1260" s="315">
        <f t="shared" si="288"/>
        <v>218.01</v>
      </c>
    </row>
    <row r="1261" spans="1:9" s="15" customFormat="1" ht="13.8">
      <c r="A1261" s="311" t="s">
        <v>2707</v>
      </c>
      <c r="B1261" s="317" t="s">
        <v>1521</v>
      </c>
      <c r="C1261" s="313" t="s">
        <v>25</v>
      </c>
      <c r="D1261" s="314">
        <v>1028.3</v>
      </c>
      <c r="E1261" s="318"/>
      <c r="F1261" s="244">
        <v>31.5</v>
      </c>
      <c r="G1261" s="260"/>
      <c r="H1261" s="315">
        <f t="shared" si="289"/>
        <v>32391.449999999997</v>
      </c>
      <c r="I1261" s="315">
        <f t="shared" si="288"/>
        <v>32391.449999999997</v>
      </c>
    </row>
    <row r="1262" spans="1:9" s="15" customFormat="1" ht="13.8">
      <c r="A1262" s="311" t="s">
        <v>2708</v>
      </c>
      <c r="B1262" s="317" t="s">
        <v>1522</v>
      </c>
      <c r="C1262" s="313" t="s">
        <v>25</v>
      </c>
      <c r="D1262" s="314">
        <v>1178.2</v>
      </c>
      <c r="E1262" s="318"/>
      <c r="F1262" s="244">
        <v>26.04</v>
      </c>
      <c r="G1262" s="260"/>
      <c r="H1262" s="315">
        <f t="shared" si="289"/>
        <v>30680.328000000001</v>
      </c>
      <c r="I1262" s="315">
        <f t="shared" si="288"/>
        <v>30680.328000000001</v>
      </c>
    </row>
    <row r="1263" spans="1:9" s="15" customFormat="1" ht="13.8">
      <c r="A1263" s="311" t="s">
        <v>2709</v>
      </c>
      <c r="B1263" s="317" t="s">
        <v>1523</v>
      </c>
      <c r="C1263" s="313" t="s">
        <v>25</v>
      </c>
      <c r="D1263" s="314">
        <v>189</v>
      </c>
      <c r="E1263" s="318"/>
      <c r="F1263" s="244">
        <v>58.38</v>
      </c>
      <c r="G1263" s="260"/>
      <c r="H1263" s="315">
        <f t="shared" si="289"/>
        <v>11033.82</v>
      </c>
      <c r="I1263" s="315">
        <f t="shared" si="288"/>
        <v>11033.82</v>
      </c>
    </row>
    <row r="1264" spans="1:9" s="15" customFormat="1" ht="13.8">
      <c r="A1264" s="311" t="s">
        <v>2710</v>
      </c>
      <c r="B1264" s="317" t="s">
        <v>1524</v>
      </c>
      <c r="C1264" s="313" t="s">
        <v>25</v>
      </c>
      <c r="D1264" s="314">
        <v>9.8000000000000007</v>
      </c>
      <c r="E1264" s="318"/>
      <c r="F1264" s="244">
        <v>11.03</v>
      </c>
      <c r="G1264" s="260"/>
      <c r="H1264" s="315">
        <f t="shared" si="289"/>
        <v>108.09400000000001</v>
      </c>
      <c r="I1264" s="315">
        <f t="shared" si="288"/>
        <v>108.09400000000001</v>
      </c>
    </row>
    <row r="1265" spans="1:9" s="15" customFormat="1" ht="13.8">
      <c r="A1265" s="311" t="s">
        <v>2711</v>
      </c>
      <c r="B1265" s="317" t="s">
        <v>1525</v>
      </c>
      <c r="C1265" s="313" t="s">
        <v>25</v>
      </c>
      <c r="D1265" s="314">
        <v>1020.6</v>
      </c>
      <c r="E1265" s="318"/>
      <c r="F1265" s="244">
        <v>23.09</v>
      </c>
      <c r="G1265" s="260"/>
      <c r="H1265" s="315">
        <f t="shared" si="289"/>
        <v>23565.653999999999</v>
      </c>
      <c r="I1265" s="315">
        <f t="shared" si="288"/>
        <v>23565.653999999999</v>
      </c>
    </row>
    <row r="1266" spans="1:9" s="15" customFormat="1" ht="13.8">
      <c r="A1266" s="311" t="s">
        <v>2712</v>
      </c>
      <c r="B1266" s="317" t="s">
        <v>1526</v>
      </c>
      <c r="C1266" s="313" t="s">
        <v>25</v>
      </c>
      <c r="D1266" s="314">
        <v>96.2</v>
      </c>
      <c r="E1266" s="318"/>
      <c r="F1266" s="244">
        <v>70.86</v>
      </c>
      <c r="G1266" s="260"/>
      <c r="H1266" s="315">
        <f t="shared" si="289"/>
        <v>6816.732</v>
      </c>
      <c r="I1266" s="315">
        <f t="shared" si="288"/>
        <v>6816.732</v>
      </c>
    </row>
    <row r="1267" spans="1:9" s="15" customFormat="1" ht="13.8">
      <c r="A1267" s="311" t="s">
        <v>2713</v>
      </c>
      <c r="B1267" s="317" t="s">
        <v>1527</v>
      </c>
      <c r="C1267" s="313" t="s">
        <v>332</v>
      </c>
      <c r="D1267" s="314">
        <v>6</v>
      </c>
      <c r="E1267" s="318"/>
      <c r="F1267" s="244">
        <v>2268</v>
      </c>
      <c r="G1267" s="260"/>
      <c r="H1267" s="315">
        <f t="shared" si="289"/>
        <v>13608</v>
      </c>
      <c r="I1267" s="315">
        <f t="shared" si="288"/>
        <v>13608</v>
      </c>
    </row>
    <row r="1268" spans="1:9" s="15" customFormat="1" ht="13.8">
      <c r="A1268" s="311" t="s">
        <v>2714</v>
      </c>
      <c r="B1268" s="319" t="s">
        <v>1528</v>
      </c>
      <c r="C1268" s="313" t="s">
        <v>332</v>
      </c>
      <c r="D1268" s="314">
        <v>220</v>
      </c>
      <c r="E1268" s="318"/>
      <c r="F1268" s="244">
        <v>417.49</v>
      </c>
      <c r="G1268" s="260"/>
      <c r="H1268" s="315">
        <f t="shared" si="289"/>
        <v>91847.8</v>
      </c>
      <c r="I1268" s="315">
        <f t="shared" si="288"/>
        <v>91847.8</v>
      </c>
    </row>
    <row r="1269" spans="1:9" s="15" customFormat="1" ht="13.8">
      <c r="A1269" s="311" t="s">
        <v>2715</v>
      </c>
      <c r="B1269" s="317" t="s">
        <v>1530</v>
      </c>
      <c r="C1269" s="313" t="s">
        <v>111</v>
      </c>
      <c r="D1269" s="314">
        <v>401.58</v>
      </c>
      <c r="E1269" s="318">
        <v>40</v>
      </c>
      <c r="F1269" s="318"/>
      <c r="G1269" s="315">
        <f>PRODUCT(D1269:E1269)</f>
        <v>16063.199999999999</v>
      </c>
      <c r="H1269" s="315"/>
      <c r="I1269" s="315">
        <f t="shared" si="288"/>
        <v>16063.199999999999</v>
      </c>
    </row>
    <row r="1270" spans="1:9" s="15" customFormat="1" ht="13.8">
      <c r="A1270" s="311" t="s">
        <v>2716</v>
      </c>
      <c r="B1270" s="250" t="s">
        <v>1254</v>
      </c>
      <c r="C1270" s="339" t="s">
        <v>111</v>
      </c>
      <c r="D1270" s="335">
        <v>401.58</v>
      </c>
      <c r="E1270" s="318"/>
      <c r="F1270" s="244">
        <v>44.5</v>
      </c>
      <c r="G1270" s="315"/>
      <c r="H1270" s="315">
        <f t="shared" si="289"/>
        <v>17870.309999999998</v>
      </c>
      <c r="I1270" s="315">
        <f t="shared" si="288"/>
        <v>17870.309999999998</v>
      </c>
    </row>
    <row r="1271" spans="1:9" s="15" customFormat="1" ht="13.8">
      <c r="A1271" s="311" t="s">
        <v>2717</v>
      </c>
      <c r="B1271" s="250" t="s">
        <v>1533</v>
      </c>
      <c r="C1271" s="251" t="s">
        <v>1190</v>
      </c>
      <c r="D1271" s="340">
        <v>1.848E-2</v>
      </c>
      <c r="E1271" s="318"/>
      <c r="F1271" s="244">
        <v>56332.5</v>
      </c>
      <c r="G1271" s="315"/>
      <c r="H1271" s="315">
        <f t="shared" si="289"/>
        <v>1041.0246</v>
      </c>
      <c r="I1271" s="315">
        <f t="shared" si="288"/>
        <v>1041.0246</v>
      </c>
    </row>
    <row r="1272" spans="1:9" s="15" customFormat="1" ht="13.8">
      <c r="A1272" s="311" t="s">
        <v>2718</v>
      </c>
      <c r="B1272" s="332" t="s">
        <v>1380</v>
      </c>
      <c r="C1272" s="333" t="s">
        <v>332</v>
      </c>
      <c r="D1272" s="334">
        <v>1205</v>
      </c>
      <c r="E1272" s="318">
        <v>70</v>
      </c>
      <c r="F1272" s="318"/>
      <c r="G1272" s="315">
        <f>PRODUCT(D1272:E1272)</f>
        <v>84350</v>
      </c>
      <c r="H1272" s="315"/>
      <c r="I1272" s="315">
        <f t="shared" ref="I1272" si="290">SUM(G1272:H1272)</f>
        <v>84350</v>
      </c>
    </row>
    <row r="1273" spans="1:9" s="15" customFormat="1" ht="13.8">
      <c r="A1273" s="311" t="s">
        <v>2719</v>
      </c>
      <c r="B1273" s="262" t="s">
        <v>1386</v>
      </c>
      <c r="C1273" s="341" t="s">
        <v>332</v>
      </c>
      <c r="D1273" s="342">
        <v>40</v>
      </c>
      <c r="E1273" s="343"/>
      <c r="F1273" s="244">
        <v>1875</v>
      </c>
      <c r="G1273" s="315"/>
      <c r="H1273" s="315">
        <f>PRODUCT(F1273,D1273)</f>
        <v>75000</v>
      </c>
      <c r="I1273" s="315">
        <f t="shared" si="288"/>
        <v>75000</v>
      </c>
    </row>
    <row r="1274" spans="1:9" s="15" customFormat="1" ht="13.8">
      <c r="A1274" s="311" t="s">
        <v>2720</v>
      </c>
      <c r="B1274" s="332" t="s">
        <v>1388</v>
      </c>
      <c r="C1274" s="333" t="s">
        <v>332</v>
      </c>
      <c r="D1274" s="334">
        <v>1203</v>
      </c>
      <c r="E1274" s="318">
        <v>150</v>
      </c>
      <c r="F1274" s="318"/>
      <c r="G1274" s="315">
        <f>PRODUCT(D1274:E1274)</f>
        <v>180450</v>
      </c>
      <c r="H1274" s="315"/>
      <c r="I1274" s="315">
        <f t="shared" si="288"/>
        <v>180450</v>
      </c>
    </row>
    <row r="1275" spans="1:9" s="15" customFormat="1" ht="13.8">
      <c r="A1275" s="311" t="s">
        <v>2721</v>
      </c>
      <c r="B1275" s="262" t="s">
        <v>1539</v>
      </c>
      <c r="C1275" s="333" t="s">
        <v>332</v>
      </c>
      <c r="D1275" s="334">
        <v>24</v>
      </c>
      <c r="E1275" s="318"/>
      <c r="F1275" s="244">
        <v>4561</v>
      </c>
      <c r="G1275" s="315"/>
      <c r="H1275" s="315">
        <f t="shared" ref="H1275" si="291">PRODUCT(F1275,D1275)</f>
        <v>109464</v>
      </c>
      <c r="I1275" s="315">
        <f t="shared" si="288"/>
        <v>109464</v>
      </c>
    </row>
    <row r="1276" spans="1:9" s="15" customFormat="1" ht="13.8">
      <c r="A1276" s="311" t="s">
        <v>2722</v>
      </c>
      <c r="B1276" s="332" t="s">
        <v>1217</v>
      </c>
      <c r="C1276" s="333" t="s">
        <v>332</v>
      </c>
      <c r="D1276" s="315">
        <f>SUM(D1277,D1278,D1279)</f>
        <v>120</v>
      </c>
      <c r="E1276" s="318">
        <v>1400</v>
      </c>
      <c r="F1276" s="318"/>
      <c r="G1276" s="315">
        <f>PRODUCT(D1276:E1276)</f>
        <v>168000</v>
      </c>
      <c r="H1276" s="315"/>
      <c r="I1276" s="315">
        <f t="shared" si="288"/>
        <v>168000</v>
      </c>
    </row>
    <row r="1277" spans="1:9" s="15" customFormat="1" ht="13.8">
      <c r="A1277" s="311" t="s">
        <v>2723</v>
      </c>
      <c r="B1277" s="344" t="s">
        <v>1542</v>
      </c>
      <c r="C1277" s="318" t="s">
        <v>332</v>
      </c>
      <c r="D1277" s="315">
        <v>56</v>
      </c>
      <c r="E1277" s="318"/>
      <c r="F1277" s="244">
        <v>1331.76</v>
      </c>
      <c r="G1277" s="547">
        <f>PRODUCT(E1277,D1277)</f>
        <v>56</v>
      </c>
      <c r="H1277" s="315">
        <f t="shared" ref="H1277:H1279" si="292">PRODUCT(F1277,D1277)</f>
        <v>74578.559999999998</v>
      </c>
      <c r="I1277" s="315">
        <f t="shared" si="288"/>
        <v>74634.559999999998</v>
      </c>
    </row>
    <row r="1278" spans="1:9" s="15" customFormat="1" ht="13.8">
      <c r="A1278" s="311" t="s">
        <v>2724</v>
      </c>
      <c r="B1278" s="344" t="s">
        <v>1544</v>
      </c>
      <c r="C1278" s="318" t="s">
        <v>332</v>
      </c>
      <c r="D1278" s="315">
        <v>56</v>
      </c>
      <c r="E1278" s="318"/>
      <c r="F1278" s="244">
        <v>1681.32</v>
      </c>
      <c r="G1278" s="547">
        <f t="shared" ref="G1278:G1279" si="293">PRODUCT(E1278,D1278)</f>
        <v>56</v>
      </c>
      <c r="H1278" s="315">
        <f t="shared" si="292"/>
        <v>94153.919999999998</v>
      </c>
      <c r="I1278" s="315">
        <f t="shared" si="288"/>
        <v>94209.919999999998</v>
      </c>
    </row>
    <row r="1279" spans="1:9" s="15" customFormat="1" ht="13.8">
      <c r="A1279" s="311" t="s">
        <v>2725</v>
      </c>
      <c r="B1279" s="344" t="s">
        <v>1546</v>
      </c>
      <c r="C1279" s="318" t="s">
        <v>332</v>
      </c>
      <c r="D1279" s="315">
        <v>8</v>
      </c>
      <c r="E1279" s="318"/>
      <c r="F1279" s="244">
        <v>3301.8</v>
      </c>
      <c r="G1279" s="547">
        <f t="shared" si="293"/>
        <v>8</v>
      </c>
      <c r="H1279" s="315">
        <f t="shared" si="292"/>
        <v>26414.400000000001</v>
      </c>
      <c r="I1279" s="315">
        <f t="shared" si="288"/>
        <v>26422.400000000001</v>
      </c>
    </row>
    <row r="1280" spans="1:9" s="15" customFormat="1" ht="13.8">
      <c r="A1280" s="311" t="s">
        <v>2746</v>
      </c>
      <c r="B1280" s="332" t="s">
        <v>1345</v>
      </c>
      <c r="C1280" s="333" t="s">
        <v>332</v>
      </c>
      <c r="D1280" s="315">
        <f>SUM(D1281:D1283,D1285,D1287,D1289,D1292,D1293,D1295,D1296,D1297,D1298,D1300,D1301,D1302,D1309)</f>
        <v>1566</v>
      </c>
      <c r="E1280" s="318">
        <v>200</v>
      </c>
      <c r="F1280" s="318"/>
      <c r="G1280" s="315">
        <f>PRODUCT(D1280:E1280)</f>
        <v>313200</v>
      </c>
      <c r="H1280" s="315"/>
      <c r="I1280" s="315">
        <f t="shared" ref="I1280" si="294">SUM(G1280:H1280)</f>
        <v>313200</v>
      </c>
    </row>
    <row r="1281" spans="1:9" s="15" customFormat="1" ht="13.8">
      <c r="A1281" s="311" t="s">
        <v>2747</v>
      </c>
      <c r="B1281" s="328" t="s">
        <v>1453</v>
      </c>
      <c r="C1281" s="329" t="s">
        <v>332</v>
      </c>
      <c r="D1281" s="330">
        <v>2</v>
      </c>
      <c r="E1281" s="244"/>
      <c r="F1281" s="244">
        <v>1044.4100000000001</v>
      </c>
      <c r="G1281" s="315"/>
      <c r="H1281" s="315">
        <f>PRODUCT(F1281,D1281)</f>
        <v>2088.8200000000002</v>
      </c>
      <c r="I1281" s="315">
        <f>SUM(G1281:H1281)</f>
        <v>2088.8200000000002</v>
      </c>
    </row>
    <row r="1282" spans="1:9" s="15" customFormat="1" ht="13.8">
      <c r="A1282" s="311" t="s">
        <v>2750</v>
      </c>
      <c r="B1282" s="328" t="s">
        <v>1454</v>
      </c>
      <c r="C1282" s="329" t="s">
        <v>332</v>
      </c>
      <c r="D1282" s="330">
        <v>3</v>
      </c>
      <c r="E1282" s="244"/>
      <c r="F1282" s="244">
        <v>742</v>
      </c>
      <c r="G1282" s="315"/>
      <c r="H1282" s="315">
        <f>PRODUCT(F1282,D1282)</f>
        <v>2226</v>
      </c>
      <c r="I1282" s="315">
        <f>SUM(G1282:H1282)</f>
        <v>2226</v>
      </c>
    </row>
    <row r="1283" spans="1:9" s="15" customFormat="1" ht="13.8">
      <c r="A1283" s="311" t="s">
        <v>2752</v>
      </c>
      <c r="B1283" s="319" t="s">
        <v>1549</v>
      </c>
      <c r="C1283" s="327" t="s">
        <v>332</v>
      </c>
      <c r="D1283" s="320">
        <v>655</v>
      </c>
      <c r="E1283" s="318"/>
      <c r="F1283" s="244">
        <v>137.11000000000001</v>
      </c>
      <c r="G1283" s="315"/>
      <c r="H1283" s="315">
        <f t="shared" ref="H1283:H1310" si="295">PRODUCT(F1283,D1283)</f>
        <v>89807.05</v>
      </c>
      <c r="I1283" s="315">
        <f t="shared" ref="I1283:I1317" si="296">SUM(G1283:H1283)</f>
        <v>89807.05</v>
      </c>
    </row>
    <row r="1284" spans="1:9" s="15" customFormat="1" ht="13.8">
      <c r="A1284" s="311" t="s">
        <v>2749</v>
      </c>
      <c r="B1284" s="319" t="s">
        <v>1551</v>
      </c>
      <c r="C1284" s="327" t="s">
        <v>332</v>
      </c>
      <c r="D1284" s="320">
        <v>40</v>
      </c>
      <c r="E1284" s="318"/>
      <c r="F1284" s="243">
        <v>122</v>
      </c>
      <c r="G1284" s="315"/>
      <c r="H1284" s="315">
        <f t="shared" si="295"/>
        <v>4880</v>
      </c>
      <c r="I1284" s="315">
        <f t="shared" si="296"/>
        <v>4880</v>
      </c>
    </row>
    <row r="1285" spans="1:9" s="15" customFormat="1" ht="13.8">
      <c r="A1285" s="311" t="s">
        <v>2751</v>
      </c>
      <c r="B1285" s="346" t="s">
        <v>1553</v>
      </c>
      <c r="C1285" s="327" t="s">
        <v>332</v>
      </c>
      <c r="D1285" s="320">
        <v>42</v>
      </c>
      <c r="E1285" s="318"/>
      <c r="F1285" s="318">
        <v>205.43</v>
      </c>
      <c r="G1285" s="315"/>
      <c r="H1285" s="315">
        <f t="shared" si="295"/>
        <v>8628.06</v>
      </c>
      <c r="I1285" s="315">
        <f t="shared" si="296"/>
        <v>8628.06</v>
      </c>
    </row>
    <row r="1286" spans="1:9" s="15" customFormat="1" ht="13.8">
      <c r="A1286" s="311" t="s">
        <v>2753</v>
      </c>
      <c r="B1286" s="319" t="s">
        <v>1554</v>
      </c>
      <c r="C1286" s="327" t="s">
        <v>332</v>
      </c>
      <c r="D1286" s="320">
        <v>42</v>
      </c>
      <c r="E1286" s="318"/>
      <c r="F1286" s="318">
        <v>139</v>
      </c>
      <c r="G1286" s="315"/>
      <c r="H1286" s="315">
        <f t="shared" si="295"/>
        <v>5838</v>
      </c>
      <c r="I1286" s="315">
        <f t="shared" si="296"/>
        <v>5838</v>
      </c>
    </row>
    <row r="1287" spans="1:9" s="15" customFormat="1" ht="13.8">
      <c r="A1287" s="311" t="s">
        <v>2754</v>
      </c>
      <c r="B1287" s="319" t="s">
        <v>1555</v>
      </c>
      <c r="C1287" s="327" t="s">
        <v>332</v>
      </c>
      <c r="D1287" s="320">
        <v>68</v>
      </c>
      <c r="E1287" s="318"/>
      <c r="F1287" s="244">
        <v>388.96</v>
      </c>
      <c r="G1287" s="315"/>
      <c r="H1287" s="315">
        <f t="shared" si="295"/>
        <v>26449.279999999999</v>
      </c>
      <c r="I1287" s="315">
        <f t="shared" si="296"/>
        <v>26449.279999999999</v>
      </c>
    </row>
    <row r="1288" spans="1:9" s="15" customFormat="1" ht="13.8">
      <c r="A1288" s="311" t="s">
        <v>2748</v>
      </c>
      <c r="B1288" s="319" t="s">
        <v>1556</v>
      </c>
      <c r="C1288" s="327" t="s">
        <v>332</v>
      </c>
      <c r="D1288" s="320">
        <v>68</v>
      </c>
      <c r="E1288" s="318"/>
      <c r="F1288" s="244">
        <v>171</v>
      </c>
      <c r="G1288" s="315"/>
      <c r="H1288" s="315">
        <f t="shared" si="295"/>
        <v>11628</v>
      </c>
      <c r="I1288" s="315">
        <f t="shared" si="296"/>
        <v>11628</v>
      </c>
    </row>
    <row r="1289" spans="1:9" s="15" customFormat="1" ht="13.8">
      <c r="A1289" s="311" t="s">
        <v>2755</v>
      </c>
      <c r="B1289" s="325" t="s">
        <v>1557</v>
      </c>
      <c r="C1289" s="327" t="s">
        <v>332</v>
      </c>
      <c r="D1289" s="320">
        <v>4</v>
      </c>
      <c r="E1289" s="318"/>
      <c r="F1289" s="318">
        <v>2481</v>
      </c>
      <c r="G1289" s="315"/>
      <c r="H1289" s="315">
        <f t="shared" si="295"/>
        <v>9924</v>
      </c>
      <c r="I1289" s="315">
        <f t="shared" si="296"/>
        <v>9924</v>
      </c>
    </row>
    <row r="1290" spans="1:9" s="15" customFormat="1" ht="13.8">
      <c r="A1290" s="311" t="s">
        <v>2756</v>
      </c>
      <c r="B1290" s="347" t="s">
        <v>1558</v>
      </c>
      <c r="C1290" s="327" t="s">
        <v>332</v>
      </c>
      <c r="D1290" s="320">
        <v>8</v>
      </c>
      <c r="E1290" s="318"/>
      <c r="F1290" s="318">
        <v>310.81</v>
      </c>
      <c r="G1290" s="315"/>
      <c r="H1290" s="315">
        <f t="shared" si="295"/>
        <v>2486.48</v>
      </c>
      <c r="I1290" s="315">
        <f t="shared" si="296"/>
        <v>2486.48</v>
      </c>
    </row>
    <row r="1291" spans="1:9" s="15" customFormat="1" ht="13.8">
      <c r="A1291" s="311" t="s">
        <v>2757</v>
      </c>
      <c r="B1291" s="325" t="s">
        <v>1559</v>
      </c>
      <c r="C1291" s="313" t="s">
        <v>332</v>
      </c>
      <c r="D1291" s="320">
        <v>8</v>
      </c>
      <c r="E1291" s="318"/>
      <c r="F1291" s="318">
        <v>10</v>
      </c>
      <c r="G1291" s="315"/>
      <c r="H1291" s="315">
        <f t="shared" si="295"/>
        <v>80</v>
      </c>
      <c r="I1291" s="315">
        <f t="shared" si="296"/>
        <v>80</v>
      </c>
    </row>
    <row r="1292" spans="1:9" s="15" customFormat="1" ht="13.8">
      <c r="A1292" s="311" t="s">
        <v>2758</v>
      </c>
      <c r="B1292" s="348" t="s">
        <v>1560</v>
      </c>
      <c r="C1292" s="313" t="s">
        <v>332</v>
      </c>
      <c r="D1292" s="314">
        <v>364</v>
      </c>
      <c r="E1292" s="244"/>
      <c r="F1292" s="244">
        <v>593</v>
      </c>
      <c r="G1292" s="315"/>
      <c r="H1292" s="315">
        <f t="shared" si="295"/>
        <v>215852</v>
      </c>
      <c r="I1292" s="315">
        <f t="shared" si="296"/>
        <v>215852</v>
      </c>
    </row>
    <row r="1293" spans="1:9" s="15" customFormat="1" ht="27.6">
      <c r="A1293" s="311" t="s">
        <v>2759</v>
      </c>
      <c r="B1293" s="348" t="s">
        <v>1561</v>
      </c>
      <c r="C1293" s="313" t="s">
        <v>332</v>
      </c>
      <c r="D1293" s="314">
        <v>300</v>
      </c>
      <c r="E1293" s="244"/>
      <c r="F1293" s="244">
        <v>1937</v>
      </c>
      <c r="G1293" s="315"/>
      <c r="H1293" s="315">
        <f t="shared" si="295"/>
        <v>581100</v>
      </c>
      <c r="I1293" s="315">
        <f t="shared" si="296"/>
        <v>581100</v>
      </c>
    </row>
    <row r="1294" spans="1:9" s="15" customFormat="1" ht="13.8">
      <c r="A1294" s="311" t="s">
        <v>2760</v>
      </c>
      <c r="B1294" s="319" t="s">
        <v>1551</v>
      </c>
      <c r="C1294" s="327" t="s">
        <v>332</v>
      </c>
      <c r="D1294" s="320">
        <v>3</v>
      </c>
      <c r="E1294" s="318"/>
      <c r="F1294" s="243">
        <v>122</v>
      </c>
      <c r="G1294" s="315"/>
      <c r="H1294" s="315">
        <f t="shared" si="295"/>
        <v>366</v>
      </c>
      <c r="I1294" s="315">
        <f t="shared" si="296"/>
        <v>366</v>
      </c>
    </row>
    <row r="1295" spans="1:9" s="15" customFormat="1" ht="13.8">
      <c r="A1295" s="311" t="s">
        <v>2761</v>
      </c>
      <c r="B1295" s="348" t="s">
        <v>1562</v>
      </c>
      <c r="C1295" s="313" t="s">
        <v>332</v>
      </c>
      <c r="D1295" s="314">
        <v>28</v>
      </c>
      <c r="E1295" s="244"/>
      <c r="F1295" s="244">
        <v>7881.4</v>
      </c>
      <c r="G1295" s="315"/>
      <c r="H1295" s="315">
        <f t="shared" si="295"/>
        <v>220679.19999999998</v>
      </c>
      <c r="I1295" s="315">
        <f t="shared" si="296"/>
        <v>220679.19999999998</v>
      </c>
    </row>
    <row r="1296" spans="1:9" s="15" customFormat="1" ht="13.8">
      <c r="A1296" s="311" t="s">
        <v>2762</v>
      </c>
      <c r="B1296" s="317" t="s">
        <v>1563</v>
      </c>
      <c r="C1296" s="313" t="s">
        <v>332</v>
      </c>
      <c r="D1296" s="314">
        <v>28</v>
      </c>
      <c r="E1296" s="244"/>
      <c r="F1296" s="244">
        <v>203</v>
      </c>
      <c r="G1296" s="315"/>
      <c r="H1296" s="315">
        <f t="shared" si="295"/>
        <v>5684</v>
      </c>
      <c r="I1296" s="315">
        <f t="shared" si="296"/>
        <v>5684</v>
      </c>
    </row>
    <row r="1297" spans="1:9" s="15" customFormat="1" ht="13.8">
      <c r="A1297" s="311" t="s">
        <v>2763</v>
      </c>
      <c r="B1297" s="325" t="s">
        <v>1564</v>
      </c>
      <c r="C1297" s="327" t="s">
        <v>332</v>
      </c>
      <c r="D1297" s="320">
        <v>19</v>
      </c>
      <c r="E1297" s="318"/>
      <c r="F1297" s="244">
        <v>410</v>
      </c>
      <c r="G1297" s="315"/>
      <c r="H1297" s="315">
        <f>PRODUCT(F1297,D1297)</f>
        <v>7790</v>
      </c>
      <c r="I1297" s="315">
        <f>SUM(G1297:H1297)</f>
        <v>7790</v>
      </c>
    </row>
    <row r="1298" spans="1:9" s="15" customFormat="1" ht="13.8">
      <c r="A1298" s="311" t="s">
        <v>2764</v>
      </c>
      <c r="B1298" s="325" t="s">
        <v>1565</v>
      </c>
      <c r="C1298" s="327" t="s">
        <v>332</v>
      </c>
      <c r="D1298" s="320">
        <v>19</v>
      </c>
      <c r="E1298" s="318"/>
      <c r="F1298" s="318">
        <v>66.959999999999994</v>
      </c>
      <c r="G1298" s="315"/>
      <c r="H1298" s="315">
        <f t="shared" si="295"/>
        <v>1272.2399999999998</v>
      </c>
      <c r="I1298" s="315">
        <f t="shared" si="296"/>
        <v>1272.2399999999998</v>
      </c>
    </row>
    <row r="1299" spans="1:9" s="15" customFormat="1" ht="13.8">
      <c r="A1299" s="311" t="s">
        <v>2765</v>
      </c>
      <c r="B1299" s="319" t="s">
        <v>1566</v>
      </c>
      <c r="C1299" s="327" t="s">
        <v>332</v>
      </c>
      <c r="D1299" s="314">
        <v>19</v>
      </c>
      <c r="E1299" s="318"/>
      <c r="F1299" s="243">
        <v>13.46</v>
      </c>
      <c r="G1299" s="315"/>
      <c r="H1299" s="315">
        <f t="shared" si="295"/>
        <v>255.74</v>
      </c>
      <c r="I1299" s="315">
        <f t="shared" si="296"/>
        <v>255.74</v>
      </c>
    </row>
    <row r="1300" spans="1:9" s="15" customFormat="1" ht="27.6">
      <c r="A1300" s="311" t="s">
        <v>2766</v>
      </c>
      <c r="B1300" s="326" t="s">
        <v>1567</v>
      </c>
      <c r="C1300" s="329" t="s">
        <v>332</v>
      </c>
      <c r="D1300" s="330">
        <v>8</v>
      </c>
      <c r="E1300" s="331"/>
      <c r="F1300" s="244">
        <v>5983.58</v>
      </c>
      <c r="G1300" s="315"/>
      <c r="H1300" s="315">
        <f t="shared" si="295"/>
        <v>47868.639999999999</v>
      </c>
      <c r="I1300" s="315">
        <f t="shared" si="296"/>
        <v>47868.639999999999</v>
      </c>
    </row>
    <row r="1301" spans="1:9" s="15" customFormat="1" ht="27.6">
      <c r="A1301" s="311" t="s">
        <v>2767</v>
      </c>
      <c r="B1301" s="326" t="s">
        <v>1568</v>
      </c>
      <c r="C1301" s="313" t="s">
        <v>332</v>
      </c>
      <c r="D1301" s="320">
        <v>14</v>
      </c>
      <c r="E1301" s="318"/>
      <c r="F1301" s="345">
        <v>4021.62</v>
      </c>
      <c r="G1301" s="315"/>
      <c r="H1301" s="315">
        <f t="shared" si="295"/>
        <v>56302.68</v>
      </c>
      <c r="I1301" s="315">
        <f t="shared" si="296"/>
        <v>56302.68</v>
      </c>
    </row>
    <row r="1302" spans="1:9" s="15" customFormat="1" ht="27.6">
      <c r="A1302" s="311" t="s">
        <v>2768</v>
      </c>
      <c r="B1302" s="326" t="s">
        <v>1569</v>
      </c>
      <c r="C1302" s="313" t="s">
        <v>332</v>
      </c>
      <c r="D1302" s="320">
        <v>10</v>
      </c>
      <c r="E1302" s="318"/>
      <c r="F1302" s="345">
        <v>3650.62</v>
      </c>
      <c r="G1302" s="315"/>
      <c r="H1302" s="315">
        <f t="shared" si="295"/>
        <v>36506.199999999997</v>
      </c>
      <c r="I1302" s="315">
        <f t="shared" si="296"/>
        <v>36506.199999999997</v>
      </c>
    </row>
    <row r="1303" spans="1:9" s="15" customFormat="1" ht="13.8">
      <c r="A1303" s="311" t="s">
        <v>2769</v>
      </c>
      <c r="B1303" s="347" t="s">
        <v>1570</v>
      </c>
      <c r="C1303" s="313" t="s">
        <v>332</v>
      </c>
      <c r="D1303" s="320">
        <v>24</v>
      </c>
      <c r="E1303" s="318"/>
      <c r="F1303" s="244">
        <v>437.67</v>
      </c>
      <c r="G1303" s="315"/>
      <c r="H1303" s="315">
        <f t="shared" si="295"/>
        <v>10504.08</v>
      </c>
      <c r="I1303" s="315">
        <f t="shared" si="296"/>
        <v>10504.08</v>
      </c>
    </row>
    <row r="1304" spans="1:9" s="15" customFormat="1" ht="13.8">
      <c r="A1304" s="311" t="s">
        <v>2770</v>
      </c>
      <c r="B1304" s="347" t="s">
        <v>1571</v>
      </c>
      <c r="C1304" s="313" t="s">
        <v>332</v>
      </c>
      <c r="D1304" s="320">
        <v>36</v>
      </c>
      <c r="E1304" s="318"/>
      <c r="F1304" s="244">
        <v>606.78</v>
      </c>
      <c r="G1304" s="315"/>
      <c r="H1304" s="315">
        <f t="shared" si="295"/>
        <v>21844.079999999998</v>
      </c>
      <c r="I1304" s="315">
        <f t="shared" si="296"/>
        <v>21844.079999999998</v>
      </c>
    </row>
    <row r="1305" spans="1:9" s="15" customFormat="1" ht="13.8">
      <c r="A1305" s="311" t="s">
        <v>2771</v>
      </c>
      <c r="B1305" s="347" t="s">
        <v>1572</v>
      </c>
      <c r="C1305" s="313" t="s">
        <v>332</v>
      </c>
      <c r="D1305" s="320">
        <v>20</v>
      </c>
      <c r="E1305" s="318"/>
      <c r="F1305" s="244">
        <v>773.73</v>
      </c>
      <c r="G1305" s="315"/>
      <c r="H1305" s="315">
        <f t="shared" si="295"/>
        <v>15474.6</v>
      </c>
      <c r="I1305" s="315">
        <f t="shared" si="296"/>
        <v>15474.6</v>
      </c>
    </row>
    <row r="1306" spans="1:9" s="15" customFormat="1" ht="13.8">
      <c r="A1306" s="311" t="s">
        <v>2772</v>
      </c>
      <c r="B1306" s="328" t="s">
        <v>1573</v>
      </c>
      <c r="C1306" s="313" t="s">
        <v>332</v>
      </c>
      <c r="D1306" s="320">
        <v>48</v>
      </c>
      <c r="E1306" s="318"/>
      <c r="F1306" s="318">
        <v>18.96</v>
      </c>
      <c r="G1306" s="315"/>
      <c r="H1306" s="315">
        <f t="shared" si="295"/>
        <v>910.08</v>
      </c>
      <c r="I1306" s="315">
        <f t="shared" si="296"/>
        <v>910.08</v>
      </c>
    </row>
    <row r="1307" spans="1:9" s="15" customFormat="1" ht="13.8">
      <c r="A1307" s="311" t="s">
        <v>2773</v>
      </c>
      <c r="B1307" s="328" t="s">
        <v>1574</v>
      </c>
      <c r="C1307" s="313" t="s">
        <v>332</v>
      </c>
      <c r="D1307" s="320">
        <v>72</v>
      </c>
      <c r="E1307" s="318"/>
      <c r="F1307" s="318">
        <v>14.76</v>
      </c>
      <c r="G1307" s="315"/>
      <c r="H1307" s="315">
        <f t="shared" si="295"/>
        <v>1062.72</v>
      </c>
      <c r="I1307" s="315">
        <f t="shared" si="296"/>
        <v>1062.72</v>
      </c>
    </row>
    <row r="1308" spans="1:9" s="15" customFormat="1" ht="13.8">
      <c r="A1308" s="311" t="s">
        <v>2774</v>
      </c>
      <c r="B1308" s="328" t="s">
        <v>1575</v>
      </c>
      <c r="C1308" s="313" t="s">
        <v>332</v>
      </c>
      <c r="D1308" s="320">
        <v>40</v>
      </c>
      <c r="E1308" s="318"/>
      <c r="F1308" s="318">
        <v>12</v>
      </c>
      <c r="G1308" s="315"/>
      <c r="H1308" s="315">
        <f t="shared" si="295"/>
        <v>480</v>
      </c>
      <c r="I1308" s="315">
        <f t="shared" si="296"/>
        <v>480</v>
      </c>
    </row>
    <row r="1309" spans="1:9" s="15" customFormat="1" ht="13.8">
      <c r="A1309" s="311" t="s">
        <v>2775</v>
      </c>
      <c r="B1309" s="326" t="s">
        <v>1576</v>
      </c>
      <c r="C1309" s="313" t="s">
        <v>332</v>
      </c>
      <c r="D1309" s="320">
        <v>2</v>
      </c>
      <c r="E1309" s="318"/>
      <c r="F1309" s="345">
        <v>247</v>
      </c>
      <c r="G1309" s="315"/>
      <c r="H1309" s="315">
        <f t="shared" si="295"/>
        <v>494</v>
      </c>
      <c r="I1309" s="315">
        <f t="shared" si="296"/>
        <v>494</v>
      </c>
    </row>
    <row r="1310" spans="1:9" s="15" customFormat="1" ht="13.8">
      <c r="A1310" s="311" t="s">
        <v>2776</v>
      </c>
      <c r="B1310" s="319" t="s">
        <v>1577</v>
      </c>
      <c r="C1310" s="313" t="s">
        <v>332</v>
      </c>
      <c r="D1310" s="334">
        <v>2</v>
      </c>
      <c r="E1310" s="318"/>
      <c r="F1310" s="333">
        <v>175.63</v>
      </c>
      <c r="G1310" s="315"/>
      <c r="H1310" s="315">
        <f t="shared" si="295"/>
        <v>351.26</v>
      </c>
      <c r="I1310" s="315">
        <f t="shared" si="296"/>
        <v>351.26</v>
      </c>
    </row>
    <row r="1311" spans="1:9" s="15" customFormat="1" ht="13.8">
      <c r="A1311" s="311" t="s">
        <v>2777</v>
      </c>
      <c r="B1311" s="317" t="s">
        <v>1579</v>
      </c>
      <c r="C1311" s="313" t="s">
        <v>332</v>
      </c>
      <c r="D1311" s="314">
        <v>4</v>
      </c>
      <c r="E1311" s="318">
        <v>200</v>
      </c>
      <c r="F1311" s="318"/>
      <c r="G1311" s="315">
        <f>PRODUCT(D1311:E1311)</f>
        <v>800</v>
      </c>
      <c r="H1311" s="315"/>
      <c r="I1311" s="315">
        <f t="shared" ref="I1311" si="297">SUM(G1311:H1311)</f>
        <v>800</v>
      </c>
    </row>
    <row r="1312" spans="1:9" s="15" customFormat="1" ht="13.8">
      <c r="A1312" s="311" t="s">
        <v>2778</v>
      </c>
      <c r="B1312" s="317" t="s">
        <v>1581</v>
      </c>
      <c r="C1312" s="313" t="s">
        <v>332</v>
      </c>
      <c r="D1312" s="314">
        <v>2</v>
      </c>
      <c r="E1312" s="318"/>
      <c r="F1312" s="244">
        <v>2566</v>
      </c>
      <c r="G1312" s="315"/>
      <c r="H1312" s="315">
        <f t="shared" ref="H1312:H1317" si="298">PRODUCT(F1312,D1312)</f>
        <v>5132</v>
      </c>
      <c r="I1312" s="315">
        <f t="shared" si="296"/>
        <v>5132</v>
      </c>
    </row>
    <row r="1313" spans="1:9" s="15" customFormat="1" ht="13.8">
      <c r="A1313" s="311" t="s">
        <v>2779</v>
      </c>
      <c r="B1313" s="317" t="s">
        <v>1583</v>
      </c>
      <c r="C1313" s="313" t="s">
        <v>332</v>
      </c>
      <c r="D1313" s="314">
        <v>4</v>
      </c>
      <c r="E1313" s="318"/>
      <c r="F1313" s="318">
        <v>61</v>
      </c>
      <c r="G1313" s="315"/>
      <c r="H1313" s="315">
        <f t="shared" si="298"/>
        <v>244</v>
      </c>
      <c r="I1313" s="315">
        <f t="shared" si="296"/>
        <v>244</v>
      </c>
    </row>
    <row r="1314" spans="1:9" s="15" customFormat="1" ht="13.8">
      <c r="A1314" s="311" t="s">
        <v>2780</v>
      </c>
      <c r="B1314" s="319" t="s">
        <v>1549</v>
      </c>
      <c r="C1314" s="313" t="s">
        <v>332</v>
      </c>
      <c r="D1314" s="314">
        <v>2</v>
      </c>
      <c r="E1314" s="318"/>
      <c r="F1314" s="244">
        <v>141.06</v>
      </c>
      <c r="G1314" s="315"/>
      <c r="H1314" s="315">
        <f t="shared" si="298"/>
        <v>282.12</v>
      </c>
      <c r="I1314" s="315">
        <f t="shared" si="296"/>
        <v>282.12</v>
      </c>
    </row>
    <row r="1315" spans="1:9" s="15" customFormat="1" ht="13.8">
      <c r="A1315" s="311" t="s">
        <v>2781</v>
      </c>
      <c r="B1315" s="346" t="s">
        <v>1586</v>
      </c>
      <c r="C1315" s="313" t="s">
        <v>332</v>
      </c>
      <c r="D1315" s="314">
        <v>2</v>
      </c>
      <c r="E1315" s="318"/>
      <c r="F1315" s="318">
        <v>482</v>
      </c>
      <c r="G1315" s="315"/>
      <c r="H1315" s="315">
        <f t="shared" si="298"/>
        <v>964</v>
      </c>
      <c r="I1315" s="315">
        <f t="shared" si="296"/>
        <v>964</v>
      </c>
    </row>
    <row r="1316" spans="1:9" s="15" customFormat="1" ht="13.8">
      <c r="A1316" s="311" t="s">
        <v>2782</v>
      </c>
      <c r="B1316" s="317" t="s">
        <v>1588</v>
      </c>
      <c r="C1316" s="313" t="s">
        <v>332</v>
      </c>
      <c r="D1316" s="314">
        <v>4</v>
      </c>
      <c r="E1316" s="318"/>
      <c r="F1316" s="318">
        <v>1350</v>
      </c>
      <c r="G1316" s="315"/>
      <c r="H1316" s="315">
        <f t="shared" si="298"/>
        <v>5400</v>
      </c>
      <c r="I1316" s="315">
        <f t="shared" si="296"/>
        <v>5400</v>
      </c>
    </row>
    <row r="1317" spans="1:9" s="15" customFormat="1" ht="13.8">
      <c r="A1317" s="311" t="s">
        <v>2783</v>
      </c>
      <c r="B1317" s="317" t="s">
        <v>1590</v>
      </c>
      <c r="C1317" s="349" t="s">
        <v>332</v>
      </c>
      <c r="D1317" s="350">
        <v>2</v>
      </c>
      <c r="E1317" s="351"/>
      <c r="F1317" s="351">
        <v>1225</v>
      </c>
      <c r="G1317" s="352"/>
      <c r="H1317" s="352">
        <f t="shared" si="298"/>
        <v>2450</v>
      </c>
      <c r="I1317" s="352">
        <f t="shared" si="296"/>
        <v>2450</v>
      </c>
    </row>
    <row r="1318" spans="1:9" s="15" customFormat="1" ht="13.8">
      <c r="A1318" s="27"/>
      <c r="B1318" s="427" t="s">
        <v>2085</v>
      </c>
      <c r="C1318" s="533" t="s">
        <v>2784</v>
      </c>
      <c r="D1318" s="534"/>
      <c r="E1318" s="534"/>
      <c r="F1318" s="535"/>
      <c r="G1318" s="32">
        <f>SUM(G1130:G1317)</f>
        <v>2251841.2000000002</v>
      </c>
      <c r="H1318" s="32">
        <f t="shared" ref="H1318:I1318" si="299">SUM(H1130:H1317)</f>
        <v>5865479.0873118639</v>
      </c>
      <c r="I1318" s="32">
        <f t="shared" si="299"/>
        <v>8117320.2873118641</v>
      </c>
    </row>
    <row r="1319" spans="1:9" s="15" customFormat="1" ht="13.8">
      <c r="A1319" s="27"/>
      <c r="B1319" s="427" t="s">
        <v>2088</v>
      </c>
      <c r="C1319" s="530"/>
      <c r="D1319" s="531"/>
      <c r="E1319" s="531"/>
      <c r="F1319" s="532"/>
      <c r="G1319" s="32">
        <f>PRODUCT(G1318,1/1.2,0.2)</f>
        <v>375306.8666666667</v>
      </c>
      <c r="H1319" s="32">
        <f>PRODUCT(H1318,1/1.2,0.2)</f>
        <v>977579.84788531065</v>
      </c>
      <c r="I1319" s="32">
        <f>PRODUCT(I1318,1/1.2,0.2)</f>
        <v>1352886.7145519776</v>
      </c>
    </row>
    <row r="1320" spans="1:9" s="15" customFormat="1" ht="13.8">
      <c r="A1320" s="207"/>
      <c r="B1320" s="208" t="s">
        <v>2785</v>
      </c>
      <c r="C1320" s="209"/>
      <c r="D1320" s="210"/>
      <c r="E1320" s="31"/>
      <c r="F1320" s="211"/>
      <c r="G1320" s="212"/>
      <c r="H1320" s="212"/>
      <c r="I1320" s="212"/>
    </row>
    <row r="1321" spans="1:9" s="17" customFormat="1" ht="13.8">
      <c r="A1321" s="354" t="s">
        <v>1591</v>
      </c>
      <c r="B1321" s="355" t="s">
        <v>2786</v>
      </c>
      <c r="C1321" s="341" t="s">
        <v>20</v>
      </c>
      <c r="D1321" s="342">
        <v>5</v>
      </c>
      <c r="E1321" s="343">
        <v>3250</v>
      </c>
      <c r="F1321" s="343"/>
      <c r="G1321" s="356">
        <f t="shared" ref="G1321" si="300">PRODUCT(E1321,D1321)</f>
        <v>16250</v>
      </c>
      <c r="H1321" s="356"/>
      <c r="I1321" s="356">
        <f t="shared" ref="I1321:I1329" si="301">SUM(G1321:H1321)</f>
        <v>16250</v>
      </c>
    </row>
    <row r="1322" spans="1:9" s="17" customFormat="1" ht="13.8">
      <c r="A1322" s="354" t="s">
        <v>1592</v>
      </c>
      <c r="B1322" s="355" t="s">
        <v>1593</v>
      </c>
      <c r="C1322" s="341" t="s">
        <v>20</v>
      </c>
      <c r="D1322" s="342">
        <v>5</v>
      </c>
      <c r="E1322" s="343"/>
      <c r="F1322" s="343">
        <v>3837.86</v>
      </c>
      <c r="G1322" s="356"/>
      <c r="H1322" s="356">
        <f t="shared" ref="H1322" si="302">PRODUCT(F1322,D1322)</f>
        <v>19189.3</v>
      </c>
      <c r="I1322" s="356">
        <f t="shared" ref="I1322" si="303">SUM(G1322:H1322)</f>
        <v>19189.3</v>
      </c>
    </row>
    <row r="1323" spans="1:9" s="17" customFormat="1" ht="13.8">
      <c r="A1323" s="354" t="s">
        <v>1594</v>
      </c>
      <c r="B1323" s="355" t="s">
        <v>1595</v>
      </c>
      <c r="C1323" s="341" t="s">
        <v>1596</v>
      </c>
      <c r="D1323" s="342">
        <v>40</v>
      </c>
      <c r="E1323" s="343"/>
      <c r="F1323" s="343">
        <v>133</v>
      </c>
      <c r="G1323" s="356"/>
      <c r="H1323" s="356">
        <f t="shared" ref="H1323:H1329" si="304">PRODUCT(F1323,D1323)</f>
        <v>5320</v>
      </c>
      <c r="I1323" s="356">
        <f t="shared" si="301"/>
        <v>5320</v>
      </c>
    </row>
    <row r="1324" spans="1:9" s="17" customFormat="1" ht="13.8">
      <c r="A1324" s="354" t="s">
        <v>1597</v>
      </c>
      <c r="B1324" s="355" t="s">
        <v>1598</v>
      </c>
      <c r="C1324" s="341" t="s">
        <v>20</v>
      </c>
      <c r="D1324" s="342">
        <v>5</v>
      </c>
      <c r="E1324" s="343"/>
      <c r="F1324" s="343">
        <v>257</v>
      </c>
      <c r="G1324" s="356"/>
      <c r="H1324" s="356">
        <f t="shared" si="304"/>
        <v>1285</v>
      </c>
      <c r="I1324" s="356">
        <f t="shared" si="301"/>
        <v>1285</v>
      </c>
    </row>
    <row r="1325" spans="1:9" s="17" customFormat="1" ht="13.8">
      <c r="A1325" s="354" t="s">
        <v>1599</v>
      </c>
      <c r="B1325" s="355" t="s">
        <v>1600</v>
      </c>
      <c r="C1325" s="341" t="s">
        <v>20</v>
      </c>
      <c r="D1325" s="342">
        <v>20</v>
      </c>
      <c r="E1325" s="343"/>
      <c r="F1325" s="343">
        <v>17</v>
      </c>
      <c r="G1325" s="356"/>
      <c r="H1325" s="356">
        <f t="shared" si="304"/>
        <v>340</v>
      </c>
      <c r="I1325" s="356">
        <f t="shared" si="301"/>
        <v>340</v>
      </c>
    </row>
    <row r="1326" spans="1:9" s="17" customFormat="1" ht="13.8">
      <c r="A1326" s="354" t="s">
        <v>1601</v>
      </c>
      <c r="B1326" s="355" t="s">
        <v>1602</v>
      </c>
      <c r="C1326" s="341" t="s">
        <v>20</v>
      </c>
      <c r="D1326" s="342">
        <v>5</v>
      </c>
      <c r="E1326" s="343"/>
      <c r="F1326" s="343">
        <v>212</v>
      </c>
      <c r="G1326" s="356"/>
      <c r="H1326" s="356">
        <f t="shared" si="304"/>
        <v>1060</v>
      </c>
      <c r="I1326" s="356">
        <f t="shared" si="301"/>
        <v>1060</v>
      </c>
    </row>
    <row r="1327" spans="1:9" s="17" customFormat="1" ht="13.8">
      <c r="A1327" s="354" t="s">
        <v>1603</v>
      </c>
      <c r="B1327" s="355" t="s">
        <v>1604</v>
      </c>
      <c r="C1327" s="341" t="s">
        <v>20</v>
      </c>
      <c r="D1327" s="342">
        <v>5</v>
      </c>
      <c r="E1327" s="343"/>
      <c r="F1327" s="343">
        <v>201</v>
      </c>
      <c r="G1327" s="356"/>
      <c r="H1327" s="356">
        <f t="shared" si="304"/>
        <v>1005</v>
      </c>
      <c r="I1327" s="356">
        <f t="shared" si="301"/>
        <v>1005</v>
      </c>
    </row>
    <row r="1328" spans="1:9" s="17" customFormat="1" ht="13.8">
      <c r="A1328" s="354" t="s">
        <v>1605</v>
      </c>
      <c r="B1328" s="355" t="s">
        <v>1606</v>
      </c>
      <c r="C1328" s="341" t="s">
        <v>20</v>
      </c>
      <c r="D1328" s="342">
        <v>40</v>
      </c>
      <c r="E1328" s="343"/>
      <c r="F1328" s="343">
        <v>41</v>
      </c>
      <c r="G1328" s="356"/>
      <c r="H1328" s="356">
        <f t="shared" si="304"/>
        <v>1640</v>
      </c>
      <c r="I1328" s="356">
        <f t="shared" si="301"/>
        <v>1640</v>
      </c>
    </row>
    <row r="1329" spans="1:9" s="17" customFormat="1" ht="13.8">
      <c r="A1329" s="354" t="s">
        <v>1607</v>
      </c>
      <c r="B1329" s="355" t="s">
        <v>1608</v>
      </c>
      <c r="C1329" s="341" t="s">
        <v>20</v>
      </c>
      <c r="D1329" s="342">
        <v>5</v>
      </c>
      <c r="E1329" s="343"/>
      <c r="F1329" s="343">
        <v>13</v>
      </c>
      <c r="G1329" s="356"/>
      <c r="H1329" s="356">
        <f t="shared" si="304"/>
        <v>65</v>
      </c>
      <c r="I1329" s="356">
        <f t="shared" si="301"/>
        <v>65</v>
      </c>
    </row>
    <row r="1330" spans="1:9" s="18" customFormat="1" ht="13.8">
      <c r="A1330" s="354" t="s">
        <v>1609</v>
      </c>
      <c r="B1330" s="357" t="s">
        <v>1610</v>
      </c>
      <c r="C1330" s="358" t="s">
        <v>25</v>
      </c>
      <c r="D1330" s="342">
        <v>20</v>
      </c>
      <c r="E1330" s="359"/>
      <c r="F1330" s="359">
        <v>133.30000000000001</v>
      </c>
      <c r="G1330" s="359"/>
      <c r="H1330" s="356">
        <f t="shared" ref="H1330:H1335" si="305">D1330*F1330</f>
        <v>2666</v>
      </c>
      <c r="I1330" s="356">
        <f t="shared" ref="I1330:I1335" si="306">G1330+H1330</f>
        <v>2666</v>
      </c>
    </row>
    <row r="1331" spans="1:9" s="18" customFormat="1" ht="13.8">
      <c r="A1331" s="354" t="s">
        <v>1611</v>
      </c>
      <c r="B1331" s="357" t="s">
        <v>1612</v>
      </c>
      <c r="C1331" s="358" t="s">
        <v>20</v>
      </c>
      <c r="D1331" s="342">
        <v>12</v>
      </c>
      <c r="E1331" s="359"/>
      <c r="F1331" s="359">
        <v>26.7</v>
      </c>
      <c r="G1331" s="359"/>
      <c r="H1331" s="356">
        <f t="shared" si="305"/>
        <v>320.39999999999998</v>
      </c>
      <c r="I1331" s="356">
        <f t="shared" si="306"/>
        <v>320.39999999999998</v>
      </c>
    </row>
    <row r="1332" spans="1:9" s="18" customFormat="1" ht="13.8">
      <c r="A1332" s="354" t="s">
        <v>1613</v>
      </c>
      <c r="B1332" s="357" t="s">
        <v>1614</v>
      </c>
      <c r="C1332" s="358" t="s">
        <v>20</v>
      </c>
      <c r="D1332" s="342">
        <v>3</v>
      </c>
      <c r="E1332" s="359"/>
      <c r="F1332" s="359">
        <v>285</v>
      </c>
      <c r="G1332" s="359"/>
      <c r="H1332" s="356">
        <f t="shared" si="305"/>
        <v>855</v>
      </c>
      <c r="I1332" s="356">
        <f t="shared" si="306"/>
        <v>855</v>
      </c>
    </row>
    <row r="1333" spans="1:9" s="18" customFormat="1" ht="13.8">
      <c r="A1333" s="354" t="s">
        <v>1615</v>
      </c>
      <c r="B1333" s="357" t="s">
        <v>1616</v>
      </c>
      <c r="C1333" s="358" t="s">
        <v>20</v>
      </c>
      <c r="D1333" s="342">
        <v>6</v>
      </c>
      <c r="E1333" s="359"/>
      <c r="F1333" s="359">
        <v>208</v>
      </c>
      <c r="G1333" s="359"/>
      <c r="H1333" s="356">
        <f t="shared" si="305"/>
        <v>1248</v>
      </c>
      <c r="I1333" s="356">
        <f t="shared" si="306"/>
        <v>1248</v>
      </c>
    </row>
    <row r="1334" spans="1:9" s="18" customFormat="1" ht="13.8">
      <c r="A1334" s="354" t="s">
        <v>1617</v>
      </c>
      <c r="B1334" s="357" t="s">
        <v>1618</v>
      </c>
      <c r="C1334" s="358" t="s">
        <v>20</v>
      </c>
      <c r="D1334" s="342">
        <v>25</v>
      </c>
      <c r="E1334" s="359"/>
      <c r="F1334" s="359">
        <v>27.5</v>
      </c>
      <c r="G1334" s="359"/>
      <c r="H1334" s="356">
        <f t="shared" si="305"/>
        <v>687.5</v>
      </c>
      <c r="I1334" s="356">
        <f t="shared" si="306"/>
        <v>687.5</v>
      </c>
    </row>
    <row r="1335" spans="1:9" s="18" customFormat="1" ht="13.8">
      <c r="A1335" s="354" t="s">
        <v>1619</v>
      </c>
      <c r="B1335" s="357" t="s">
        <v>1620</v>
      </c>
      <c r="C1335" s="358" t="s">
        <v>20</v>
      </c>
      <c r="D1335" s="342">
        <v>3</v>
      </c>
      <c r="E1335" s="359"/>
      <c r="F1335" s="359">
        <v>157</v>
      </c>
      <c r="G1335" s="359"/>
      <c r="H1335" s="356">
        <f t="shared" si="305"/>
        <v>471</v>
      </c>
      <c r="I1335" s="356">
        <f t="shared" si="306"/>
        <v>471</v>
      </c>
    </row>
    <row r="1336" spans="1:9" s="17" customFormat="1" ht="13.8">
      <c r="A1336" s="354" t="s">
        <v>1621</v>
      </c>
      <c r="B1336" s="355" t="s">
        <v>1622</v>
      </c>
      <c r="C1336" s="341" t="s">
        <v>1596</v>
      </c>
      <c r="D1336" s="342">
        <f>SUM(D1337:D1338)</f>
        <v>25.5</v>
      </c>
      <c r="E1336" s="343">
        <v>300</v>
      </c>
      <c r="F1336" s="353"/>
      <c r="G1336" s="356">
        <f t="shared" ref="G1336" si="307">PRODUCT(E1336,D1336)</f>
        <v>7650</v>
      </c>
      <c r="H1336" s="356"/>
      <c r="I1336" s="356">
        <f t="shared" ref="I1336" si="308">SUM(G1336:H1336)</f>
        <v>7650</v>
      </c>
    </row>
    <row r="1337" spans="1:9" s="17" customFormat="1" ht="13.8">
      <c r="A1337" s="354" t="s">
        <v>1623</v>
      </c>
      <c r="B1337" s="355" t="s">
        <v>1624</v>
      </c>
      <c r="C1337" s="341" t="s">
        <v>25</v>
      </c>
      <c r="D1337" s="342">
        <v>16.3</v>
      </c>
      <c r="E1337" s="343"/>
      <c r="F1337" s="345">
        <v>192</v>
      </c>
      <c r="G1337" s="356"/>
      <c r="H1337" s="356">
        <f t="shared" ref="H1337:H1349" si="309">PRODUCT(F1337,D1337)</f>
        <v>3129.6000000000004</v>
      </c>
      <c r="I1337" s="356">
        <f t="shared" ref="I1337:I1389" si="310">SUM(G1337:H1337)</f>
        <v>3129.6000000000004</v>
      </c>
    </row>
    <row r="1338" spans="1:9" s="17" customFormat="1" ht="13.8">
      <c r="A1338" s="354" t="s">
        <v>1625</v>
      </c>
      <c r="B1338" s="355" t="s">
        <v>1626</v>
      </c>
      <c r="C1338" s="341" t="s">
        <v>25</v>
      </c>
      <c r="D1338" s="342">
        <v>9.1999999999999993</v>
      </c>
      <c r="E1338" s="343"/>
      <c r="F1338" s="345">
        <v>631.4</v>
      </c>
      <c r="G1338" s="356"/>
      <c r="H1338" s="356">
        <f t="shared" si="309"/>
        <v>5808.8799999999992</v>
      </c>
      <c r="I1338" s="356">
        <f t="shared" si="310"/>
        <v>5808.8799999999992</v>
      </c>
    </row>
    <row r="1339" spans="1:9" s="17" customFormat="1" ht="13.8">
      <c r="A1339" s="354" t="s">
        <v>1627</v>
      </c>
      <c r="B1339" s="355" t="s">
        <v>1628</v>
      </c>
      <c r="C1339" s="341" t="s">
        <v>20</v>
      </c>
      <c r="D1339" s="342">
        <v>2</v>
      </c>
      <c r="E1339" s="343"/>
      <c r="F1339" s="343">
        <v>455</v>
      </c>
      <c r="G1339" s="356"/>
      <c r="H1339" s="356">
        <f t="shared" si="309"/>
        <v>910</v>
      </c>
      <c r="I1339" s="356">
        <f t="shared" si="310"/>
        <v>910</v>
      </c>
    </row>
    <row r="1340" spans="1:9" s="17" customFormat="1" ht="13.8">
      <c r="A1340" s="354" t="s">
        <v>1629</v>
      </c>
      <c r="B1340" s="360" t="s">
        <v>1630</v>
      </c>
      <c r="C1340" s="341" t="s">
        <v>20</v>
      </c>
      <c r="D1340" s="342">
        <v>5</v>
      </c>
      <c r="E1340" s="343"/>
      <c r="F1340" s="345">
        <v>296</v>
      </c>
      <c r="G1340" s="356"/>
      <c r="H1340" s="356">
        <f t="shared" si="309"/>
        <v>1480</v>
      </c>
      <c r="I1340" s="356">
        <f t="shared" si="310"/>
        <v>1480</v>
      </c>
    </row>
    <row r="1341" spans="1:9" s="17" customFormat="1" ht="13.8">
      <c r="A1341" s="354" t="s">
        <v>1631</v>
      </c>
      <c r="B1341" s="355" t="s">
        <v>1632</v>
      </c>
      <c r="C1341" s="341" t="s">
        <v>20</v>
      </c>
      <c r="D1341" s="342">
        <v>1</v>
      </c>
      <c r="E1341" s="343"/>
      <c r="F1341" s="343">
        <v>1430.28</v>
      </c>
      <c r="G1341" s="356"/>
      <c r="H1341" s="356">
        <f t="shared" si="309"/>
        <v>1430.28</v>
      </c>
      <c r="I1341" s="356">
        <f t="shared" si="310"/>
        <v>1430.28</v>
      </c>
    </row>
    <row r="1342" spans="1:9" s="17" customFormat="1" ht="13.8">
      <c r="A1342" s="354" t="s">
        <v>1633</v>
      </c>
      <c r="B1342" s="355" t="s">
        <v>1634</v>
      </c>
      <c r="C1342" s="341" t="s">
        <v>20</v>
      </c>
      <c r="D1342" s="342">
        <v>2</v>
      </c>
      <c r="E1342" s="343"/>
      <c r="F1342" s="343">
        <v>2489.2800000000002</v>
      </c>
      <c r="G1342" s="356"/>
      <c r="H1342" s="356">
        <f t="shared" si="309"/>
        <v>4978.5600000000004</v>
      </c>
      <c r="I1342" s="356">
        <f t="shared" si="310"/>
        <v>4978.5600000000004</v>
      </c>
    </row>
    <row r="1343" spans="1:9" s="17" customFormat="1" ht="13.8">
      <c r="A1343" s="354" t="s">
        <v>1635</v>
      </c>
      <c r="B1343" s="355" t="s">
        <v>1636</v>
      </c>
      <c r="C1343" s="341" t="s">
        <v>20</v>
      </c>
      <c r="D1343" s="342">
        <v>2</v>
      </c>
      <c r="E1343" s="343"/>
      <c r="F1343" s="343">
        <v>902.85</v>
      </c>
      <c r="G1343" s="356"/>
      <c r="H1343" s="356">
        <f t="shared" si="309"/>
        <v>1805.7</v>
      </c>
      <c r="I1343" s="356">
        <f t="shared" si="310"/>
        <v>1805.7</v>
      </c>
    </row>
    <row r="1344" spans="1:9" s="17" customFormat="1" ht="13.8">
      <c r="A1344" s="354" t="s">
        <v>1637</v>
      </c>
      <c r="B1344" s="355" t="s">
        <v>1638</v>
      </c>
      <c r="C1344" s="341" t="s">
        <v>20</v>
      </c>
      <c r="D1344" s="342">
        <v>1</v>
      </c>
      <c r="E1344" s="343"/>
      <c r="F1344" s="343">
        <v>1003</v>
      </c>
      <c r="G1344" s="356"/>
      <c r="H1344" s="356">
        <f t="shared" si="309"/>
        <v>1003</v>
      </c>
      <c r="I1344" s="356">
        <f t="shared" si="310"/>
        <v>1003</v>
      </c>
    </row>
    <row r="1345" spans="1:9" s="17" customFormat="1" ht="13.8">
      <c r="A1345" s="354" t="s">
        <v>1639</v>
      </c>
      <c r="B1345" s="262" t="s">
        <v>1640</v>
      </c>
      <c r="C1345" s="341" t="s">
        <v>20</v>
      </c>
      <c r="D1345" s="342">
        <v>2</v>
      </c>
      <c r="E1345" s="343"/>
      <c r="F1345" s="343">
        <v>951</v>
      </c>
      <c r="G1345" s="356"/>
      <c r="H1345" s="356">
        <f t="shared" si="309"/>
        <v>1902</v>
      </c>
      <c r="I1345" s="356">
        <f t="shared" si="310"/>
        <v>1902</v>
      </c>
    </row>
    <row r="1346" spans="1:9" s="17" customFormat="1" ht="13.8">
      <c r="A1346" s="354" t="s">
        <v>1641</v>
      </c>
      <c r="B1346" s="355" t="s">
        <v>1642</v>
      </c>
      <c r="C1346" s="341" t="s">
        <v>20</v>
      </c>
      <c r="D1346" s="342">
        <v>2</v>
      </c>
      <c r="E1346" s="343"/>
      <c r="F1346" s="343">
        <v>951.86</v>
      </c>
      <c r="G1346" s="356"/>
      <c r="H1346" s="356">
        <f t="shared" si="309"/>
        <v>1903.72</v>
      </c>
      <c r="I1346" s="356">
        <f t="shared" si="310"/>
        <v>1903.72</v>
      </c>
    </row>
    <row r="1347" spans="1:9" s="17" customFormat="1" ht="13.8">
      <c r="A1347" s="354" t="s">
        <v>1643</v>
      </c>
      <c r="B1347" s="355" t="s">
        <v>1644</v>
      </c>
      <c r="C1347" s="341" t="s">
        <v>20</v>
      </c>
      <c r="D1347" s="342">
        <f>PRODUCT(D1346)</f>
        <v>2</v>
      </c>
      <c r="E1347" s="343"/>
      <c r="F1347" s="343">
        <v>27.12</v>
      </c>
      <c r="G1347" s="356"/>
      <c r="H1347" s="356">
        <f t="shared" si="309"/>
        <v>54.24</v>
      </c>
      <c r="I1347" s="356">
        <f t="shared" si="310"/>
        <v>54.24</v>
      </c>
    </row>
    <row r="1348" spans="1:9" s="17" customFormat="1" ht="13.8">
      <c r="A1348" s="354" t="s">
        <v>1645</v>
      </c>
      <c r="B1348" s="355" t="s">
        <v>1646</v>
      </c>
      <c r="C1348" s="341" t="s">
        <v>20</v>
      </c>
      <c r="D1348" s="342">
        <v>1</v>
      </c>
      <c r="E1348" s="343"/>
      <c r="F1348" s="343">
        <v>518.4</v>
      </c>
      <c r="G1348" s="356"/>
      <c r="H1348" s="356">
        <f t="shared" si="309"/>
        <v>518.4</v>
      </c>
      <c r="I1348" s="356">
        <f t="shared" si="310"/>
        <v>518.4</v>
      </c>
    </row>
    <row r="1349" spans="1:9" s="17" customFormat="1" ht="13.8">
      <c r="A1349" s="354" t="s">
        <v>1647</v>
      </c>
      <c r="B1349" s="355" t="s">
        <v>1489</v>
      </c>
      <c r="C1349" s="341" t="s">
        <v>20</v>
      </c>
      <c r="D1349" s="342">
        <v>16</v>
      </c>
      <c r="E1349" s="343"/>
      <c r="F1349" s="343">
        <v>60.23</v>
      </c>
      <c r="G1349" s="356"/>
      <c r="H1349" s="356">
        <f t="shared" si="309"/>
        <v>963.68</v>
      </c>
      <c r="I1349" s="356">
        <f t="shared" si="310"/>
        <v>963.68</v>
      </c>
    </row>
    <row r="1350" spans="1:9" s="17" customFormat="1" ht="13.8">
      <c r="A1350" s="354" t="s">
        <v>1648</v>
      </c>
      <c r="B1350" s="355" t="s">
        <v>1649</v>
      </c>
      <c r="C1350" s="341" t="s">
        <v>120</v>
      </c>
      <c r="D1350" s="342">
        <f>SUM(D1351:D1352)</f>
        <v>1355.7</v>
      </c>
      <c r="E1350" s="343">
        <v>300</v>
      </c>
      <c r="F1350" s="353"/>
      <c r="G1350" s="356">
        <f t="shared" ref="G1350" si="311">PRODUCT(E1350,D1350)</f>
        <v>406710</v>
      </c>
      <c r="H1350" s="356"/>
      <c r="I1350" s="356">
        <f t="shared" si="310"/>
        <v>406710</v>
      </c>
    </row>
    <row r="1351" spans="1:9" s="17" customFormat="1" ht="13.8">
      <c r="A1351" s="354" t="s">
        <v>1650</v>
      </c>
      <c r="B1351" s="355" t="s">
        <v>1651</v>
      </c>
      <c r="C1351" s="341" t="s">
        <v>25</v>
      </c>
      <c r="D1351" s="342">
        <v>14.4</v>
      </c>
      <c r="E1351" s="343"/>
      <c r="F1351" s="345">
        <v>80.709999999999994</v>
      </c>
      <c r="G1351" s="356"/>
      <c r="H1351" s="356">
        <f t="shared" ref="H1351:H1372" si="312">PRODUCT(F1351,D1351)</f>
        <v>1162.2239999999999</v>
      </c>
      <c r="I1351" s="356">
        <f t="shared" si="310"/>
        <v>1162.2239999999999</v>
      </c>
    </row>
    <row r="1352" spans="1:9" s="17" customFormat="1" ht="13.8">
      <c r="A1352" s="354" t="s">
        <v>1652</v>
      </c>
      <c r="B1352" s="355" t="s">
        <v>1653</v>
      </c>
      <c r="C1352" s="341" t="s">
        <v>25</v>
      </c>
      <c r="D1352" s="342">
        <v>1341.3</v>
      </c>
      <c r="E1352" s="343"/>
      <c r="F1352" s="345">
        <v>197.29</v>
      </c>
      <c r="G1352" s="356"/>
      <c r="H1352" s="356">
        <f t="shared" si="312"/>
        <v>264625.07699999999</v>
      </c>
      <c r="I1352" s="356">
        <f t="shared" si="310"/>
        <v>264625.07699999999</v>
      </c>
    </row>
    <row r="1353" spans="1:9" s="17" customFormat="1" ht="13.8">
      <c r="A1353" s="354" t="s">
        <v>1654</v>
      </c>
      <c r="B1353" s="355" t="s">
        <v>1655</v>
      </c>
      <c r="C1353" s="341" t="s">
        <v>20</v>
      </c>
      <c r="D1353" s="342">
        <v>1103</v>
      </c>
      <c r="E1353" s="343"/>
      <c r="F1353" s="343">
        <v>59</v>
      </c>
      <c r="G1353" s="356"/>
      <c r="H1353" s="356">
        <f t="shared" si="312"/>
        <v>65077</v>
      </c>
      <c r="I1353" s="356">
        <f t="shared" si="310"/>
        <v>65077</v>
      </c>
    </row>
    <row r="1354" spans="1:9" s="17" customFormat="1" ht="13.8">
      <c r="A1354" s="354" t="s">
        <v>1656</v>
      </c>
      <c r="B1354" s="355" t="s">
        <v>1657</v>
      </c>
      <c r="C1354" s="341" t="s">
        <v>20</v>
      </c>
      <c r="D1354" s="342">
        <v>1103</v>
      </c>
      <c r="E1354" s="343"/>
      <c r="F1354" s="343">
        <v>17</v>
      </c>
      <c r="G1354" s="356"/>
      <c r="H1354" s="356">
        <f t="shared" si="312"/>
        <v>18751</v>
      </c>
      <c r="I1354" s="356">
        <f t="shared" si="310"/>
        <v>18751</v>
      </c>
    </row>
    <row r="1355" spans="1:9" s="17" customFormat="1" ht="13.8">
      <c r="A1355" s="354" t="s">
        <v>1658</v>
      </c>
      <c r="B1355" s="355" t="s">
        <v>1655</v>
      </c>
      <c r="C1355" s="341" t="s">
        <v>20</v>
      </c>
      <c r="D1355" s="342">
        <v>176</v>
      </c>
      <c r="E1355" s="343"/>
      <c r="F1355" s="343">
        <v>59</v>
      </c>
      <c r="G1355" s="356"/>
      <c r="H1355" s="356">
        <f t="shared" si="312"/>
        <v>10384</v>
      </c>
      <c r="I1355" s="356">
        <f t="shared" si="310"/>
        <v>10384</v>
      </c>
    </row>
    <row r="1356" spans="1:9" s="17" customFormat="1" ht="13.8">
      <c r="A1356" s="354" t="s">
        <v>1659</v>
      </c>
      <c r="B1356" s="355" t="s">
        <v>1660</v>
      </c>
      <c r="C1356" s="341" t="s">
        <v>20</v>
      </c>
      <c r="D1356" s="342">
        <v>88</v>
      </c>
      <c r="E1356" s="343"/>
      <c r="F1356" s="343">
        <v>194.52</v>
      </c>
      <c r="G1356" s="356"/>
      <c r="H1356" s="356">
        <f t="shared" si="312"/>
        <v>17117.760000000002</v>
      </c>
      <c r="I1356" s="356">
        <f t="shared" si="310"/>
        <v>17117.760000000002</v>
      </c>
    </row>
    <row r="1357" spans="1:9" s="17" customFormat="1" ht="13.8">
      <c r="A1357" s="354" t="s">
        <v>1661</v>
      </c>
      <c r="B1357" s="355" t="s">
        <v>1662</v>
      </c>
      <c r="C1357" s="341" t="s">
        <v>20</v>
      </c>
      <c r="D1357" s="342">
        <v>176</v>
      </c>
      <c r="E1357" s="343"/>
      <c r="F1357" s="343">
        <v>42.12</v>
      </c>
      <c r="G1357" s="356"/>
      <c r="H1357" s="356">
        <f t="shared" si="312"/>
        <v>7413.12</v>
      </c>
      <c r="I1357" s="356">
        <f t="shared" si="310"/>
        <v>7413.12</v>
      </c>
    </row>
    <row r="1358" spans="1:9" s="17" customFormat="1" ht="13.8">
      <c r="A1358" s="354" t="s">
        <v>1663</v>
      </c>
      <c r="B1358" s="355" t="s">
        <v>1664</v>
      </c>
      <c r="C1358" s="341" t="s">
        <v>20</v>
      </c>
      <c r="D1358" s="342">
        <v>35</v>
      </c>
      <c r="E1358" s="343"/>
      <c r="F1358" s="345">
        <v>63.05</v>
      </c>
      <c r="G1358" s="356"/>
      <c r="H1358" s="356">
        <f t="shared" si="312"/>
        <v>2206.75</v>
      </c>
      <c r="I1358" s="356">
        <f t="shared" si="310"/>
        <v>2206.75</v>
      </c>
    </row>
    <row r="1359" spans="1:9" s="17" customFormat="1" ht="13.8">
      <c r="A1359" s="354" t="s">
        <v>1665</v>
      </c>
      <c r="B1359" s="355" t="s">
        <v>1666</v>
      </c>
      <c r="C1359" s="341" t="s">
        <v>20</v>
      </c>
      <c r="D1359" s="342">
        <v>24</v>
      </c>
      <c r="E1359" s="343"/>
      <c r="F1359" s="345">
        <v>52.88</v>
      </c>
      <c r="G1359" s="356"/>
      <c r="H1359" s="356">
        <f t="shared" si="312"/>
        <v>1269.1200000000001</v>
      </c>
      <c r="I1359" s="356">
        <f t="shared" si="310"/>
        <v>1269.1200000000001</v>
      </c>
    </row>
    <row r="1360" spans="1:9" s="17" customFormat="1" ht="13.8">
      <c r="A1360" s="354" t="s">
        <v>1667</v>
      </c>
      <c r="B1360" s="355" t="s">
        <v>1668</v>
      </c>
      <c r="C1360" s="341" t="s">
        <v>20</v>
      </c>
      <c r="D1360" s="342">
        <v>5</v>
      </c>
      <c r="E1360" s="343"/>
      <c r="F1360" s="343">
        <v>16</v>
      </c>
      <c r="G1360" s="356"/>
      <c r="H1360" s="356">
        <f t="shared" si="312"/>
        <v>80</v>
      </c>
      <c r="I1360" s="356">
        <f t="shared" si="310"/>
        <v>80</v>
      </c>
    </row>
    <row r="1361" spans="1:9" s="17" customFormat="1" ht="13.8">
      <c r="A1361" s="354" t="s">
        <v>1669</v>
      </c>
      <c r="B1361" s="355" t="s">
        <v>1670</v>
      </c>
      <c r="C1361" s="341" t="s">
        <v>20</v>
      </c>
      <c r="D1361" s="342">
        <v>14</v>
      </c>
      <c r="E1361" s="343"/>
      <c r="F1361" s="345">
        <v>91.52</v>
      </c>
      <c r="G1361" s="356"/>
      <c r="H1361" s="356">
        <f t="shared" si="312"/>
        <v>1281.28</v>
      </c>
      <c r="I1361" s="356">
        <f t="shared" si="310"/>
        <v>1281.28</v>
      </c>
    </row>
    <row r="1362" spans="1:9" s="17" customFormat="1" ht="13.8">
      <c r="A1362" s="354" t="s">
        <v>1671</v>
      </c>
      <c r="B1362" s="355" t="s">
        <v>1672</v>
      </c>
      <c r="C1362" s="341" t="s">
        <v>20</v>
      </c>
      <c r="D1362" s="342">
        <v>3</v>
      </c>
      <c r="E1362" s="343"/>
      <c r="F1362" s="345">
        <v>66.099999999999994</v>
      </c>
      <c r="G1362" s="356"/>
      <c r="H1362" s="356">
        <f t="shared" si="312"/>
        <v>198.29999999999998</v>
      </c>
      <c r="I1362" s="356">
        <f t="shared" si="310"/>
        <v>198.29999999999998</v>
      </c>
    </row>
    <row r="1363" spans="1:9" s="17" customFormat="1" ht="13.8">
      <c r="A1363" s="354" t="s">
        <v>1673</v>
      </c>
      <c r="B1363" s="355" t="s">
        <v>1674</v>
      </c>
      <c r="C1363" s="341" t="s">
        <v>20</v>
      </c>
      <c r="D1363" s="342">
        <v>36</v>
      </c>
      <c r="E1363" s="343"/>
      <c r="F1363" s="345">
        <v>101.7</v>
      </c>
      <c r="G1363" s="356"/>
      <c r="H1363" s="356">
        <f t="shared" si="312"/>
        <v>3661.2000000000003</v>
      </c>
      <c r="I1363" s="356">
        <f t="shared" si="310"/>
        <v>3661.2000000000003</v>
      </c>
    </row>
    <row r="1364" spans="1:9" s="17" customFormat="1" ht="13.8">
      <c r="A1364" s="354" t="s">
        <v>1675</v>
      </c>
      <c r="B1364" s="355" t="s">
        <v>1676</v>
      </c>
      <c r="C1364" s="341" t="s">
        <v>20</v>
      </c>
      <c r="D1364" s="342">
        <v>18</v>
      </c>
      <c r="E1364" s="343"/>
      <c r="F1364" s="345">
        <v>12.2</v>
      </c>
      <c r="G1364" s="356"/>
      <c r="H1364" s="356">
        <f t="shared" si="312"/>
        <v>219.6</v>
      </c>
      <c r="I1364" s="356">
        <f t="shared" si="310"/>
        <v>219.6</v>
      </c>
    </row>
    <row r="1365" spans="1:9" s="17" customFormat="1" ht="13.8">
      <c r="A1365" s="354" t="s">
        <v>1677</v>
      </c>
      <c r="B1365" s="355" t="s">
        <v>1678</v>
      </c>
      <c r="C1365" s="341" t="s">
        <v>20</v>
      </c>
      <c r="D1365" s="342">
        <v>1</v>
      </c>
      <c r="E1365" s="343"/>
      <c r="F1365" s="343">
        <v>110.84</v>
      </c>
      <c r="G1365" s="356"/>
      <c r="H1365" s="356">
        <f t="shared" si="312"/>
        <v>110.84</v>
      </c>
      <c r="I1365" s="356">
        <f t="shared" si="310"/>
        <v>110.84</v>
      </c>
    </row>
    <row r="1366" spans="1:9" s="17" customFormat="1" ht="13.8">
      <c r="A1366" s="354" t="s">
        <v>1679</v>
      </c>
      <c r="B1366" s="355" t="s">
        <v>1680</v>
      </c>
      <c r="C1366" s="341" t="s">
        <v>20</v>
      </c>
      <c r="D1366" s="342">
        <v>285</v>
      </c>
      <c r="E1366" s="343"/>
      <c r="F1366" s="345">
        <v>91.52</v>
      </c>
      <c r="G1366" s="356"/>
      <c r="H1366" s="356">
        <f t="shared" si="312"/>
        <v>26083.199999999997</v>
      </c>
      <c r="I1366" s="356">
        <f t="shared" si="310"/>
        <v>26083.199999999997</v>
      </c>
    </row>
    <row r="1367" spans="1:9" s="17" customFormat="1" ht="13.8">
      <c r="A1367" s="354" t="s">
        <v>1681</v>
      </c>
      <c r="B1367" s="355" t="s">
        <v>1672</v>
      </c>
      <c r="C1367" s="341" t="s">
        <v>20</v>
      </c>
      <c r="D1367" s="342">
        <v>308</v>
      </c>
      <c r="E1367" s="343"/>
      <c r="F1367" s="345">
        <v>66.099999999999994</v>
      </c>
      <c r="G1367" s="356"/>
      <c r="H1367" s="356">
        <f t="shared" si="312"/>
        <v>20358.8</v>
      </c>
      <c r="I1367" s="356">
        <f t="shared" si="310"/>
        <v>20358.8</v>
      </c>
    </row>
    <row r="1368" spans="1:9" s="17" customFormat="1" ht="13.8">
      <c r="A1368" s="354" t="s">
        <v>1682</v>
      </c>
      <c r="B1368" s="355" t="s">
        <v>1676</v>
      </c>
      <c r="C1368" s="341" t="s">
        <v>20</v>
      </c>
      <c r="D1368" s="342">
        <v>285</v>
      </c>
      <c r="E1368" s="343"/>
      <c r="F1368" s="345">
        <v>12.2</v>
      </c>
      <c r="G1368" s="356"/>
      <c r="H1368" s="356">
        <f t="shared" si="312"/>
        <v>3477</v>
      </c>
      <c r="I1368" s="356">
        <f t="shared" si="310"/>
        <v>3477</v>
      </c>
    </row>
    <row r="1369" spans="1:9" s="17" customFormat="1" ht="13.8">
      <c r="A1369" s="354" t="s">
        <v>1683</v>
      </c>
      <c r="B1369" s="355" t="s">
        <v>1684</v>
      </c>
      <c r="C1369" s="341" t="s">
        <v>20</v>
      </c>
      <c r="D1369" s="342">
        <v>308</v>
      </c>
      <c r="E1369" s="343"/>
      <c r="F1369" s="343">
        <v>6</v>
      </c>
      <c r="G1369" s="356"/>
      <c r="H1369" s="356">
        <f t="shared" si="312"/>
        <v>1848</v>
      </c>
      <c r="I1369" s="356">
        <f t="shared" si="310"/>
        <v>1848</v>
      </c>
    </row>
    <row r="1370" spans="1:9" s="17" customFormat="1" ht="13.8">
      <c r="A1370" s="354" t="s">
        <v>1685</v>
      </c>
      <c r="B1370" s="355" t="s">
        <v>1678</v>
      </c>
      <c r="C1370" s="341" t="s">
        <v>20</v>
      </c>
      <c r="D1370" s="342">
        <v>98</v>
      </c>
      <c r="E1370" s="343"/>
      <c r="F1370" s="343">
        <v>110.84</v>
      </c>
      <c r="G1370" s="356"/>
      <c r="H1370" s="356">
        <f t="shared" si="312"/>
        <v>10862.32</v>
      </c>
      <c r="I1370" s="356">
        <f t="shared" si="310"/>
        <v>10862.32</v>
      </c>
    </row>
    <row r="1371" spans="1:9" s="17" customFormat="1" ht="13.8">
      <c r="A1371" s="354" t="s">
        <v>1686</v>
      </c>
      <c r="B1371" s="355" t="s">
        <v>1687</v>
      </c>
      <c r="C1371" s="341" t="s">
        <v>20</v>
      </c>
      <c r="D1371" s="342">
        <v>1</v>
      </c>
      <c r="E1371" s="343"/>
      <c r="F1371" s="343">
        <v>152.38</v>
      </c>
      <c r="G1371" s="356"/>
      <c r="H1371" s="356">
        <f t="shared" si="312"/>
        <v>152.38</v>
      </c>
      <c r="I1371" s="356">
        <f t="shared" si="310"/>
        <v>152.38</v>
      </c>
    </row>
    <row r="1372" spans="1:9" s="17" customFormat="1" ht="13.8">
      <c r="A1372" s="354" t="s">
        <v>1688</v>
      </c>
      <c r="B1372" s="355" t="s">
        <v>1689</v>
      </c>
      <c r="C1372" s="341" t="s">
        <v>20</v>
      </c>
      <c r="D1372" s="342">
        <v>30</v>
      </c>
      <c r="E1372" s="343"/>
      <c r="F1372" s="343">
        <v>318</v>
      </c>
      <c r="G1372" s="356"/>
      <c r="H1372" s="356">
        <f t="shared" si="312"/>
        <v>9540</v>
      </c>
      <c r="I1372" s="356">
        <f t="shared" si="310"/>
        <v>9540</v>
      </c>
    </row>
    <row r="1373" spans="1:9" s="19" customFormat="1" ht="13.8">
      <c r="A1373" s="354" t="s">
        <v>1690</v>
      </c>
      <c r="B1373" s="250" t="s">
        <v>1691</v>
      </c>
      <c r="C1373" s="341" t="s">
        <v>20</v>
      </c>
      <c r="D1373" s="342">
        <v>60</v>
      </c>
      <c r="E1373" s="343">
        <v>100</v>
      </c>
      <c r="F1373" s="343"/>
      <c r="G1373" s="356">
        <f t="shared" ref="G1373:G1387" si="313">PRODUCT(E1373,D1373)</f>
        <v>6000</v>
      </c>
      <c r="H1373" s="356"/>
      <c r="I1373" s="356">
        <f t="shared" si="310"/>
        <v>6000</v>
      </c>
    </row>
    <row r="1374" spans="1:9" s="17" customFormat="1" ht="13.8">
      <c r="A1374" s="354" t="s">
        <v>1692</v>
      </c>
      <c r="B1374" s="250" t="s">
        <v>1206</v>
      </c>
      <c r="C1374" s="251" t="s">
        <v>332</v>
      </c>
      <c r="D1374" s="258">
        <v>60</v>
      </c>
      <c r="E1374" s="244"/>
      <c r="F1374" s="259">
        <v>51.864406779661003</v>
      </c>
      <c r="G1374" s="260"/>
      <c r="H1374" s="261">
        <f>D1374*F1374</f>
        <v>3111.8644067796604</v>
      </c>
      <c r="I1374" s="260">
        <f t="shared" si="310"/>
        <v>3111.8644067796604</v>
      </c>
    </row>
    <row r="1375" spans="1:9" s="17" customFormat="1" ht="13.8">
      <c r="A1375" s="354" t="s">
        <v>1693</v>
      </c>
      <c r="B1375" s="262" t="s">
        <v>772</v>
      </c>
      <c r="C1375" s="251" t="s">
        <v>1190</v>
      </c>
      <c r="D1375" s="263">
        <v>3.4799999999999998E-2</v>
      </c>
      <c r="E1375" s="244"/>
      <c r="F1375" s="244">
        <v>40200</v>
      </c>
      <c r="G1375" s="260"/>
      <c r="H1375" s="261">
        <f>D1375*F1375</f>
        <v>1398.9599999999998</v>
      </c>
      <c r="I1375" s="260">
        <f t="shared" si="310"/>
        <v>1398.9599999999998</v>
      </c>
    </row>
    <row r="1376" spans="1:9" s="17" customFormat="1" ht="13.8">
      <c r="A1376" s="354" t="s">
        <v>1694</v>
      </c>
      <c r="B1376" s="262" t="s">
        <v>1207</v>
      </c>
      <c r="C1376" s="251" t="s">
        <v>332</v>
      </c>
      <c r="D1376" s="263">
        <v>120</v>
      </c>
      <c r="E1376" s="244"/>
      <c r="F1376" s="244">
        <v>5.62</v>
      </c>
      <c r="G1376" s="260"/>
      <c r="H1376" s="261">
        <f>D1376*F1376</f>
        <v>674.4</v>
      </c>
      <c r="I1376" s="260">
        <f t="shared" si="310"/>
        <v>674.4</v>
      </c>
    </row>
    <row r="1377" spans="1:9" s="17" customFormat="1" ht="13.8">
      <c r="A1377" s="354" t="s">
        <v>1695</v>
      </c>
      <c r="B1377" s="264" t="s">
        <v>1208</v>
      </c>
      <c r="C1377" s="265" t="s">
        <v>332</v>
      </c>
      <c r="D1377" s="266">
        <v>120</v>
      </c>
      <c r="E1377" s="267"/>
      <c r="F1377" s="267">
        <v>1.32</v>
      </c>
      <c r="G1377" s="260"/>
      <c r="H1377" s="261">
        <f>D1377*F1377</f>
        <v>158.4</v>
      </c>
      <c r="I1377" s="260">
        <f t="shared" si="310"/>
        <v>158.4</v>
      </c>
    </row>
    <row r="1378" spans="1:9" s="17" customFormat="1" ht="13.8">
      <c r="A1378" s="229" t="s">
        <v>1696</v>
      </c>
      <c r="B1378" s="250" t="s">
        <v>1697</v>
      </c>
      <c r="C1378" s="251" t="s">
        <v>332</v>
      </c>
      <c r="D1378" s="258">
        <v>80</v>
      </c>
      <c r="E1378" s="244">
        <v>400</v>
      </c>
      <c r="F1378" s="244"/>
      <c r="G1378" s="260">
        <f t="shared" ref="G1378:G1384" si="314">D1378*E1378</f>
        <v>32000</v>
      </c>
      <c r="H1378" s="261"/>
      <c r="I1378" s="260">
        <f t="shared" si="310"/>
        <v>32000</v>
      </c>
    </row>
    <row r="1379" spans="1:9" s="17" customFormat="1" ht="13.8">
      <c r="A1379" s="229" t="s">
        <v>1698</v>
      </c>
      <c r="B1379" s="250" t="s">
        <v>1699</v>
      </c>
      <c r="C1379" s="251" t="s">
        <v>310</v>
      </c>
      <c r="D1379" s="258">
        <v>19</v>
      </c>
      <c r="E1379" s="244"/>
      <c r="F1379" s="244">
        <v>572.5</v>
      </c>
      <c r="G1379" s="260"/>
      <c r="H1379" s="261">
        <f t="shared" ref="H1379:H1383" si="315">D1379*F1379</f>
        <v>10877.5</v>
      </c>
      <c r="I1379" s="260">
        <f t="shared" si="310"/>
        <v>10877.5</v>
      </c>
    </row>
    <row r="1380" spans="1:9" s="17" customFormat="1" ht="13.8">
      <c r="A1380" s="229" t="s">
        <v>1700</v>
      </c>
      <c r="B1380" s="250" t="s">
        <v>1701</v>
      </c>
      <c r="C1380" s="251" t="s">
        <v>310</v>
      </c>
      <c r="D1380" s="258">
        <v>1.25</v>
      </c>
      <c r="E1380" s="244"/>
      <c r="F1380" s="244">
        <v>958.7</v>
      </c>
      <c r="G1380" s="260"/>
      <c r="H1380" s="261">
        <f t="shared" si="315"/>
        <v>1198.375</v>
      </c>
      <c r="I1380" s="260">
        <f t="shared" si="310"/>
        <v>1198.375</v>
      </c>
    </row>
    <row r="1381" spans="1:9" s="17" customFormat="1" ht="13.8">
      <c r="A1381" s="229" t="s">
        <v>1702</v>
      </c>
      <c r="B1381" s="250" t="s">
        <v>1213</v>
      </c>
      <c r="C1381" s="251" t="s">
        <v>1190</v>
      </c>
      <c r="D1381" s="258">
        <v>0.32</v>
      </c>
      <c r="E1381" s="244"/>
      <c r="F1381" s="244">
        <v>46000</v>
      </c>
      <c r="G1381" s="260"/>
      <c r="H1381" s="261">
        <f t="shared" si="315"/>
        <v>14720</v>
      </c>
      <c r="I1381" s="260">
        <f t="shared" si="310"/>
        <v>14720</v>
      </c>
    </row>
    <row r="1382" spans="1:9" s="17" customFormat="1" ht="13.8">
      <c r="A1382" s="229" t="s">
        <v>1703</v>
      </c>
      <c r="B1382" s="250" t="s">
        <v>1214</v>
      </c>
      <c r="C1382" s="251" t="s">
        <v>1190</v>
      </c>
      <c r="D1382" s="258">
        <v>0.14000000000000001</v>
      </c>
      <c r="E1382" s="244"/>
      <c r="F1382" s="244">
        <v>46000</v>
      </c>
      <c r="G1382" s="260"/>
      <c r="H1382" s="261">
        <f t="shared" si="315"/>
        <v>6440.0000000000009</v>
      </c>
      <c r="I1382" s="260">
        <f t="shared" si="310"/>
        <v>6440.0000000000009</v>
      </c>
    </row>
    <row r="1383" spans="1:9" s="17" customFormat="1" ht="13.8">
      <c r="A1383" s="229" t="s">
        <v>1704</v>
      </c>
      <c r="B1383" s="250" t="s">
        <v>1215</v>
      </c>
      <c r="C1383" s="251" t="s">
        <v>332</v>
      </c>
      <c r="D1383" s="258">
        <v>320</v>
      </c>
      <c r="E1383" s="244"/>
      <c r="F1383" s="244">
        <v>15.39</v>
      </c>
      <c r="G1383" s="260"/>
      <c r="H1383" s="261">
        <f t="shared" si="315"/>
        <v>4924.8</v>
      </c>
      <c r="I1383" s="260">
        <f t="shared" si="310"/>
        <v>4924.8</v>
      </c>
    </row>
    <row r="1384" spans="1:9" s="19" customFormat="1" ht="13.8">
      <c r="A1384" s="354" t="s">
        <v>1705</v>
      </c>
      <c r="B1384" s="355" t="s">
        <v>1706</v>
      </c>
      <c r="C1384" s="341" t="s">
        <v>332</v>
      </c>
      <c r="D1384" s="342">
        <v>1</v>
      </c>
      <c r="E1384" s="343">
        <v>400</v>
      </c>
      <c r="F1384" s="343"/>
      <c r="G1384" s="356">
        <f t="shared" si="314"/>
        <v>400</v>
      </c>
      <c r="H1384" s="356"/>
      <c r="I1384" s="356">
        <f t="shared" si="310"/>
        <v>400</v>
      </c>
    </row>
    <row r="1385" spans="1:9" s="19" customFormat="1" ht="13.8">
      <c r="A1385" s="354" t="s">
        <v>1707</v>
      </c>
      <c r="B1385" s="337" t="s">
        <v>1199</v>
      </c>
      <c r="C1385" s="251" t="s">
        <v>1190</v>
      </c>
      <c r="D1385" s="232">
        <v>3.2000000000000002E-3</v>
      </c>
      <c r="E1385" s="243"/>
      <c r="F1385" s="338">
        <v>46000</v>
      </c>
      <c r="G1385" s="234"/>
      <c r="H1385" s="261">
        <f t="shared" ref="H1385:H1386" si="316">D1385*F1385</f>
        <v>147.20000000000002</v>
      </c>
      <c r="I1385" s="260">
        <f t="shared" si="310"/>
        <v>147.20000000000002</v>
      </c>
    </row>
    <row r="1386" spans="1:9" s="19" customFormat="1" ht="13.8">
      <c r="A1386" s="354" t="s">
        <v>1708</v>
      </c>
      <c r="B1386" s="337" t="s">
        <v>1709</v>
      </c>
      <c r="C1386" s="251" t="s">
        <v>1190</v>
      </c>
      <c r="D1386" s="232">
        <v>5.4400000000000004E-3</v>
      </c>
      <c r="E1386" s="243"/>
      <c r="F1386" s="338">
        <v>48000</v>
      </c>
      <c r="G1386" s="234"/>
      <c r="H1386" s="261">
        <f t="shared" si="316"/>
        <v>261.12</v>
      </c>
      <c r="I1386" s="260">
        <f t="shared" si="310"/>
        <v>261.12</v>
      </c>
    </row>
    <row r="1387" spans="1:9" s="17" customFormat="1" ht="13.8">
      <c r="A1387" s="354" t="s">
        <v>1710</v>
      </c>
      <c r="B1387" s="355" t="s">
        <v>1711</v>
      </c>
      <c r="C1387" s="341" t="s">
        <v>20</v>
      </c>
      <c r="D1387" s="342">
        <v>1</v>
      </c>
      <c r="E1387" s="343">
        <v>200</v>
      </c>
      <c r="F1387" s="343"/>
      <c r="G1387" s="356">
        <f t="shared" si="313"/>
        <v>200</v>
      </c>
      <c r="H1387" s="356"/>
      <c r="I1387" s="356">
        <f t="shared" si="310"/>
        <v>200</v>
      </c>
    </row>
    <row r="1388" spans="1:9" s="17" customFormat="1" ht="13.8">
      <c r="A1388" s="354" t="s">
        <v>1712</v>
      </c>
      <c r="B1388" s="355" t="s">
        <v>1713</v>
      </c>
      <c r="C1388" s="341" t="s">
        <v>20</v>
      </c>
      <c r="D1388" s="342">
        <v>1</v>
      </c>
      <c r="E1388" s="343"/>
      <c r="F1388" s="361">
        <v>1503</v>
      </c>
      <c r="G1388" s="356"/>
      <c r="H1388" s="356">
        <f>PRODUCT(F1388,D1388)</f>
        <v>1503</v>
      </c>
      <c r="I1388" s="356">
        <f t="shared" si="310"/>
        <v>1503</v>
      </c>
    </row>
    <row r="1389" spans="1:9" s="17" customFormat="1" ht="13.8">
      <c r="A1389" s="354" t="s">
        <v>1714</v>
      </c>
      <c r="B1389" s="355" t="s">
        <v>1715</v>
      </c>
      <c r="C1389" s="341" t="s">
        <v>20</v>
      </c>
      <c r="D1389" s="342">
        <f>SUM(D1390:D1391)</f>
        <v>360</v>
      </c>
      <c r="E1389" s="343">
        <v>100</v>
      </c>
      <c r="F1389" s="343"/>
      <c r="G1389" s="356">
        <f>PRODUCT(D1389:E1389)</f>
        <v>36000</v>
      </c>
      <c r="H1389" s="356"/>
      <c r="I1389" s="356">
        <f t="shared" si="310"/>
        <v>36000</v>
      </c>
    </row>
    <row r="1390" spans="1:9" s="17" customFormat="1" ht="13.8">
      <c r="A1390" s="354" t="s">
        <v>1716</v>
      </c>
      <c r="B1390" s="262" t="s">
        <v>1717</v>
      </c>
      <c r="C1390" s="341" t="s">
        <v>20</v>
      </c>
      <c r="D1390" s="342">
        <v>359</v>
      </c>
      <c r="E1390" s="343"/>
      <c r="F1390" s="343">
        <v>253</v>
      </c>
      <c r="G1390" s="356"/>
      <c r="H1390" s="356">
        <f>PRODUCT(F1390,D1390)</f>
        <v>90827</v>
      </c>
      <c r="I1390" s="356">
        <f t="shared" ref="I1390:I1394" si="317">SUM(G1390:H1390)</f>
        <v>90827</v>
      </c>
    </row>
    <row r="1391" spans="1:9" s="17" customFormat="1" ht="13.8">
      <c r="A1391" s="354" t="s">
        <v>1718</v>
      </c>
      <c r="B1391" s="262" t="s">
        <v>1719</v>
      </c>
      <c r="C1391" s="341" t="s">
        <v>20</v>
      </c>
      <c r="D1391" s="342">
        <v>1</v>
      </c>
      <c r="E1391" s="343"/>
      <c r="F1391" s="343">
        <v>220</v>
      </c>
      <c r="G1391" s="356"/>
      <c r="H1391" s="356">
        <f>PRODUCT(F1391,D1391)</f>
        <v>220</v>
      </c>
      <c r="I1391" s="356">
        <f t="shared" si="317"/>
        <v>220</v>
      </c>
    </row>
    <row r="1392" spans="1:9" s="17" customFormat="1" ht="13.8">
      <c r="A1392" s="354" t="s">
        <v>1720</v>
      </c>
      <c r="B1392" s="355" t="s">
        <v>1721</v>
      </c>
      <c r="C1392" s="341" t="s">
        <v>20</v>
      </c>
      <c r="D1392" s="342">
        <v>4</v>
      </c>
      <c r="E1392" s="343">
        <v>500</v>
      </c>
      <c r="F1392" s="343"/>
      <c r="G1392" s="356">
        <f>PRODUCT(E1392,D1392)</f>
        <v>2000</v>
      </c>
      <c r="H1392" s="356"/>
      <c r="I1392" s="356">
        <f t="shared" si="317"/>
        <v>2000</v>
      </c>
    </row>
    <row r="1393" spans="1:9" s="17" customFormat="1" ht="13.8">
      <c r="A1393" s="354" t="s">
        <v>1722</v>
      </c>
      <c r="B1393" s="355" t="s">
        <v>1723</v>
      </c>
      <c r="C1393" s="341" t="s">
        <v>20</v>
      </c>
      <c r="D1393" s="342">
        <v>4</v>
      </c>
      <c r="E1393" s="343"/>
      <c r="F1393" s="343">
        <v>217.44</v>
      </c>
      <c r="G1393" s="356"/>
      <c r="H1393" s="356">
        <f>PRODUCT(F1393,D1393)</f>
        <v>869.76</v>
      </c>
      <c r="I1393" s="356">
        <f t="shared" si="317"/>
        <v>869.76</v>
      </c>
    </row>
    <row r="1394" spans="1:9" s="17" customFormat="1" ht="13.8">
      <c r="A1394" s="362" t="s">
        <v>1724</v>
      </c>
      <c r="B1394" s="363" t="s">
        <v>1725</v>
      </c>
      <c r="C1394" s="364" t="s">
        <v>20</v>
      </c>
      <c r="D1394" s="522">
        <v>4</v>
      </c>
      <c r="E1394" s="365"/>
      <c r="F1394" s="365">
        <v>3636</v>
      </c>
      <c r="G1394" s="366"/>
      <c r="H1394" s="366">
        <f>PRODUCT(F1394,D1394)</f>
        <v>14544</v>
      </c>
      <c r="I1394" s="366">
        <f t="shared" si="317"/>
        <v>14544</v>
      </c>
    </row>
    <row r="1395" spans="1:9" s="17" customFormat="1" ht="13.8">
      <c r="A1395" s="354" t="s">
        <v>1726</v>
      </c>
      <c r="B1395" s="355" t="s">
        <v>1727</v>
      </c>
      <c r="C1395" s="341" t="s">
        <v>25</v>
      </c>
      <c r="D1395" s="342">
        <v>144.1</v>
      </c>
      <c r="E1395" s="343">
        <v>350</v>
      </c>
      <c r="F1395" s="343"/>
      <c r="G1395" s="356">
        <f>PRODUCT(E1395,D1395)</f>
        <v>50435</v>
      </c>
      <c r="H1395" s="356"/>
      <c r="I1395" s="356">
        <f t="shared" ref="I1395" si="318">SUM(G1395:H1395)</f>
        <v>50435</v>
      </c>
    </row>
    <row r="1396" spans="1:9" s="17" customFormat="1" ht="13.8">
      <c r="A1396" s="354" t="s">
        <v>1728</v>
      </c>
      <c r="B1396" s="355" t="s">
        <v>1729</v>
      </c>
      <c r="C1396" s="341" t="s">
        <v>25</v>
      </c>
      <c r="D1396" s="342">
        <v>144.1</v>
      </c>
      <c r="E1396" s="343"/>
      <c r="F1396" s="345">
        <v>524.75</v>
      </c>
      <c r="G1396" s="356"/>
      <c r="H1396" s="356">
        <f t="shared" ref="H1396:H1403" si="319">PRODUCT(F1396,D1396)</f>
        <v>75616.474999999991</v>
      </c>
      <c r="I1396" s="356">
        <f t="shared" ref="I1396:I1417" si="320">SUM(G1396:H1396)</f>
        <v>75616.474999999991</v>
      </c>
    </row>
    <row r="1397" spans="1:9" s="17" customFormat="1" ht="13.8">
      <c r="A1397" s="354" t="s">
        <v>1730</v>
      </c>
      <c r="B1397" s="355" t="s">
        <v>1731</v>
      </c>
      <c r="C1397" s="341" t="s">
        <v>20</v>
      </c>
      <c r="D1397" s="342">
        <v>11</v>
      </c>
      <c r="E1397" s="343"/>
      <c r="F1397" s="367">
        <v>591.86</v>
      </c>
      <c r="G1397" s="356"/>
      <c r="H1397" s="356">
        <f t="shared" si="319"/>
        <v>6510.46</v>
      </c>
      <c r="I1397" s="356">
        <f t="shared" si="320"/>
        <v>6510.46</v>
      </c>
    </row>
    <row r="1398" spans="1:9" s="17" customFormat="1" ht="13.8">
      <c r="A1398" s="354" t="s">
        <v>1732</v>
      </c>
      <c r="B1398" s="355" t="s">
        <v>1733</v>
      </c>
      <c r="C1398" s="341" t="s">
        <v>20</v>
      </c>
      <c r="D1398" s="342">
        <v>9</v>
      </c>
      <c r="E1398" s="343"/>
      <c r="F1398" s="367">
        <v>850.16</v>
      </c>
      <c r="G1398" s="356"/>
      <c r="H1398" s="356">
        <f t="shared" si="319"/>
        <v>7651.44</v>
      </c>
      <c r="I1398" s="356">
        <f t="shared" si="320"/>
        <v>7651.44</v>
      </c>
    </row>
    <row r="1399" spans="1:9" s="17" customFormat="1" ht="13.8">
      <c r="A1399" s="354" t="s">
        <v>1734</v>
      </c>
      <c r="B1399" s="355" t="s">
        <v>1735</v>
      </c>
      <c r="C1399" s="341" t="s">
        <v>20</v>
      </c>
      <c r="D1399" s="342">
        <v>9</v>
      </c>
      <c r="E1399" s="343"/>
      <c r="F1399" s="367">
        <v>563</v>
      </c>
      <c r="G1399" s="356"/>
      <c r="H1399" s="356">
        <f t="shared" si="319"/>
        <v>5067</v>
      </c>
      <c r="I1399" s="356">
        <f t="shared" si="320"/>
        <v>5067</v>
      </c>
    </row>
    <row r="1400" spans="1:9" s="17" customFormat="1" ht="13.8">
      <c r="A1400" s="354" t="s">
        <v>1736</v>
      </c>
      <c r="B1400" s="355" t="s">
        <v>1737</v>
      </c>
      <c r="C1400" s="341" t="s">
        <v>20</v>
      </c>
      <c r="D1400" s="342">
        <f>PRODUCT(D1398)</f>
        <v>9</v>
      </c>
      <c r="E1400" s="343"/>
      <c r="F1400" s="343">
        <v>18</v>
      </c>
      <c r="G1400" s="356"/>
      <c r="H1400" s="356">
        <f t="shared" si="319"/>
        <v>162</v>
      </c>
      <c r="I1400" s="356">
        <f t="shared" si="320"/>
        <v>162</v>
      </c>
    </row>
    <row r="1401" spans="1:9" s="17" customFormat="1" ht="13.8">
      <c r="A1401" s="354" t="s">
        <v>1738</v>
      </c>
      <c r="B1401" s="355" t="s">
        <v>1739</v>
      </c>
      <c r="C1401" s="341" t="s">
        <v>20</v>
      </c>
      <c r="D1401" s="342">
        <v>1</v>
      </c>
      <c r="E1401" s="343"/>
      <c r="F1401" s="343">
        <v>518.4</v>
      </c>
      <c r="G1401" s="356"/>
      <c r="H1401" s="356">
        <f t="shared" si="319"/>
        <v>518.4</v>
      </c>
      <c r="I1401" s="356">
        <f t="shared" si="320"/>
        <v>518.4</v>
      </c>
    </row>
    <row r="1402" spans="1:9" s="17" customFormat="1" ht="13.8">
      <c r="A1402" s="354" t="s">
        <v>1740</v>
      </c>
      <c r="B1402" s="355" t="s">
        <v>1489</v>
      </c>
      <c r="C1402" s="341" t="s">
        <v>20</v>
      </c>
      <c r="D1402" s="342">
        <f>PRODUCT(D1398,8)</f>
        <v>72</v>
      </c>
      <c r="E1402" s="343"/>
      <c r="F1402" s="343">
        <v>60.23</v>
      </c>
      <c r="G1402" s="356"/>
      <c r="H1402" s="356">
        <f t="shared" si="319"/>
        <v>4336.5599999999995</v>
      </c>
      <c r="I1402" s="356">
        <f t="shared" si="320"/>
        <v>4336.5599999999995</v>
      </c>
    </row>
    <row r="1403" spans="1:9" s="17" customFormat="1" ht="13.8">
      <c r="A1403" s="354" t="s">
        <v>1741</v>
      </c>
      <c r="B1403" s="355" t="s">
        <v>1193</v>
      </c>
      <c r="C1403" s="341" t="s">
        <v>125</v>
      </c>
      <c r="D1403" s="342">
        <v>20</v>
      </c>
      <c r="E1403" s="343"/>
      <c r="F1403" s="343">
        <v>113.4</v>
      </c>
      <c r="G1403" s="356"/>
      <c r="H1403" s="356">
        <f t="shared" si="319"/>
        <v>2268</v>
      </c>
      <c r="I1403" s="356">
        <f t="shared" si="320"/>
        <v>2268</v>
      </c>
    </row>
    <row r="1404" spans="1:9" s="17" customFormat="1" ht="13.8">
      <c r="A1404" s="354" t="s">
        <v>1742</v>
      </c>
      <c r="B1404" s="355" t="s">
        <v>1743</v>
      </c>
      <c r="C1404" s="341" t="s">
        <v>111</v>
      </c>
      <c r="D1404" s="342">
        <v>49</v>
      </c>
      <c r="E1404" s="343">
        <v>30</v>
      </c>
      <c r="F1404" s="343"/>
      <c r="G1404" s="356">
        <f>PRODUCT(E1404,D1404)</f>
        <v>1470</v>
      </c>
      <c r="H1404" s="356"/>
      <c r="I1404" s="356">
        <f t="shared" si="320"/>
        <v>1470</v>
      </c>
    </row>
    <row r="1405" spans="1:9" s="17" customFormat="1" ht="13.8">
      <c r="A1405" s="354" t="s">
        <v>1744</v>
      </c>
      <c r="B1405" s="355" t="s">
        <v>1745</v>
      </c>
      <c r="C1405" s="341" t="s">
        <v>125</v>
      </c>
      <c r="D1405" s="342">
        <v>3</v>
      </c>
      <c r="E1405" s="343"/>
      <c r="F1405" s="367">
        <v>120</v>
      </c>
      <c r="G1405" s="356"/>
      <c r="H1405" s="356">
        <f>PRODUCT(F1405,D1405)</f>
        <v>360</v>
      </c>
      <c r="I1405" s="356">
        <f t="shared" si="320"/>
        <v>360</v>
      </c>
    </row>
    <row r="1406" spans="1:9" s="17" customFormat="1" ht="13.8">
      <c r="A1406" s="354" t="s">
        <v>1746</v>
      </c>
      <c r="B1406" s="355" t="s">
        <v>1747</v>
      </c>
      <c r="C1406" s="341" t="s">
        <v>111</v>
      </c>
      <c r="D1406" s="342">
        <v>49</v>
      </c>
      <c r="E1406" s="343">
        <v>30</v>
      </c>
      <c r="F1406" s="343"/>
      <c r="G1406" s="356">
        <f>PRODUCT(E1406,D1406)</f>
        <v>1470</v>
      </c>
      <c r="H1406" s="356"/>
      <c r="I1406" s="356">
        <f t="shared" si="320"/>
        <v>1470</v>
      </c>
    </row>
    <row r="1407" spans="1:9" s="17" customFormat="1" ht="13.8">
      <c r="A1407" s="354" t="s">
        <v>1748</v>
      </c>
      <c r="B1407" s="355" t="s">
        <v>164</v>
      </c>
      <c r="C1407" s="341" t="s">
        <v>125</v>
      </c>
      <c r="D1407" s="342">
        <v>6</v>
      </c>
      <c r="E1407" s="343"/>
      <c r="F1407" s="367">
        <v>183</v>
      </c>
      <c r="G1407" s="356"/>
      <c r="H1407" s="356">
        <f>PRODUCT(F1407,D1407)</f>
        <v>1098</v>
      </c>
      <c r="I1407" s="356">
        <f t="shared" si="320"/>
        <v>1098</v>
      </c>
    </row>
    <row r="1408" spans="1:9" s="17" customFormat="1" ht="13.8">
      <c r="A1408" s="354" t="s">
        <v>1749</v>
      </c>
      <c r="B1408" s="355" t="s">
        <v>1750</v>
      </c>
      <c r="C1408" s="341" t="s">
        <v>20</v>
      </c>
      <c r="D1408" s="342">
        <f>SUM(D1415,D1413,D1411,D1410,D1409)</f>
        <v>5</v>
      </c>
      <c r="E1408" s="343">
        <v>500</v>
      </c>
      <c r="F1408" s="343"/>
      <c r="G1408" s="356">
        <f>PRODUCT(E1408,D1408)</f>
        <v>2500</v>
      </c>
      <c r="H1408" s="356"/>
      <c r="I1408" s="356">
        <f t="shared" ref="I1408" si="321">SUM(G1408:H1408)</f>
        <v>2500</v>
      </c>
    </row>
    <row r="1409" spans="1:10" s="17" customFormat="1" ht="13.8">
      <c r="A1409" s="354" t="s">
        <v>1751</v>
      </c>
      <c r="B1409" s="355" t="s">
        <v>1752</v>
      </c>
      <c r="C1409" s="341" t="s">
        <v>20</v>
      </c>
      <c r="D1409" s="342">
        <v>1</v>
      </c>
      <c r="E1409" s="343"/>
      <c r="F1409" s="343">
        <v>2705.08</v>
      </c>
      <c r="G1409" s="356"/>
      <c r="H1409" s="356">
        <f t="shared" ref="H1409:H1415" si="322">PRODUCT(F1409,D1409)</f>
        <v>2705.08</v>
      </c>
      <c r="I1409" s="356">
        <f t="shared" si="320"/>
        <v>2705.08</v>
      </c>
    </row>
    <row r="1410" spans="1:10" s="17" customFormat="1" ht="13.8">
      <c r="A1410" s="354" t="s">
        <v>1753</v>
      </c>
      <c r="B1410" s="355" t="s">
        <v>1754</v>
      </c>
      <c r="C1410" s="341" t="s">
        <v>20</v>
      </c>
      <c r="D1410" s="342">
        <v>1</v>
      </c>
      <c r="E1410" s="343"/>
      <c r="F1410" s="343">
        <v>1544.75</v>
      </c>
      <c r="G1410" s="356"/>
      <c r="H1410" s="356">
        <f t="shared" si="322"/>
        <v>1544.75</v>
      </c>
      <c r="I1410" s="356">
        <f t="shared" si="320"/>
        <v>1544.75</v>
      </c>
    </row>
    <row r="1411" spans="1:10" s="17" customFormat="1" ht="13.8">
      <c r="A1411" s="354" t="s">
        <v>1755</v>
      </c>
      <c r="B1411" s="355" t="s">
        <v>1756</v>
      </c>
      <c r="C1411" s="341" t="s">
        <v>20</v>
      </c>
      <c r="D1411" s="342">
        <v>1</v>
      </c>
      <c r="E1411" s="343"/>
      <c r="F1411" s="343">
        <v>2855.59</v>
      </c>
      <c r="G1411" s="356"/>
      <c r="H1411" s="356">
        <f t="shared" si="322"/>
        <v>2855.59</v>
      </c>
      <c r="I1411" s="356">
        <f t="shared" si="320"/>
        <v>2855.59</v>
      </c>
    </row>
    <row r="1412" spans="1:10" s="17" customFormat="1" ht="13.8">
      <c r="A1412" s="354" t="s">
        <v>1757</v>
      </c>
      <c r="B1412" s="355" t="s">
        <v>1758</v>
      </c>
      <c r="C1412" s="341" t="s">
        <v>20</v>
      </c>
      <c r="D1412" s="342">
        <v>1</v>
      </c>
      <c r="E1412" s="343"/>
      <c r="F1412" s="343">
        <v>105.77</v>
      </c>
      <c r="G1412" s="356"/>
      <c r="H1412" s="356">
        <f t="shared" si="322"/>
        <v>105.77</v>
      </c>
      <c r="I1412" s="356">
        <f t="shared" si="320"/>
        <v>105.77</v>
      </c>
    </row>
    <row r="1413" spans="1:10" s="17" customFormat="1" ht="13.8">
      <c r="A1413" s="354" t="s">
        <v>1759</v>
      </c>
      <c r="B1413" s="355" t="s">
        <v>1760</v>
      </c>
      <c r="C1413" s="341" t="s">
        <v>20</v>
      </c>
      <c r="D1413" s="342">
        <v>1</v>
      </c>
      <c r="E1413" s="343"/>
      <c r="F1413" s="343">
        <v>1057.6300000000001</v>
      </c>
      <c r="G1413" s="356"/>
      <c r="H1413" s="356">
        <f t="shared" si="322"/>
        <v>1057.6300000000001</v>
      </c>
      <c r="I1413" s="356">
        <f t="shared" si="320"/>
        <v>1057.6300000000001</v>
      </c>
    </row>
    <row r="1414" spans="1:10" s="17" customFormat="1" ht="13.8">
      <c r="A1414" s="354" t="s">
        <v>1761</v>
      </c>
      <c r="B1414" s="355" t="s">
        <v>1762</v>
      </c>
      <c r="C1414" s="341" t="s">
        <v>20</v>
      </c>
      <c r="D1414" s="342">
        <v>1</v>
      </c>
      <c r="E1414" s="343"/>
      <c r="F1414" s="343">
        <v>173.9</v>
      </c>
      <c r="G1414" s="356"/>
      <c r="H1414" s="356">
        <f t="shared" si="322"/>
        <v>173.9</v>
      </c>
      <c r="I1414" s="356">
        <f t="shared" si="320"/>
        <v>173.9</v>
      </c>
    </row>
    <row r="1415" spans="1:10" s="17" customFormat="1" ht="13.8">
      <c r="A1415" s="354" t="s">
        <v>1763</v>
      </c>
      <c r="B1415" s="355" t="s">
        <v>1764</v>
      </c>
      <c r="C1415" s="341" t="s">
        <v>20</v>
      </c>
      <c r="D1415" s="342">
        <v>1</v>
      </c>
      <c r="E1415" s="343"/>
      <c r="F1415" s="343">
        <v>3095.96</v>
      </c>
      <c r="G1415" s="356"/>
      <c r="H1415" s="356">
        <f t="shared" si="322"/>
        <v>3095.96</v>
      </c>
      <c r="I1415" s="356">
        <f t="shared" si="320"/>
        <v>3095.96</v>
      </c>
    </row>
    <row r="1416" spans="1:10" s="17" customFormat="1" ht="13.8">
      <c r="A1416" s="354" t="s">
        <v>1765</v>
      </c>
      <c r="B1416" s="355" t="s">
        <v>1380</v>
      </c>
      <c r="C1416" s="341" t="s">
        <v>332</v>
      </c>
      <c r="D1416" s="342">
        <v>408</v>
      </c>
      <c r="E1416" s="343">
        <v>50</v>
      </c>
      <c r="F1416" s="343"/>
      <c r="G1416" s="356">
        <f>PRODUCT(D1416:E1416)</f>
        <v>20400</v>
      </c>
      <c r="H1416" s="356"/>
      <c r="I1416" s="356">
        <f t="shared" si="320"/>
        <v>20400</v>
      </c>
    </row>
    <row r="1417" spans="1:10" s="17" customFormat="1" ht="13.8">
      <c r="A1417" s="354" t="s">
        <v>1766</v>
      </c>
      <c r="B1417" s="355" t="s">
        <v>1767</v>
      </c>
      <c r="C1417" s="341" t="s">
        <v>332</v>
      </c>
      <c r="D1417" s="342">
        <v>25</v>
      </c>
      <c r="E1417" s="343"/>
      <c r="F1417" s="343">
        <v>1875</v>
      </c>
      <c r="G1417" s="356"/>
      <c r="H1417" s="356">
        <f>PRODUCT(F1417,D1417)</f>
        <v>46875</v>
      </c>
      <c r="I1417" s="356">
        <f t="shared" si="320"/>
        <v>46875</v>
      </c>
    </row>
    <row r="1418" spans="1:10" s="17" customFormat="1" ht="13.8">
      <c r="A1418" s="354" t="s">
        <v>1768</v>
      </c>
      <c r="B1418" s="230" t="s">
        <v>2787</v>
      </c>
      <c r="C1418" s="475" t="s">
        <v>461</v>
      </c>
      <c r="D1418" s="523">
        <v>1</v>
      </c>
      <c r="E1418" s="343">
        <v>204953.36</v>
      </c>
      <c r="F1418" s="368"/>
      <c r="G1418" s="356">
        <f>PRODUCT(E1418,D1418)</f>
        <v>204953.36</v>
      </c>
      <c r="H1418" s="356"/>
      <c r="I1418" s="356">
        <f t="shared" ref="I1418" si="323">SUM(G1418:H1418)</f>
        <v>204953.36</v>
      </c>
    </row>
    <row r="1419" spans="1:10" s="17" customFormat="1" ht="13.8">
      <c r="A1419" s="27"/>
      <c r="B1419" s="427" t="s">
        <v>2085</v>
      </c>
      <c r="C1419" s="533" t="s">
        <v>2788</v>
      </c>
      <c r="D1419" s="534"/>
      <c r="E1419" s="534"/>
      <c r="F1419" s="535"/>
      <c r="G1419" s="32">
        <f>SUM(G1321:G1418)</f>
        <v>788438.36</v>
      </c>
      <c r="H1419" s="32">
        <f t="shared" ref="H1419:I1419" si="324">SUM(H1321:H1418)</f>
        <v>841797.62540677958</v>
      </c>
      <c r="I1419" s="32">
        <f t="shared" si="324"/>
        <v>1630235.9854067792</v>
      </c>
    </row>
    <row r="1420" spans="1:10" s="17" customFormat="1" ht="13.8">
      <c r="A1420" s="27"/>
      <c r="B1420" s="427" t="s">
        <v>2088</v>
      </c>
      <c r="C1420" s="530"/>
      <c r="D1420" s="531"/>
      <c r="E1420" s="531"/>
      <c r="F1420" s="532"/>
      <c r="G1420" s="32">
        <f>PRODUCT(G1419,1/1.2,0.2)</f>
        <v>131406.39333333334</v>
      </c>
      <c r="H1420" s="32">
        <f>PRODUCT(H1419,1/1.2,0.2)</f>
        <v>140299.60423446327</v>
      </c>
      <c r="I1420" s="32">
        <f>PRODUCT(I1419,1/1.2,0.2)</f>
        <v>271705.99756779656</v>
      </c>
    </row>
    <row r="1421" spans="1:10" s="17" customFormat="1" ht="13.8">
      <c r="A1421" s="207"/>
      <c r="B1421" s="208" t="s">
        <v>2847</v>
      </c>
      <c r="C1421" s="209"/>
      <c r="D1421" s="210"/>
      <c r="E1421" s="31"/>
      <c r="F1421" s="211"/>
      <c r="G1421" s="212"/>
      <c r="H1421" s="212"/>
      <c r="I1421" s="212"/>
    </row>
    <row r="1422" spans="1:10">
      <c r="A1422" s="369" t="s">
        <v>1769</v>
      </c>
      <c r="B1422" s="370" t="s">
        <v>2792</v>
      </c>
      <c r="C1422" s="371" t="s">
        <v>1771</v>
      </c>
      <c r="D1422" s="372">
        <v>173</v>
      </c>
      <c r="E1422" s="371">
        <v>210</v>
      </c>
      <c r="F1422" s="525"/>
      <c r="G1422" s="391">
        <f>D1422*E1422</f>
        <v>36330</v>
      </c>
      <c r="H1422" s="526"/>
      <c r="I1422" s="391">
        <f>G1422+H1422</f>
        <v>36330</v>
      </c>
    </row>
    <row r="1423" spans="1:10">
      <c r="A1423" s="369" t="s">
        <v>1770</v>
      </c>
      <c r="B1423" s="370" t="s">
        <v>2793</v>
      </c>
      <c r="C1423" s="371" t="s">
        <v>1771</v>
      </c>
      <c r="D1423" s="372">
        <v>173</v>
      </c>
      <c r="E1423" s="371"/>
      <c r="F1423" s="525">
        <v>371.4</v>
      </c>
      <c r="G1423" s="391"/>
      <c r="H1423" s="526">
        <f>D1423*F1423</f>
        <v>64252.2</v>
      </c>
      <c r="I1423" s="391">
        <f>G1423+H1423</f>
        <v>64252.2</v>
      </c>
    </row>
    <row r="1424" spans="1:10">
      <c r="A1424" s="369" t="s">
        <v>2848</v>
      </c>
      <c r="B1424" s="370" t="s">
        <v>2794</v>
      </c>
      <c r="C1424" s="371" t="s">
        <v>1771</v>
      </c>
      <c r="D1424" s="372">
        <v>324</v>
      </c>
      <c r="E1424" s="371">
        <v>175</v>
      </c>
      <c r="F1424" s="525"/>
      <c r="G1424" s="391">
        <f t="shared" ref="G1424:G1466" si="325">D1424*E1424</f>
        <v>56700</v>
      </c>
      <c r="H1424" s="526"/>
      <c r="I1424" s="391">
        <f t="shared" ref="I1424:I1521" si="326">G1424+H1424</f>
        <v>56700</v>
      </c>
      <c r="J1424" s="376"/>
    </row>
    <row r="1425" spans="1:10">
      <c r="A1425" s="369" t="s">
        <v>2849</v>
      </c>
      <c r="B1425" s="370" t="s">
        <v>2795</v>
      </c>
      <c r="C1425" s="371" t="s">
        <v>1771</v>
      </c>
      <c r="D1425" s="372">
        <v>324</v>
      </c>
      <c r="E1425" s="371"/>
      <c r="F1425" s="525">
        <v>311.98</v>
      </c>
      <c r="G1425" s="391"/>
      <c r="H1425" s="526">
        <f t="shared" ref="H1425" si="327">D1425*F1425</f>
        <v>101081.52</v>
      </c>
      <c r="I1425" s="391">
        <f t="shared" ref="I1425" si="328">G1425+H1425</f>
        <v>101081.52</v>
      </c>
      <c r="J1425" s="376"/>
    </row>
    <row r="1426" spans="1:10">
      <c r="A1426" s="369" t="s">
        <v>2850</v>
      </c>
      <c r="B1426" s="370" t="s">
        <v>2796</v>
      </c>
      <c r="C1426" s="371" t="s">
        <v>1771</v>
      </c>
      <c r="D1426" s="372">
        <v>1524</v>
      </c>
      <c r="E1426" s="371">
        <v>210</v>
      </c>
      <c r="F1426" s="525"/>
      <c r="G1426" s="391">
        <f t="shared" si="325"/>
        <v>320040</v>
      </c>
      <c r="H1426" s="526"/>
      <c r="I1426" s="391">
        <f t="shared" si="326"/>
        <v>320040</v>
      </c>
      <c r="J1426" s="376"/>
    </row>
    <row r="1427" spans="1:10">
      <c r="A1427" s="369" t="s">
        <v>2851</v>
      </c>
      <c r="B1427" s="370" t="s">
        <v>2797</v>
      </c>
      <c r="C1427" s="371" t="s">
        <v>1771</v>
      </c>
      <c r="D1427" s="372">
        <v>1524</v>
      </c>
      <c r="E1427" s="371"/>
      <c r="F1427" s="525">
        <v>371.4</v>
      </c>
      <c r="G1427" s="391"/>
      <c r="H1427" s="526">
        <f t="shared" ref="H1427" si="329">D1427*F1427</f>
        <v>566013.6</v>
      </c>
      <c r="I1427" s="391">
        <f t="shared" ref="I1427" si="330">G1427+H1427</f>
        <v>566013.6</v>
      </c>
      <c r="J1427" s="376"/>
    </row>
    <row r="1428" spans="1:10">
      <c r="A1428" s="369" t="s">
        <v>2852</v>
      </c>
      <c r="B1428" s="370" t="s">
        <v>2798</v>
      </c>
      <c r="C1428" s="371" t="s">
        <v>1771</v>
      </c>
      <c r="D1428" s="372">
        <v>346</v>
      </c>
      <c r="E1428" s="371">
        <v>245</v>
      </c>
      <c r="F1428" s="525"/>
      <c r="G1428" s="391">
        <f t="shared" si="325"/>
        <v>84770</v>
      </c>
      <c r="H1428" s="526"/>
      <c r="I1428" s="391">
        <f t="shared" si="326"/>
        <v>84770</v>
      </c>
      <c r="J1428" s="376"/>
    </row>
    <row r="1429" spans="1:10">
      <c r="A1429" s="369" t="s">
        <v>2853</v>
      </c>
      <c r="B1429" s="370" t="s">
        <v>2799</v>
      </c>
      <c r="C1429" s="371" t="s">
        <v>1771</v>
      </c>
      <c r="D1429" s="372">
        <v>346</v>
      </c>
      <c r="E1429" s="371"/>
      <c r="F1429" s="525">
        <v>435.78</v>
      </c>
      <c r="G1429" s="391"/>
      <c r="H1429" s="526">
        <f t="shared" ref="H1429" si="331">D1429*F1429</f>
        <v>150779.88</v>
      </c>
      <c r="I1429" s="391">
        <f t="shared" ref="I1429" si="332">G1429+H1429</f>
        <v>150779.88</v>
      </c>
      <c r="J1429" s="376"/>
    </row>
    <row r="1430" spans="1:10">
      <c r="A1430" s="369" t="s">
        <v>2854</v>
      </c>
      <c r="B1430" s="370" t="s">
        <v>2800</v>
      </c>
      <c r="C1430" s="371" t="s">
        <v>1771</v>
      </c>
      <c r="D1430" s="372">
        <v>224</v>
      </c>
      <c r="E1430" s="371">
        <v>280</v>
      </c>
      <c r="F1430" s="525"/>
      <c r="G1430" s="391">
        <f t="shared" si="325"/>
        <v>62720</v>
      </c>
      <c r="H1430" s="526"/>
      <c r="I1430" s="391">
        <f t="shared" si="326"/>
        <v>62720</v>
      </c>
      <c r="J1430" s="376"/>
    </row>
    <row r="1431" spans="1:10">
      <c r="A1431" s="369" t="s">
        <v>2855</v>
      </c>
      <c r="B1431" s="370" t="s">
        <v>2801</v>
      </c>
      <c r="C1431" s="371" t="s">
        <v>1771</v>
      </c>
      <c r="D1431" s="372">
        <v>224</v>
      </c>
      <c r="E1431" s="371"/>
      <c r="F1431" s="525">
        <v>495.2</v>
      </c>
      <c r="G1431" s="391"/>
      <c r="H1431" s="526">
        <f t="shared" ref="H1431" si="333">D1431*F1431</f>
        <v>110924.8</v>
      </c>
      <c r="I1431" s="391">
        <f t="shared" ref="I1431" si="334">G1431+H1431</f>
        <v>110924.8</v>
      </c>
      <c r="J1431" s="376"/>
    </row>
    <row r="1432" spans="1:10">
      <c r="A1432" s="369" t="s">
        <v>2856</v>
      </c>
      <c r="B1432" s="370" t="s">
        <v>2802</v>
      </c>
      <c r="C1432" s="371" t="s">
        <v>1771</v>
      </c>
      <c r="D1432" s="372">
        <v>525</v>
      </c>
      <c r="E1432" s="371">
        <v>350</v>
      </c>
      <c r="F1432" s="525"/>
      <c r="G1432" s="391">
        <f t="shared" si="325"/>
        <v>183750</v>
      </c>
      <c r="H1432" s="526"/>
      <c r="I1432" s="391">
        <f t="shared" si="326"/>
        <v>183750</v>
      </c>
      <c r="J1432" s="376"/>
    </row>
    <row r="1433" spans="1:10">
      <c r="A1433" s="369" t="s">
        <v>2857</v>
      </c>
      <c r="B1433" s="370" t="s">
        <v>2803</v>
      </c>
      <c r="C1433" s="371" t="s">
        <v>1771</v>
      </c>
      <c r="D1433" s="372">
        <v>525</v>
      </c>
      <c r="E1433" s="371"/>
      <c r="F1433" s="525">
        <v>608</v>
      </c>
      <c r="G1433" s="391"/>
      <c r="H1433" s="526">
        <f t="shared" ref="H1433" si="335">D1433*F1433</f>
        <v>319200</v>
      </c>
      <c r="I1433" s="391">
        <f t="shared" ref="I1433" si="336">G1433+H1433</f>
        <v>319200</v>
      </c>
      <c r="J1433" s="376"/>
    </row>
    <row r="1434" spans="1:10">
      <c r="A1434" s="369" t="s">
        <v>2858</v>
      </c>
      <c r="B1434" s="370" t="s">
        <v>2804</v>
      </c>
      <c r="C1434" s="371" t="s">
        <v>1771</v>
      </c>
      <c r="D1434" s="372">
        <v>170</v>
      </c>
      <c r="E1434" s="371">
        <v>420</v>
      </c>
      <c r="F1434" s="525"/>
      <c r="G1434" s="391">
        <f t="shared" si="325"/>
        <v>71400</v>
      </c>
      <c r="H1434" s="526"/>
      <c r="I1434" s="391">
        <f t="shared" si="326"/>
        <v>71400</v>
      </c>
      <c r="J1434" s="376"/>
    </row>
    <row r="1435" spans="1:10">
      <c r="A1435" s="369" t="s">
        <v>2859</v>
      </c>
      <c r="B1435" s="370" t="s">
        <v>2805</v>
      </c>
      <c r="C1435" s="371" t="s">
        <v>1771</v>
      </c>
      <c r="D1435" s="372">
        <v>170</v>
      </c>
      <c r="E1435" s="371"/>
      <c r="F1435" s="525">
        <v>742.8</v>
      </c>
      <c r="G1435" s="391"/>
      <c r="H1435" s="526">
        <f t="shared" ref="H1435" si="337">D1435*F1435</f>
        <v>126275.99999999999</v>
      </c>
      <c r="I1435" s="391">
        <f t="shared" ref="I1435" si="338">G1435+H1435</f>
        <v>126275.99999999999</v>
      </c>
      <c r="J1435" s="376"/>
    </row>
    <row r="1436" spans="1:10">
      <c r="A1436" s="369" t="s">
        <v>2860</v>
      </c>
      <c r="B1436" s="370" t="s">
        <v>2806</v>
      </c>
      <c r="C1436" s="371" t="s">
        <v>1771</v>
      </c>
      <c r="D1436" s="372">
        <v>174</v>
      </c>
      <c r="E1436" s="371">
        <v>385</v>
      </c>
      <c r="F1436" s="525"/>
      <c r="G1436" s="391">
        <f t="shared" si="325"/>
        <v>66990</v>
      </c>
      <c r="H1436" s="526"/>
      <c r="I1436" s="391">
        <f t="shared" si="326"/>
        <v>66990</v>
      </c>
      <c r="J1436" s="376"/>
    </row>
    <row r="1437" spans="1:10">
      <c r="A1437" s="369" t="s">
        <v>2861</v>
      </c>
      <c r="B1437" s="370" t="s">
        <v>2807</v>
      </c>
      <c r="C1437" s="371" t="s">
        <v>1771</v>
      </c>
      <c r="D1437" s="372">
        <v>174</v>
      </c>
      <c r="E1437" s="371"/>
      <c r="F1437" s="525">
        <v>675.4</v>
      </c>
      <c r="G1437" s="391"/>
      <c r="H1437" s="526">
        <f t="shared" ref="H1437" si="339">D1437*F1437</f>
        <v>117519.59999999999</v>
      </c>
      <c r="I1437" s="391">
        <f t="shared" ref="I1437" si="340">G1437+H1437</f>
        <v>117519.59999999999</v>
      </c>
      <c r="J1437" s="376"/>
    </row>
    <row r="1438" spans="1:10">
      <c r="A1438" s="369" t="s">
        <v>2862</v>
      </c>
      <c r="B1438" s="370" t="s">
        <v>2809</v>
      </c>
      <c r="C1438" s="371" t="s">
        <v>1771</v>
      </c>
      <c r="D1438" s="372">
        <v>248</v>
      </c>
      <c r="E1438" s="371">
        <v>420</v>
      </c>
      <c r="F1438" s="525"/>
      <c r="G1438" s="391">
        <f t="shared" si="325"/>
        <v>104160</v>
      </c>
      <c r="H1438" s="526"/>
      <c r="I1438" s="391">
        <f t="shared" si="326"/>
        <v>104160</v>
      </c>
      <c r="J1438" s="376"/>
    </row>
    <row r="1439" spans="1:10">
      <c r="A1439" s="369" t="s">
        <v>2863</v>
      </c>
      <c r="B1439" s="370" t="s">
        <v>2808</v>
      </c>
      <c r="C1439" s="371" t="s">
        <v>1771</v>
      </c>
      <c r="D1439" s="372">
        <v>248</v>
      </c>
      <c r="E1439" s="371"/>
      <c r="F1439" s="525">
        <v>742.8</v>
      </c>
      <c r="G1439" s="391"/>
      <c r="H1439" s="526">
        <f t="shared" ref="H1439" si="341">D1439*F1439</f>
        <v>184214.39999999999</v>
      </c>
      <c r="I1439" s="391">
        <f t="shared" ref="I1439" si="342">G1439+H1439</f>
        <v>184214.39999999999</v>
      </c>
      <c r="J1439" s="376"/>
    </row>
    <row r="1440" spans="1:10">
      <c r="A1440" s="369" t="s">
        <v>2864</v>
      </c>
      <c r="B1440" s="370" t="s">
        <v>2810</v>
      </c>
      <c r="C1440" s="371" t="s">
        <v>1771</v>
      </c>
      <c r="D1440" s="372">
        <v>21</v>
      </c>
      <c r="E1440" s="371">
        <v>455</v>
      </c>
      <c r="F1440" s="525"/>
      <c r="G1440" s="391">
        <f t="shared" si="325"/>
        <v>9555</v>
      </c>
      <c r="H1440" s="526"/>
      <c r="I1440" s="391">
        <f t="shared" si="326"/>
        <v>9555</v>
      </c>
      <c r="J1440" s="376"/>
    </row>
    <row r="1441" spans="1:10">
      <c r="A1441" s="369" t="s">
        <v>2865</v>
      </c>
      <c r="B1441" s="370" t="s">
        <v>2811</v>
      </c>
      <c r="C1441" s="371" t="s">
        <v>1771</v>
      </c>
      <c r="D1441" s="372">
        <v>21</v>
      </c>
      <c r="E1441" s="371"/>
      <c r="F1441" s="525">
        <v>807.18</v>
      </c>
      <c r="G1441" s="391"/>
      <c r="H1441" s="526">
        <f t="shared" ref="H1441" si="343">D1441*F1441</f>
        <v>16950.78</v>
      </c>
      <c r="I1441" s="391">
        <f t="shared" ref="I1441" si="344">G1441+H1441</f>
        <v>16950.78</v>
      </c>
      <c r="J1441" s="376"/>
    </row>
    <row r="1442" spans="1:10">
      <c r="A1442" s="369" t="s">
        <v>2866</v>
      </c>
      <c r="B1442" s="370" t="s">
        <v>2812</v>
      </c>
      <c r="C1442" s="371" t="s">
        <v>1771</v>
      </c>
      <c r="D1442" s="372">
        <v>43</v>
      </c>
      <c r="E1442" s="371">
        <v>490</v>
      </c>
      <c r="F1442" s="525"/>
      <c r="G1442" s="391">
        <f t="shared" si="325"/>
        <v>21070</v>
      </c>
      <c r="H1442" s="526"/>
      <c r="I1442" s="391">
        <f t="shared" si="326"/>
        <v>21070</v>
      </c>
      <c r="J1442" s="376"/>
    </row>
    <row r="1443" spans="1:10">
      <c r="A1443" s="369" t="s">
        <v>2867</v>
      </c>
      <c r="B1443" s="370" t="s">
        <v>2813</v>
      </c>
      <c r="C1443" s="371" t="s">
        <v>1771</v>
      </c>
      <c r="D1443" s="372">
        <v>43</v>
      </c>
      <c r="E1443" s="371"/>
      <c r="F1443" s="525">
        <v>866.6</v>
      </c>
      <c r="G1443" s="391"/>
      <c r="H1443" s="526">
        <f t="shared" ref="H1443" si="345">D1443*F1443</f>
        <v>37263.800000000003</v>
      </c>
      <c r="I1443" s="391">
        <f t="shared" ref="I1443" si="346">G1443+H1443</f>
        <v>37263.800000000003</v>
      </c>
      <c r="J1443" s="376"/>
    </row>
    <row r="1444" spans="1:10">
      <c r="A1444" s="369" t="s">
        <v>2868</v>
      </c>
      <c r="B1444" s="370" t="s">
        <v>2814</v>
      </c>
      <c r="C1444" s="371" t="s">
        <v>1771</v>
      </c>
      <c r="D1444" s="372">
        <v>21</v>
      </c>
      <c r="E1444" s="371">
        <v>630</v>
      </c>
      <c r="F1444" s="525"/>
      <c r="G1444" s="391">
        <f t="shared" si="325"/>
        <v>13230</v>
      </c>
      <c r="H1444" s="526"/>
      <c r="I1444" s="391">
        <f t="shared" si="326"/>
        <v>13230</v>
      </c>
      <c r="J1444" s="376"/>
    </row>
    <row r="1445" spans="1:10">
      <c r="A1445" s="369" t="s">
        <v>2869</v>
      </c>
      <c r="B1445" s="370" t="s">
        <v>2815</v>
      </c>
      <c r="C1445" s="371" t="s">
        <v>1771</v>
      </c>
      <c r="D1445" s="372">
        <v>21</v>
      </c>
      <c r="E1445" s="371"/>
      <c r="F1445" s="525">
        <v>1114.2</v>
      </c>
      <c r="G1445" s="391"/>
      <c r="H1445" s="526">
        <f t="shared" ref="H1445" si="347">D1445*F1445</f>
        <v>23398.2</v>
      </c>
      <c r="I1445" s="391">
        <f t="shared" ref="I1445" si="348">G1445+H1445</f>
        <v>23398.2</v>
      </c>
      <c r="J1445" s="376"/>
    </row>
    <row r="1446" spans="1:10">
      <c r="A1446" s="369" t="s">
        <v>2870</v>
      </c>
      <c r="B1446" s="370" t="s">
        <v>2816</v>
      </c>
      <c r="C1446" s="371" t="s">
        <v>1771</v>
      </c>
      <c r="D1446" s="372">
        <v>111</v>
      </c>
      <c r="E1446" s="371">
        <v>560</v>
      </c>
      <c r="F1446" s="525"/>
      <c r="G1446" s="391">
        <f t="shared" si="325"/>
        <v>62160</v>
      </c>
      <c r="H1446" s="526"/>
      <c r="I1446" s="391">
        <f t="shared" si="326"/>
        <v>62160</v>
      </c>
      <c r="J1446" s="376"/>
    </row>
    <row r="1447" spans="1:10">
      <c r="A1447" s="369" t="s">
        <v>2871</v>
      </c>
      <c r="B1447" s="370" t="s">
        <v>2817</v>
      </c>
      <c r="C1447" s="371" t="s">
        <v>1771</v>
      </c>
      <c r="D1447" s="372">
        <v>111</v>
      </c>
      <c r="E1447" s="371"/>
      <c r="F1447" s="525">
        <v>990.4</v>
      </c>
      <c r="G1447" s="391"/>
      <c r="H1447" s="526">
        <f t="shared" ref="H1447" si="349">D1447*F1447</f>
        <v>109934.39999999999</v>
      </c>
      <c r="I1447" s="391">
        <f t="shared" ref="I1447" si="350">G1447+H1447</f>
        <v>109934.39999999999</v>
      </c>
      <c r="J1447" s="376"/>
    </row>
    <row r="1448" spans="1:10">
      <c r="A1448" s="369" t="s">
        <v>2872</v>
      </c>
      <c r="B1448" s="370" t="s">
        <v>2818</v>
      </c>
      <c r="C1448" s="371" t="s">
        <v>1771</v>
      </c>
      <c r="D1448" s="372">
        <v>192</v>
      </c>
      <c r="E1448" s="371">
        <v>595</v>
      </c>
      <c r="F1448" s="525"/>
      <c r="G1448" s="391">
        <f t="shared" si="325"/>
        <v>114240</v>
      </c>
      <c r="H1448" s="526"/>
      <c r="I1448" s="391">
        <f t="shared" si="326"/>
        <v>114240</v>
      </c>
      <c r="J1448" s="376"/>
    </row>
    <row r="1449" spans="1:10">
      <c r="A1449" s="369" t="s">
        <v>2873</v>
      </c>
      <c r="B1449" s="370" t="s">
        <v>2819</v>
      </c>
      <c r="C1449" s="371" t="s">
        <v>1771</v>
      </c>
      <c r="D1449" s="372">
        <v>192</v>
      </c>
      <c r="E1449" s="371"/>
      <c r="F1449" s="525">
        <v>1114.2</v>
      </c>
      <c r="G1449" s="391"/>
      <c r="H1449" s="526">
        <f t="shared" ref="H1449" si="351">D1449*F1449</f>
        <v>213926.40000000002</v>
      </c>
      <c r="I1449" s="391">
        <f t="shared" ref="I1449" si="352">G1449+H1449</f>
        <v>213926.40000000002</v>
      </c>
      <c r="J1449" s="376"/>
    </row>
    <row r="1450" spans="1:10">
      <c r="A1450" s="369" t="s">
        <v>2874</v>
      </c>
      <c r="B1450" s="370" t="s">
        <v>2820</v>
      </c>
      <c r="C1450" s="371" t="s">
        <v>1771</v>
      </c>
      <c r="D1450" s="372">
        <v>233</v>
      </c>
      <c r="E1450" s="371">
        <v>560</v>
      </c>
      <c r="F1450" s="525"/>
      <c r="G1450" s="391">
        <f t="shared" si="325"/>
        <v>130480</v>
      </c>
      <c r="H1450" s="526"/>
      <c r="I1450" s="391">
        <f t="shared" si="326"/>
        <v>130480</v>
      </c>
      <c r="J1450" s="376"/>
    </row>
    <row r="1451" spans="1:10">
      <c r="A1451" s="369" t="s">
        <v>2875</v>
      </c>
      <c r="B1451" s="370" t="s">
        <v>2821</v>
      </c>
      <c r="C1451" s="371" t="s">
        <v>1771</v>
      </c>
      <c r="D1451" s="372">
        <v>233</v>
      </c>
      <c r="E1451" s="371"/>
      <c r="F1451" s="525">
        <v>979.4</v>
      </c>
      <c r="G1451" s="391"/>
      <c r="H1451" s="526">
        <f t="shared" ref="H1451" si="353">D1451*F1451</f>
        <v>228200.19999999998</v>
      </c>
      <c r="I1451" s="391">
        <f t="shared" ref="I1451" si="354">G1451+H1451</f>
        <v>228200.19999999998</v>
      </c>
      <c r="J1451" s="376"/>
    </row>
    <row r="1452" spans="1:10">
      <c r="A1452" s="369" t="s">
        <v>2876</v>
      </c>
      <c r="B1452" s="370" t="s">
        <v>2822</v>
      </c>
      <c r="C1452" s="371" t="s">
        <v>1771</v>
      </c>
      <c r="D1452" s="372">
        <v>21</v>
      </c>
      <c r="E1452" s="371">
        <v>630</v>
      </c>
      <c r="F1452" s="525"/>
      <c r="G1452" s="391">
        <f t="shared" si="325"/>
        <v>13230</v>
      </c>
      <c r="H1452" s="526"/>
      <c r="I1452" s="391">
        <f t="shared" si="326"/>
        <v>13230</v>
      </c>
      <c r="J1452" s="376"/>
    </row>
    <row r="1453" spans="1:10">
      <c r="A1453" s="369" t="s">
        <v>2877</v>
      </c>
      <c r="B1453" s="370" t="s">
        <v>2823</v>
      </c>
      <c r="C1453" s="371" t="s">
        <v>1771</v>
      </c>
      <c r="D1453" s="372">
        <v>21</v>
      </c>
      <c r="E1453" s="371"/>
      <c r="F1453" s="525">
        <v>1114.2</v>
      </c>
      <c r="G1453" s="391"/>
      <c r="H1453" s="526">
        <f t="shared" ref="H1453" si="355">D1453*F1453</f>
        <v>23398.2</v>
      </c>
      <c r="I1453" s="391">
        <f t="shared" ref="I1453" si="356">G1453+H1453</f>
        <v>23398.2</v>
      </c>
      <c r="J1453" s="376"/>
    </row>
    <row r="1454" spans="1:10">
      <c r="A1454" s="369" t="s">
        <v>2878</v>
      </c>
      <c r="B1454" s="370" t="s">
        <v>2824</v>
      </c>
      <c r="C1454" s="371" t="s">
        <v>1771</v>
      </c>
      <c r="D1454" s="372">
        <v>42</v>
      </c>
      <c r="E1454" s="371">
        <v>665</v>
      </c>
      <c r="F1454" s="525"/>
      <c r="G1454" s="391">
        <f t="shared" si="325"/>
        <v>27930</v>
      </c>
      <c r="H1454" s="526"/>
      <c r="I1454" s="391">
        <f t="shared" si="326"/>
        <v>27930</v>
      </c>
      <c r="J1454" s="376"/>
    </row>
    <row r="1455" spans="1:10">
      <c r="A1455" s="369" t="s">
        <v>2879</v>
      </c>
      <c r="B1455" s="370" t="s">
        <v>2825</v>
      </c>
      <c r="C1455" s="371" t="s">
        <v>1771</v>
      </c>
      <c r="D1455" s="372">
        <v>42</v>
      </c>
      <c r="E1455" s="371"/>
      <c r="F1455" s="525">
        <v>1170.5999999999999</v>
      </c>
      <c r="G1455" s="391"/>
      <c r="H1455" s="526">
        <f t="shared" ref="H1455" si="357">D1455*F1455</f>
        <v>49165.2</v>
      </c>
      <c r="I1455" s="391">
        <f t="shared" ref="I1455" si="358">G1455+H1455</f>
        <v>49165.2</v>
      </c>
      <c r="J1455" s="376"/>
    </row>
    <row r="1456" spans="1:10">
      <c r="A1456" s="369" t="s">
        <v>2880</v>
      </c>
      <c r="B1456" s="370" t="s">
        <v>2826</v>
      </c>
      <c r="C1456" s="371" t="s">
        <v>1771</v>
      </c>
      <c r="D1456" s="372">
        <v>3</v>
      </c>
      <c r="E1456" s="371">
        <v>450</v>
      </c>
      <c r="F1456" s="525"/>
      <c r="G1456" s="391">
        <f t="shared" si="325"/>
        <v>1350</v>
      </c>
      <c r="H1456" s="526"/>
      <c r="I1456" s="391">
        <f t="shared" si="326"/>
        <v>1350</v>
      </c>
      <c r="J1456" s="376"/>
    </row>
    <row r="1457" spans="1:10">
      <c r="A1457" s="369" t="s">
        <v>2881</v>
      </c>
      <c r="B1457" s="370" t="s">
        <v>2827</v>
      </c>
      <c r="C1457" s="371" t="s">
        <v>1771</v>
      </c>
      <c r="D1457" s="372">
        <v>3</v>
      </c>
      <c r="E1457" s="371"/>
      <c r="F1457" s="525">
        <v>608</v>
      </c>
      <c r="G1457" s="391"/>
      <c r="H1457" s="526">
        <f t="shared" ref="H1457" si="359">D1457*F1457</f>
        <v>1824</v>
      </c>
      <c r="I1457" s="391">
        <f t="shared" ref="I1457" si="360">G1457+H1457</f>
        <v>1824</v>
      </c>
      <c r="J1457" s="376"/>
    </row>
    <row r="1458" spans="1:10">
      <c r="A1458" s="369" t="s">
        <v>2882</v>
      </c>
      <c r="B1458" s="370" t="s">
        <v>2818</v>
      </c>
      <c r="C1458" s="371" t="s">
        <v>1771</v>
      </c>
      <c r="D1458" s="372">
        <v>250</v>
      </c>
      <c r="E1458" s="371">
        <v>810</v>
      </c>
      <c r="F1458" s="525"/>
      <c r="G1458" s="391">
        <f t="shared" si="325"/>
        <v>202500</v>
      </c>
      <c r="H1458" s="526"/>
      <c r="I1458" s="391">
        <f t="shared" si="326"/>
        <v>202500</v>
      </c>
      <c r="J1458" s="376"/>
    </row>
    <row r="1459" spans="1:10">
      <c r="A1459" s="369" t="s">
        <v>2883</v>
      </c>
      <c r="B1459" s="370" t="s">
        <v>2819</v>
      </c>
      <c r="C1459" s="371" t="s">
        <v>1771</v>
      </c>
      <c r="D1459" s="372">
        <v>250</v>
      </c>
      <c r="E1459" s="371"/>
      <c r="F1459" s="525">
        <v>1114.2</v>
      </c>
      <c r="G1459" s="391"/>
      <c r="H1459" s="526">
        <f t="shared" ref="H1459" si="361">D1459*F1459</f>
        <v>278550</v>
      </c>
      <c r="I1459" s="391">
        <f t="shared" ref="I1459" si="362">G1459+H1459</f>
        <v>278550</v>
      </c>
      <c r="J1459" s="376"/>
    </row>
    <row r="1460" spans="1:10">
      <c r="A1460" s="369" t="s">
        <v>2884</v>
      </c>
      <c r="B1460" s="370" t="s">
        <v>2828</v>
      </c>
      <c r="C1460" s="371" t="s">
        <v>1771</v>
      </c>
      <c r="D1460" s="372">
        <v>10</v>
      </c>
      <c r="E1460" s="371">
        <v>990</v>
      </c>
      <c r="F1460" s="525"/>
      <c r="G1460" s="391">
        <f t="shared" si="325"/>
        <v>9900</v>
      </c>
      <c r="H1460" s="526"/>
      <c r="I1460" s="391">
        <f t="shared" si="326"/>
        <v>9900</v>
      </c>
      <c r="J1460" s="376"/>
    </row>
    <row r="1461" spans="1:10">
      <c r="A1461" s="369" t="s">
        <v>2885</v>
      </c>
      <c r="B1461" s="370" t="s">
        <v>2829</v>
      </c>
      <c r="C1461" s="371" t="s">
        <v>1771</v>
      </c>
      <c r="D1461" s="372">
        <v>10</v>
      </c>
      <c r="E1461" s="371"/>
      <c r="F1461" s="525">
        <v>1372.8</v>
      </c>
      <c r="G1461" s="391"/>
      <c r="H1461" s="526">
        <f t="shared" ref="H1461" si="363">D1461*F1461</f>
        <v>13728</v>
      </c>
      <c r="I1461" s="391">
        <f t="shared" ref="I1461" si="364">G1461+H1461</f>
        <v>13728</v>
      </c>
      <c r="J1461" s="376"/>
    </row>
    <row r="1462" spans="1:10">
      <c r="A1462" s="369" t="s">
        <v>2886</v>
      </c>
      <c r="B1462" s="370" t="s">
        <v>2830</v>
      </c>
      <c r="C1462" s="371" t="s">
        <v>1771</v>
      </c>
      <c r="D1462" s="372">
        <v>6</v>
      </c>
      <c r="E1462" s="371">
        <v>1530</v>
      </c>
      <c r="F1462" s="525"/>
      <c r="G1462" s="391">
        <f t="shared" si="325"/>
        <v>9180</v>
      </c>
      <c r="H1462" s="526"/>
      <c r="I1462" s="391">
        <f t="shared" si="326"/>
        <v>9180</v>
      </c>
      <c r="J1462" s="376"/>
    </row>
    <row r="1463" spans="1:10">
      <c r="A1463" s="369" t="s">
        <v>2887</v>
      </c>
      <c r="B1463" s="370" t="s">
        <v>2831</v>
      </c>
      <c r="C1463" s="371" t="s">
        <v>1771</v>
      </c>
      <c r="D1463" s="372">
        <v>6</v>
      </c>
      <c r="E1463" s="371"/>
      <c r="F1463" s="525">
        <v>2272.6</v>
      </c>
      <c r="G1463" s="391"/>
      <c r="H1463" s="526">
        <f t="shared" ref="H1463" si="365">D1463*F1463</f>
        <v>13635.599999999999</v>
      </c>
      <c r="I1463" s="391">
        <f t="shared" ref="I1463" si="366">G1463+H1463</f>
        <v>13635.599999999999</v>
      </c>
      <c r="J1463" s="376"/>
    </row>
    <row r="1464" spans="1:10">
      <c r="A1464" s="369" t="s">
        <v>2888</v>
      </c>
      <c r="B1464" s="370" t="s">
        <v>2832</v>
      </c>
      <c r="C1464" s="371" t="s">
        <v>1771</v>
      </c>
      <c r="D1464" s="372">
        <v>86</v>
      </c>
      <c r="E1464" s="371">
        <v>1080</v>
      </c>
      <c r="F1464" s="525"/>
      <c r="G1464" s="391">
        <f t="shared" si="325"/>
        <v>92880</v>
      </c>
      <c r="H1464" s="526"/>
      <c r="I1464" s="391">
        <f t="shared" si="326"/>
        <v>92880</v>
      </c>
      <c r="J1464" s="376"/>
    </row>
    <row r="1465" spans="1:10">
      <c r="A1465" s="369" t="s">
        <v>2889</v>
      </c>
      <c r="B1465" s="370" t="s">
        <v>2833</v>
      </c>
      <c r="C1465" s="371" t="s">
        <v>1771</v>
      </c>
      <c r="D1465" s="372">
        <v>86</v>
      </c>
      <c r="E1465" s="371"/>
      <c r="F1465" s="525">
        <v>1485.6</v>
      </c>
      <c r="G1465" s="391"/>
      <c r="H1465" s="526">
        <f t="shared" ref="H1465" si="367">D1465*F1465</f>
        <v>127761.59999999999</v>
      </c>
      <c r="I1465" s="391">
        <f t="shared" ref="I1465" si="368">G1465+H1465</f>
        <v>127761.59999999999</v>
      </c>
      <c r="J1465" s="376"/>
    </row>
    <row r="1466" spans="1:10">
      <c r="A1466" s="369" t="s">
        <v>2890</v>
      </c>
      <c r="B1466" s="370" t="s">
        <v>2834</v>
      </c>
      <c r="C1466" s="371" t="s">
        <v>1771</v>
      </c>
      <c r="D1466" s="372">
        <v>2</v>
      </c>
      <c r="E1466" s="371">
        <v>1620</v>
      </c>
      <c r="F1466" s="525"/>
      <c r="G1466" s="391">
        <f t="shared" si="325"/>
        <v>3240</v>
      </c>
      <c r="H1466" s="526"/>
      <c r="I1466" s="391">
        <f t="shared" si="326"/>
        <v>3240</v>
      </c>
      <c r="J1466" s="376"/>
    </row>
    <row r="1467" spans="1:10">
      <c r="A1467" s="369" t="s">
        <v>2891</v>
      </c>
      <c r="B1467" s="370" t="s">
        <v>2835</v>
      </c>
      <c r="C1467" s="371" t="s">
        <v>1771</v>
      </c>
      <c r="D1467" s="372">
        <v>2</v>
      </c>
      <c r="E1467" s="371"/>
      <c r="F1467" s="525">
        <v>2340</v>
      </c>
      <c r="G1467" s="391"/>
      <c r="H1467" s="526">
        <f t="shared" ref="H1467" si="369">D1467*F1467</f>
        <v>4680</v>
      </c>
      <c r="I1467" s="391">
        <f t="shared" ref="I1467" si="370">G1467+H1467</f>
        <v>4680</v>
      </c>
      <c r="J1467" s="376"/>
    </row>
    <row r="1468" spans="1:10">
      <c r="A1468" s="369" t="s">
        <v>2892</v>
      </c>
      <c r="B1468" s="370" t="s">
        <v>2839</v>
      </c>
      <c r="C1468" s="371" t="s">
        <v>1771</v>
      </c>
      <c r="D1468" s="375">
        <v>0.5</v>
      </c>
      <c r="E1468" s="371">
        <v>283.5</v>
      </c>
      <c r="F1468" s="525"/>
      <c r="G1468" s="391">
        <f>D1468*E1468</f>
        <v>141.75</v>
      </c>
      <c r="H1468" s="526"/>
      <c r="I1468" s="391">
        <f>G1468+H1468</f>
        <v>141.75</v>
      </c>
      <c r="J1468" s="376"/>
    </row>
    <row r="1469" spans="1:10">
      <c r="A1469" s="369" t="s">
        <v>2893</v>
      </c>
      <c r="B1469" s="370" t="s">
        <v>2840</v>
      </c>
      <c r="C1469" s="371" t="s">
        <v>1771</v>
      </c>
      <c r="D1469" s="375">
        <v>0.5</v>
      </c>
      <c r="E1469" s="371"/>
      <c r="F1469" s="525">
        <f>650/100*110</f>
        <v>715</v>
      </c>
      <c r="G1469" s="391"/>
      <c r="H1469" s="526">
        <f t="shared" ref="H1469" si="371">D1469*F1469</f>
        <v>357.5</v>
      </c>
      <c r="I1469" s="391">
        <f t="shared" ref="I1469" si="372">G1469+H1469</f>
        <v>357.5</v>
      </c>
      <c r="J1469" s="376"/>
    </row>
    <row r="1470" spans="1:10">
      <c r="A1470" s="369" t="s">
        <v>2894</v>
      </c>
      <c r="B1470" s="370" t="s">
        <v>2843</v>
      </c>
      <c r="C1470" s="371"/>
      <c r="D1470" s="375">
        <f>SUM(D1471:D1472)</f>
        <v>586.6</v>
      </c>
      <c r="E1470" s="371">
        <v>350</v>
      </c>
      <c r="F1470" s="373"/>
      <c r="G1470" s="391">
        <f>D1470*E1470</f>
        <v>205310</v>
      </c>
      <c r="H1470" s="391"/>
      <c r="I1470" s="391">
        <f>G1470+H1470</f>
        <v>205310</v>
      </c>
      <c r="J1470" s="376"/>
    </row>
    <row r="1471" spans="1:10">
      <c r="A1471" s="369" t="s">
        <v>2895</v>
      </c>
      <c r="B1471" s="370" t="s">
        <v>1772</v>
      </c>
      <c r="C1471" s="371" t="s">
        <v>111</v>
      </c>
      <c r="D1471" s="372">
        <v>585.6</v>
      </c>
      <c r="E1471" s="371"/>
      <c r="F1471" s="391">
        <v>1500</v>
      </c>
      <c r="G1471" s="391"/>
      <c r="H1471" s="391">
        <f>D1471*F1471</f>
        <v>878400</v>
      </c>
      <c r="I1471" s="391">
        <f>G1471+H1471</f>
        <v>878400</v>
      </c>
      <c r="J1471" s="376"/>
    </row>
    <row r="1472" spans="1:10">
      <c r="A1472" s="369" t="s">
        <v>2896</v>
      </c>
      <c r="B1472" s="370" t="s">
        <v>1785</v>
      </c>
      <c r="C1472" s="371" t="s">
        <v>332</v>
      </c>
      <c r="D1472" s="375">
        <v>1</v>
      </c>
      <c r="E1472" s="371"/>
      <c r="F1472" s="391">
        <v>2555.5</v>
      </c>
      <c r="G1472" s="391"/>
      <c r="H1472" s="391">
        <f>D1472*F1472</f>
        <v>2555.5</v>
      </c>
      <c r="I1472" s="391">
        <f>G1472+H1472</f>
        <v>2555.5</v>
      </c>
      <c r="J1472" s="376"/>
    </row>
    <row r="1473" spans="1:10">
      <c r="A1473" s="369" t="s">
        <v>2897</v>
      </c>
      <c r="B1473" s="370" t="s">
        <v>1809</v>
      </c>
      <c r="C1473" s="371" t="s">
        <v>125</v>
      </c>
      <c r="D1473" s="375">
        <v>180</v>
      </c>
      <c r="E1473" s="371"/>
      <c r="F1473" s="524">
        <v>125</v>
      </c>
      <c r="G1473" s="524"/>
      <c r="H1473" s="524">
        <f>D1473*F1473</f>
        <v>22500</v>
      </c>
      <c r="I1473" s="524">
        <f>G1473+H1473</f>
        <v>22500</v>
      </c>
      <c r="J1473" s="376"/>
    </row>
    <row r="1474" spans="1:10">
      <c r="A1474" s="369" t="s">
        <v>2898</v>
      </c>
      <c r="B1474" s="370" t="s">
        <v>1810</v>
      </c>
      <c r="C1474" s="371" t="s">
        <v>125</v>
      </c>
      <c r="D1474" s="375">
        <v>60</v>
      </c>
      <c r="E1474" s="371"/>
      <c r="F1474" s="524">
        <v>125</v>
      </c>
      <c r="G1474" s="524"/>
      <c r="H1474" s="524">
        <f>D1474*F1474</f>
        <v>7500</v>
      </c>
      <c r="I1474" s="524">
        <f>G1474+H1474</f>
        <v>7500</v>
      </c>
      <c r="J1474" s="376"/>
    </row>
    <row r="1475" spans="1:10">
      <c r="A1475" s="369" t="s">
        <v>2899</v>
      </c>
      <c r="B1475" s="370" t="s">
        <v>1811</v>
      </c>
      <c r="C1475" s="371" t="s">
        <v>125</v>
      </c>
      <c r="D1475" s="375">
        <v>150</v>
      </c>
      <c r="E1475" s="371"/>
      <c r="F1475" s="524">
        <v>205</v>
      </c>
      <c r="G1475" s="524"/>
      <c r="H1475" s="524">
        <f t="shared" ref="H1475:H1485" si="373">D1475*F1475</f>
        <v>30750</v>
      </c>
      <c r="I1475" s="524">
        <f t="shared" ref="I1475:I1486" si="374">G1475+H1475</f>
        <v>30750</v>
      </c>
      <c r="J1475" s="376"/>
    </row>
    <row r="1476" spans="1:10">
      <c r="A1476" s="369" t="s">
        <v>2900</v>
      </c>
      <c r="B1476" s="370" t="s">
        <v>1812</v>
      </c>
      <c r="C1476" s="371" t="s">
        <v>1771</v>
      </c>
      <c r="D1476" s="375">
        <v>450</v>
      </c>
      <c r="E1476" s="371"/>
      <c r="F1476" s="524">
        <v>27</v>
      </c>
      <c r="G1476" s="524"/>
      <c r="H1476" s="524">
        <f t="shared" si="373"/>
        <v>12150</v>
      </c>
      <c r="I1476" s="524">
        <f t="shared" si="374"/>
        <v>12150</v>
      </c>
      <c r="J1476" s="376"/>
    </row>
    <row r="1477" spans="1:10">
      <c r="A1477" s="369" t="s">
        <v>2901</v>
      </c>
      <c r="B1477" s="378" t="s">
        <v>1813</v>
      </c>
      <c r="C1477" s="371" t="s">
        <v>1771</v>
      </c>
      <c r="D1477" s="375">
        <v>1000</v>
      </c>
      <c r="E1477" s="371"/>
      <c r="F1477" s="524">
        <v>27</v>
      </c>
      <c r="G1477" s="524"/>
      <c r="H1477" s="524">
        <f t="shared" si="373"/>
        <v>27000</v>
      </c>
      <c r="I1477" s="524">
        <f t="shared" si="374"/>
        <v>27000</v>
      </c>
      <c r="J1477" s="376"/>
    </row>
    <row r="1478" spans="1:10">
      <c r="A1478" s="369" t="s">
        <v>2902</v>
      </c>
      <c r="B1478" s="370" t="s">
        <v>1814</v>
      </c>
      <c r="C1478" s="371" t="s">
        <v>1771</v>
      </c>
      <c r="D1478" s="375">
        <v>1000</v>
      </c>
      <c r="E1478" s="371"/>
      <c r="F1478" s="524">
        <v>33</v>
      </c>
      <c r="G1478" s="524"/>
      <c r="H1478" s="524">
        <f t="shared" si="373"/>
        <v>33000</v>
      </c>
      <c r="I1478" s="524">
        <f t="shared" si="374"/>
        <v>33000</v>
      </c>
      <c r="J1478" s="376"/>
    </row>
    <row r="1479" spans="1:10">
      <c r="A1479" s="369" t="s">
        <v>2903</v>
      </c>
      <c r="B1479" s="370" t="s">
        <v>1815</v>
      </c>
      <c r="C1479" s="371" t="s">
        <v>1771</v>
      </c>
      <c r="D1479" s="375">
        <v>300</v>
      </c>
      <c r="E1479" s="371"/>
      <c r="F1479" s="524">
        <v>79</v>
      </c>
      <c r="G1479" s="524"/>
      <c r="H1479" s="524">
        <f t="shared" si="373"/>
        <v>23700</v>
      </c>
      <c r="I1479" s="524">
        <f t="shared" si="374"/>
        <v>23700</v>
      </c>
      <c r="J1479" s="376"/>
    </row>
    <row r="1480" spans="1:10">
      <c r="A1480" s="369" t="s">
        <v>2904</v>
      </c>
      <c r="B1480" s="370" t="s">
        <v>1816</v>
      </c>
      <c r="C1480" s="371" t="s">
        <v>1817</v>
      </c>
      <c r="D1480" s="375">
        <v>500</v>
      </c>
      <c r="E1480" s="371"/>
      <c r="F1480" s="524">
        <v>110</v>
      </c>
      <c r="G1480" s="524"/>
      <c r="H1480" s="524">
        <f t="shared" si="373"/>
        <v>55000</v>
      </c>
      <c r="I1480" s="524">
        <f t="shared" si="374"/>
        <v>55000</v>
      </c>
      <c r="J1480" s="376"/>
    </row>
    <row r="1481" spans="1:10">
      <c r="A1481" s="369" t="s">
        <v>2905</v>
      </c>
      <c r="B1481" s="370" t="s">
        <v>1818</v>
      </c>
      <c r="C1481" s="371" t="s">
        <v>332</v>
      </c>
      <c r="D1481" s="375">
        <v>500</v>
      </c>
      <c r="E1481" s="371"/>
      <c r="F1481" s="524">
        <v>4.5</v>
      </c>
      <c r="G1481" s="524"/>
      <c r="H1481" s="524">
        <f t="shared" si="373"/>
        <v>2250</v>
      </c>
      <c r="I1481" s="524">
        <f t="shared" si="374"/>
        <v>2250</v>
      </c>
      <c r="J1481" s="376"/>
    </row>
    <row r="1482" spans="1:10">
      <c r="A1482" s="369" t="s">
        <v>2906</v>
      </c>
      <c r="B1482" s="370" t="s">
        <v>1819</v>
      </c>
      <c r="C1482" s="371" t="s">
        <v>332</v>
      </c>
      <c r="D1482" s="375">
        <v>20</v>
      </c>
      <c r="E1482" s="371"/>
      <c r="F1482" s="524">
        <v>400</v>
      </c>
      <c r="G1482" s="524"/>
      <c r="H1482" s="524">
        <f t="shared" si="373"/>
        <v>8000</v>
      </c>
      <c r="I1482" s="524">
        <f t="shared" si="374"/>
        <v>8000</v>
      </c>
      <c r="J1482" s="376"/>
    </row>
    <row r="1483" spans="1:10">
      <c r="A1483" s="369" t="s">
        <v>2907</v>
      </c>
      <c r="B1483" s="370" t="s">
        <v>1820</v>
      </c>
      <c r="C1483" s="371" t="s">
        <v>1771</v>
      </c>
      <c r="D1483" s="372">
        <v>150</v>
      </c>
      <c r="E1483" s="382"/>
      <c r="F1483" s="524">
        <v>23</v>
      </c>
      <c r="G1483" s="524"/>
      <c r="H1483" s="524">
        <f t="shared" si="373"/>
        <v>3450</v>
      </c>
      <c r="I1483" s="524">
        <f t="shared" si="374"/>
        <v>3450</v>
      </c>
      <c r="J1483" s="376"/>
    </row>
    <row r="1484" spans="1:10">
      <c r="A1484" s="369" t="s">
        <v>2908</v>
      </c>
      <c r="B1484" s="370" t="s">
        <v>1821</v>
      </c>
      <c r="C1484" s="371" t="s">
        <v>332</v>
      </c>
      <c r="D1484" s="372">
        <v>600</v>
      </c>
      <c r="E1484" s="382"/>
      <c r="F1484" s="524">
        <v>4</v>
      </c>
      <c r="G1484" s="524"/>
      <c r="H1484" s="524">
        <f t="shared" si="373"/>
        <v>2400</v>
      </c>
      <c r="I1484" s="524">
        <f t="shared" si="374"/>
        <v>2400</v>
      </c>
      <c r="J1484" s="376"/>
    </row>
    <row r="1485" spans="1:10">
      <c r="A1485" s="369" t="s">
        <v>2909</v>
      </c>
      <c r="B1485" s="370" t="s">
        <v>1822</v>
      </c>
      <c r="C1485" s="371" t="s">
        <v>332</v>
      </c>
      <c r="D1485" s="372">
        <v>150</v>
      </c>
      <c r="E1485" s="382"/>
      <c r="F1485" s="524">
        <v>24</v>
      </c>
      <c r="G1485" s="524"/>
      <c r="H1485" s="524">
        <f t="shared" si="373"/>
        <v>3600</v>
      </c>
      <c r="I1485" s="524">
        <f t="shared" si="374"/>
        <v>3600</v>
      </c>
      <c r="J1485" s="376"/>
    </row>
    <row r="1486" spans="1:10">
      <c r="A1486" s="369" t="s">
        <v>2910</v>
      </c>
      <c r="B1486" s="384" t="s">
        <v>2846</v>
      </c>
      <c r="C1486" s="383" t="s">
        <v>125</v>
      </c>
      <c r="D1486" s="385">
        <v>822</v>
      </c>
      <c r="E1486" s="386"/>
      <c r="F1486" s="527">
        <v>92</v>
      </c>
      <c r="G1486" s="22"/>
      <c r="H1486" s="38">
        <f>D1486*F1486</f>
        <v>75624</v>
      </c>
      <c r="I1486" s="524">
        <f t="shared" si="374"/>
        <v>75624</v>
      </c>
      <c r="J1486" s="376"/>
    </row>
    <row r="1487" spans="1:10">
      <c r="A1487" s="369" t="s">
        <v>2911</v>
      </c>
      <c r="B1487" s="370" t="s">
        <v>2842</v>
      </c>
      <c r="C1487" s="371" t="s">
        <v>332</v>
      </c>
      <c r="D1487" s="375">
        <v>1</v>
      </c>
      <c r="E1487" s="371">
        <v>200</v>
      </c>
      <c r="F1487" s="391"/>
      <c r="G1487" s="391">
        <f>D1487*E1487</f>
        <v>200</v>
      </c>
      <c r="H1487" s="391"/>
      <c r="I1487" s="391">
        <f>G1487+H1487</f>
        <v>200</v>
      </c>
      <c r="J1487" s="376"/>
    </row>
    <row r="1488" spans="1:10">
      <c r="A1488" s="369" t="s">
        <v>2912</v>
      </c>
      <c r="B1488" s="370" t="s">
        <v>2844</v>
      </c>
      <c r="C1488" s="371" t="s">
        <v>332</v>
      </c>
      <c r="D1488" s="375">
        <v>1</v>
      </c>
      <c r="E1488" s="371"/>
      <c r="F1488" s="391">
        <v>964.25</v>
      </c>
      <c r="G1488" s="391"/>
      <c r="H1488" s="391">
        <f>D1488*F1488</f>
        <v>964.25</v>
      </c>
      <c r="I1488" s="391">
        <f>G1488+H1488</f>
        <v>964.25</v>
      </c>
      <c r="J1488" s="376"/>
    </row>
    <row r="1489" spans="1:10">
      <c r="A1489" s="369" t="s">
        <v>2913</v>
      </c>
      <c r="B1489" s="370" t="s">
        <v>2837</v>
      </c>
      <c r="C1489" s="371" t="s">
        <v>1774</v>
      </c>
      <c r="D1489" s="375">
        <v>5198.3</v>
      </c>
      <c r="E1489" s="371">
        <v>50</v>
      </c>
      <c r="F1489" s="391"/>
      <c r="G1489" s="391">
        <f>D1489*E1489</f>
        <v>259915</v>
      </c>
      <c r="H1489" s="391"/>
      <c r="I1489" s="391">
        <f>G1489+H1489</f>
        <v>259915</v>
      </c>
      <c r="J1489" s="376"/>
    </row>
    <row r="1490" spans="1:10">
      <c r="A1490" s="369" t="s">
        <v>2914</v>
      </c>
      <c r="B1490" s="370" t="s">
        <v>1773</v>
      </c>
      <c r="C1490" s="371" t="s">
        <v>1774</v>
      </c>
      <c r="D1490" s="375">
        <v>5198.3</v>
      </c>
      <c r="E1490" s="371"/>
      <c r="F1490" s="391">
        <v>167.5</v>
      </c>
      <c r="G1490" s="391"/>
      <c r="H1490" s="391">
        <f>D1490*F1490</f>
        <v>870715.25</v>
      </c>
      <c r="I1490" s="391">
        <f>G1490+H1490</f>
        <v>870715.25</v>
      </c>
      <c r="J1490" s="376"/>
    </row>
    <row r="1491" spans="1:10">
      <c r="A1491" s="369" t="s">
        <v>2915</v>
      </c>
      <c r="B1491" s="370" t="s">
        <v>2838</v>
      </c>
      <c r="C1491" s="371" t="s">
        <v>1774</v>
      </c>
      <c r="D1491" s="375">
        <v>8</v>
      </c>
      <c r="E1491" s="371">
        <v>150</v>
      </c>
      <c r="F1491" s="391"/>
      <c r="G1491" s="391">
        <f t="shared" ref="G1491" si="375">D1491*E1491</f>
        <v>1200</v>
      </c>
      <c r="H1491" s="391"/>
      <c r="I1491" s="391">
        <f t="shared" ref="I1491" si="376">G1491+H1491</f>
        <v>1200</v>
      </c>
      <c r="J1491" s="376"/>
    </row>
    <row r="1492" spans="1:10">
      <c r="A1492" s="369" t="s">
        <v>2916</v>
      </c>
      <c r="B1492" s="378" t="s">
        <v>1775</v>
      </c>
      <c r="C1492" s="371" t="s">
        <v>1774</v>
      </c>
      <c r="D1492" s="375">
        <v>8</v>
      </c>
      <c r="E1492" s="371"/>
      <c r="F1492" s="391">
        <v>286.5</v>
      </c>
      <c r="G1492" s="391"/>
      <c r="H1492" s="391">
        <f t="shared" ref="H1492:H1521" si="377">D1492*F1492</f>
        <v>2292</v>
      </c>
      <c r="I1492" s="391">
        <f t="shared" si="326"/>
        <v>2292</v>
      </c>
      <c r="J1492" s="376"/>
    </row>
    <row r="1493" spans="1:10">
      <c r="A1493" s="369" t="s">
        <v>2917</v>
      </c>
      <c r="B1493" s="378" t="s">
        <v>2841</v>
      </c>
      <c r="C1493" s="371" t="s">
        <v>332</v>
      </c>
      <c r="D1493" s="375">
        <f>SUM(D1494:D1497)</f>
        <v>6</v>
      </c>
      <c r="E1493" s="371">
        <v>5000</v>
      </c>
      <c r="F1493" s="377"/>
      <c r="G1493" s="391">
        <f>D1493*E1493</f>
        <v>30000</v>
      </c>
      <c r="H1493" s="526"/>
      <c r="I1493" s="391">
        <f>G1493+H1493</f>
        <v>30000</v>
      </c>
      <c r="J1493" s="376"/>
    </row>
    <row r="1494" spans="1:10">
      <c r="A1494" s="369" t="s">
        <v>2918</v>
      </c>
      <c r="B1494" s="379" t="s">
        <v>1788</v>
      </c>
      <c r="C1494" s="371" t="s">
        <v>332</v>
      </c>
      <c r="D1494" s="375">
        <v>2</v>
      </c>
      <c r="E1494" s="371"/>
      <c r="F1494" s="391">
        <v>60179.26</v>
      </c>
      <c r="G1494" s="374"/>
      <c r="H1494" s="391">
        <f t="shared" si="377"/>
        <v>120358.52</v>
      </c>
      <c r="I1494" s="391">
        <f t="shared" si="326"/>
        <v>120358.52</v>
      </c>
    </row>
    <row r="1495" spans="1:10">
      <c r="A1495" s="369" t="s">
        <v>2919</v>
      </c>
      <c r="B1495" s="379" t="s">
        <v>1790</v>
      </c>
      <c r="C1495" s="371" t="s">
        <v>332</v>
      </c>
      <c r="D1495" s="375">
        <v>1</v>
      </c>
      <c r="E1495" s="371"/>
      <c r="F1495" s="391">
        <v>94468.92</v>
      </c>
      <c r="G1495" s="374"/>
      <c r="H1495" s="391">
        <f t="shared" si="377"/>
        <v>94468.92</v>
      </c>
      <c r="I1495" s="391">
        <f t="shared" si="326"/>
        <v>94468.92</v>
      </c>
    </row>
    <row r="1496" spans="1:10">
      <c r="A1496" s="369" t="s">
        <v>2920</v>
      </c>
      <c r="B1496" s="379" t="s">
        <v>1791</v>
      </c>
      <c r="C1496" s="371" t="s">
        <v>332</v>
      </c>
      <c r="D1496" s="375">
        <v>2</v>
      </c>
      <c r="E1496" s="371"/>
      <c r="F1496" s="391">
        <v>68151.72</v>
      </c>
      <c r="G1496" s="374"/>
      <c r="H1496" s="391">
        <f t="shared" si="377"/>
        <v>136303.44</v>
      </c>
      <c r="I1496" s="391">
        <f t="shared" si="326"/>
        <v>136303.44</v>
      </c>
    </row>
    <row r="1497" spans="1:10">
      <c r="A1497" s="369" t="s">
        <v>2921</v>
      </c>
      <c r="B1497" s="379" t="s">
        <v>1792</v>
      </c>
      <c r="C1497" s="371" t="s">
        <v>332</v>
      </c>
      <c r="D1497" s="375">
        <v>1</v>
      </c>
      <c r="E1497" s="371"/>
      <c r="F1497" s="391">
        <v>53313.78</v>
      </c>
      <c r="G1497" s="374"/>
      <c r="H1497" s="391">
        <f t="shared" si="377"/>
        <v>53313.78</v>
      </c>
      <c r="I1497" s="391">
        <f t="shared" si="326"/>
        <v>53313.78</v>
      </c>
    </row>
    <row r="1498" spans="1:10">
      <c r="A1498" s="369" t="s">
        <v>2922</v>
      </c>
      <c r="B1498" s="379" t="s">
        <v>2836</v>
      </c>
      <c r="C1498" s="371" t="s">
        <v>332</v>
      </c>
      <c r="D1498" s="375">
        <v>1</v>
      </c>
      <c r="E1498" s="371">
        <v>8000</v>
      </c>
      <c r="F1498" s="38"/>
      <c r="G1498" s="38">
        <f t="shared" ref="G1498" si="378">D1498*E1498</f>
        <v>8000</v>
      </c>
      <c r="H1498" s="38"/>
      <c r="I1498" s="38">
        <f t="shared" ref="I1498" si="379">G1498+H1498</f>
        <v>8000</v>
      </c>
    </row>
    <row r="1499" spans="1:10">
      <c r="A1499" s="369" t="s">
        <v>2923</v>
      </c>
      <c r="B1499" s="379" t="s">
        <v>1793</v>
      </c>
      <c r="C1499" s="371" t="s">
        <v>332</v>
      </c>
      <c r="D1499" s="375">
        <v>1</v>
      </c>
      <c r="E1499" s="371"/>
      <c r="F1499" s="38">
        <v>134624</v>
      </c>
      <c r="G1499" s="38"/>
      <c r="H1499" s="38">
        <f t="shared" si="377"/>
        <v>134624</v>
      </c>
      <c r="I1499" s="38">
        <f t="shared" si="326"/>
        <v>134624</v>
      </c>
    </row>
    <row r="1500" spans="1:10">
      <c r="A1500" s="369" t="s">
        <v>2924</v>
      </c>
      <c r="B1500" s="379" t="s">
        <v>2845</v>
      </c>
      <c r="C1500" s="371" t="s">
        <v>332</v>
      </c>
      <c r="D1500" s="375">
        <f>SUM(D1501:D1511)</f>
        <v>43</v>
      </c>
      <c r="E1500" s="371">
        <v>500</v>
      </c>
      <c r="F1500" s="38"/>
      <c r="G1500" s="38">
        <f t="shared" ref="G1500" si="380">D1500*E1500</f>
        <v>21500</v>
      </c>
      <c r="H1500" s="38"/>
      <c r="I1500" s="38">
        <f t="shared" si="326"/>
        <v>21500</v>
      </c>
    </row>
    <row r="1501" spans="1:10">
      <c r="A1501" s="369" t="s">
        <v>2925</v>
      </c>
      <c r="B1501" s="379" t="s">
        <v>1787</v>
      </c>
      <c r="C1501" s="371" t="s">
        <v>332</v>
      </c>
      <c r="D1501" s="375">
        <v>25</v>
      </c>
      <c r="E1501" s="371"/>
      <c r="F1501" s="38">
        <v>799</v>
      </c>
      <c r="G1501" s="38"/>
      <c r="H1501" s="38">
        <f>D1501*F1501</f>
        <v>19975</v>
      </c>
      <c r="I1501" s="38">
        <f>G1501+H1501</f>
        <v>19975</v>
      </c>
    </row>
    <row r="1502" spans="1:10">
      <c r="A1502" s="369" t="s">
        <v>2926</v>
      </c>
      <c r="B1502" s="370" t="s">
        <v>1786</v>
      </c>
      <c r="C1502" s="371" t="s">
        <v>332</v>
      </c>
      <c r="D1502" s="375">
        <v>2</v>
      </c>
      <c r="E1502" s="371"/>
      <c r="F1502" s="38">
        <v>3418.35</v>
      </c>
      <c r="G1502" s="38"/>
      <c r="H1502" s="38">
        <f>D1502*F1502</f>
        <v>6836.7</v>
      </c>
      <c r="I1502" s="38">
        <f>G1502+H1502</f>
        <v>6836.7</v>
      </c>
    </row>
    <row r="1503" spans="1:10">
      <c r="A1503" s="369" t="s">
        <v>2927</v>
      </c>
      <c r="B1503" s="370" t="s">
        <v>1789</v>
      </c>
      <c r="C1503" s="371" t="s">
        <v>332</v>
      </c>
      <c r="D1503" s="375">
        <v>2</v>
      </c>
      <c r="E1503" s="371"/>
      <c r="F1503" s="38">
        <v>11197.83</v>
      </c>
      <c r="G1503" s="38"/>
      <c r="H1503" s="38">
        <f>D1503*F1503</f>
        <v>22395.66</v>
      </c>
      <c r="I1503" s="38">
        <f>G1503+H1503</f>
        <v>22395.66</v>
      </c>
    </row>
    <row r="1504" spans="1:10">
      <c r="A1504" s="369" t="s">
        <v>2928</v>
      </c>
      <c r="B1504" s="379" t="s">
        <v>1794</v>
      </c>
      <c r="C1504" s="371" t="s">
        <v>332</v>
      </c>
      <c r="D1504" s="375">
        <v>2</v>
      </c>
      <c r="E1504" s="371"/>
      <c r="F1504" s="38">
        <v>11197.83</v>
      </c>
      <c r="G1504" s="38"/>
      <c r="H1504" s="38">
        <f t="shared" si="377"/>
        <v>22395.66</v>
      </c>
      <c r="I1504" s="38">
        <f t="shared" si="326"/>
        <v>22395.66</v>
      </c>
    </row>
    <row r="1505" spans="1:9">
      <c r="A1505" s="369" t="s">
        <v>2929</v>
      </c>
      <c r="B1505" s="379" t="s">
        <v>1795</v>
      </c>
      <c r="C1505" s="371" t="s">
        <v>332</v>
      </c>
      <c r="D1505" s="375">
        <v>2</v>
      </c>
      <c r="E1505" s="371"/>
      <c r="F1505" s="38">
        <v>11197.83</v>
      </c>
      <c r="G1505" s="38"/>
      <c r="H1505" s="38">
        <f t="shared" si="377"/>
        <v>22395.66</v>
      </c>
      <c r="I1505" s="38">
        <f t="shared" si="326"/>
        <v>22395.66</v>
      </c>
    </row>
    <row r="1506" spans="1:9">
      <c r="A1506" s="369" t="s">
        <v>2930</v>
      </c>
      <c r="B1506" s="379" t="s">
        <v>1795</v>
      </c>
      <c r="C1506" s="371" t="s">
        <v>332</v>
      </c>
      <c r="D1506" s="375">
        <v>3</v>
      </c>
      <c r="E1506" s="371"/>
      <c r="F1506" s="38">
        <v>11197.83</v>
      </c>
      <c r="G1506" s="38"/>
      <c r="H1506" s="38">
        <f t="shared" si="377"/>
        <v>33593.49</v>
      </c>
      <c r="I1506" s="38">
        <f t="shared" si="326"/>
        <v>33593.49</v>
      </c>
    </row>
    <row r="1507" spans="1:9">
      <c r="A1507" s="369" t="s">
        <v>2931</v>
      </c>
      <c r="B1507" s="380" t="s">
        <v>1796</v>
      </c>
      <c r="C1507" s="371" t="s">
        <v>332</v>
      </c>
      <c r="D1507" s="375">
        <v>1</v>
      </c>
      <c r="E1507" s="371"/>
      <c r="F1507" s="38">
        <v>4091.1</v>
      </c>
      <c r="G1507" s="38"/>
      <c r="H1507" s="38">
        <f t="shared" si="377"/>
        <v>4091.1</v>
      </c>
      <c r="I1507" s="38">
        <f t="shared" si="326"/>
        <v>4091.1</v>
      </c>
    </row>
    <row r="1508" spans="1:9">
      <c r="A1508" s="369" t="s">
        <v>2932</v>
      </c>
      <c r="B1508" s="380" t="s">
        <v>1797</v>
      </c>
      <c r="C1508" s="371" t="s">
        <v>332</v>
      </c>
      <c r="D1508" s="375">
        <v>1</v>
      </c>
      <c r="E1508" s="371"/>
      <c r="F1508" s="38">
        <v>1916.2</v>
      </c>
      <c r="G1508" s="38"/>
      <c r="H1508" s="38">
        <f t="shared" si="377"/>
        <v>1916.2</v>
      </c>
      <c r="I1508" s="38">
        <f t="shared" si="326"/>
        <v>1916.2</v>
      </c>
    </row>
    <row r="1509" spans="1:9">
      <c r="A1509" s="369" t="s">
        <v>2933</v>
      </c>
      <c r="B1509" s="378" t="s">
        <v>1806</v>
      </c>
      <c r="C1509" s="371" t="s">
        <v>332</v>
      </c>
      <c r="D1509" s="375">
        <v>3</v>
      </c>
      <c r="E1509" s="371"/>
      <c r="F1509" s="38">
        <v>11618.12</v>
      </c>
      <c r="G1509" s="38"/>
      <c r="H1509" s="38">
        <f>D1509*F1509</f>
        <v>34854.36</v>
      </c>
      <c r="I1509" s="38">
        <f>G1509+H1509</f>
        <v>34854.36</v>
      </c>
    </row>
    <row r="1510" spans="1:9">
      <c r="A1510" s="369" t="s">
        <v>2934</v>
      </c>
      <c r="B1510" s="378" t="s">
        <v>1807</v>
      </c>
      <c r="C1510" s="371" t="s">
        <v>332</v>
      </c>
      <c r="D1510" s="375">
        <v>1</v>
      </c>
      <c r="E1510" s="371"/>
      <c r="F1510" s="38">
        <v>9538.9699999999993</v>
      </c>
      <c r="G1510" s="38"/>
      <c r="H1510" s="38">
        <f>D1510*F1510</f>
        <v>9538.9699999999993</v>
      </c>
      <c r="I1510" s="38">
        <f>G1510+H1510</f>
        <v>9538.9699999999993</v>
      </c>
    </row>
    <row r="1511" spans="1:9">
      <c r="A1511" s="369" t="s">
        <v>2935</v>
      </c>
      <c r="B1511" s="378" t="s">
        <v>1808</v>
      </c>
      <c r="C1511" s="371" t="s">
        <v>332</v>
      </c>
      <c r="D1511" s="375">
        <v>1</v>
      </c>
      <c r="E1511" s="371"/>
      <c r="F1511" s="38">
        <v>7990.94</v>
      </c>
      <c r="G1511" s="38"/>
      <c r="H1511" s="38">
        <f>D1511*F1511</f>
        <v>7990.94</v>
      </c>
      <c r="I1511" s="38">
        <f>G1511+H1511</f>
        <v>7990.94</v>
      </c>
    </row>
    <row r="1512" spans="1:9">
      <c r="A1512" s="369" t="s">
        <v>2936</v>
      </c>
      <c r="B1512" s="380" t="s">
        <v>2791</v>
      </c>
      <c r="C1512" s="371" t="s">
        <v>332</v>
      </c>
      <c r="D1512" s="375">
        <f>SUM(D1513:D1521)</f>
        <v>102</v>
      </c>
      <c r="E1512" s="371">
        <v>700</v>
      </c>
      <c r="F1512" s="381"/>
      <c r="G1512" s="38">
        <f>PRODUCT(D1512:E1512)</f>
        <v>71400</v>
      </c>
      <c r="H1512" s="388"/>
      <c r="I1512" s="391">
        <f t="shared" ref="I1512" si="381">SUM(G1512:H1512)</f>
        <v>71400</v>
      </c>
    </row>
    <row r="1513" spans="1:9">
      <c r="A1513" s="369" t="s">
        <v>2937</v>
      </c>
      <c r="B1513" s="380" t="s">
        <v>1798</v>
      </c>
      <c r="C1513" s="371" t="s">
        <v>332</v>
      </c>
      <c r="D1513" s="375">
        <v>2</v>
      </c>
      <c r="E1513" s="371"/>
      <c r="F1513" s="387">
        <v>13484.9</v>
      </c>
      <c r="G1513" s="38"/>
      <c r="H1513" s="387">
        <f t="shared" si="377"/>
        <v>26969.8</v>
      </c>
      <c r="I1513" s="524">
        <f t="shared" si="326"/>
        <v>26969.8</v>
      </c>
    </row>
    <row r="1514" spans="1:9">
      <c r="A1514" s="369" t="s">
        <v>2938</v>
      </c>
      <c r="B1514" s="380" t="s">
        <v>1799</v>
      </c>
      <c r="C1514" s="371" t="s">
        <v>332</v>
      </c>
      <c r="D1514" s="375">
        <v>1</v>
      </c>
      <c r="E1514" s="371"/>
      <c r="F1514" s="387">
        <v>14294.8</v>
      </c>
      <c r="G1514" s="38"/>
      <c r="H1514" s="387">
        <f t="shared" si="377"/>
        <v>14294.8</v>
      </c>
      <c r="I1514" s="524">
        <f t="shared" si="326"/>
        <v>14294.8</v>
      </c>
    </row>
    <row r="1515" spans="1:9">
      <c r="A1515" s="369" t="s">
        <v>2939</v>
      </c>
      <c r="B1515" s="380" t="s">
        <v>1800</v>
      </c>
      <c r="C1515" s="371" t="s">
        <v>332</v>
      </c>
      <c r="D1515" s="375">
        <v>1</v>
      </c>
      <c r="E1515" s="371"/>
      <c r="F1515" s="387">
        <v>10045.1</v>
      </c>
      <c r="G1515" s="38"/>
      <c r="H1515" s="387">
        <f t="shared" si="377"/>
        <v>10045.1</v>
      </c>
      <c r="I1515" s="524">
        <f t="shared" si="326"/>
        <v>10045.1</v>
      </c>
    </row>
    <row r="1516" spans="1:9">
      <c r="A1516" s="369" t="s">
        <v>2940</v>
      </c>
      <c r="B1516" s="380" t="s">
        <v>1801</v>
      </c>
      <c r="C1516" s="371" t="s">
        <v>332</v>
      </c>
      <c r="D1516" s="375">
        <v>1</v>
      </c>
      <c r="E1516" s="371"/>
      <c r="F1516" s="387">
        <v>9582.2999999999993</v>
      </c>
      <c r="G1516" s="38"/>
      <c r="H1516" s="387">
        <f t="shared" si="377"/>
        <v>9582.2999999999993</v>
      </c>
      <c r="I1516" s="524">
        <f t="shared" si="326"/>
        <v>9582.2999999999993</v>
      </c>
    </row>
    <row r="1517" spans="1:9">
      <c r="A1517" s="369" t="s">
        <v>2941</v>
      </c>
      <c r="B1517" s="380" t="s">
        <v>1802</v>
      </c>
      <c r="C1517" s="371" t="s">
        <v>332</v>
      </c>
      <c r="D1517" s="375">
        <v>24</v>
      </c>
      <c r="E1517" s="371"/>
      <c r="F1517" s="387">
        <v>9864.4</v>
      </c>
      <c r="G1517" s="38"/>
      <c r="H1517" s="387">
        <f t="shared" si="377"/>
        <v>236745.59999999998</v>
      </c>
      <c r="I1517" s="524">
        <f t="shared" si="326"/>
        <v>236745.59999999998</v>
      </c>
    </row>
    <row r="1518" spans="1:9">
      <c r="A1518" s="369" t="s">
        <v>2942</v>
      </c>
      <c r="B1518" s="380" t="s">
        <v>1803</v>
      </c>
      <c r="C1518" s="371" t="s">
        <v>332</v>
      </c>
      <c r="D1518" s="375">
        <v>1</v>
      </c>
      <c r="E1518" s="371"/>
      <c r="F1518" s="387">
        <v>7183.8</v>
      </c>
      <c r="G1518" s="38"/>
      <c r="H1518" s="387">
        <f t="shared" si="377"/>
        <v>7183.8</v>
      </c>
      <c r="I1518" s="524">
        <f t="shared" si="326"/>
        <v>7183.8</v>
      </c>
    </row>
    <row r="1519" spans="1:9">
      <c r="A1519" s="369" t="s">
        <v>2943</v>
      </c>
      <c r="B1519" s="380" t="s">
        <v>1804</v>
      </c>
      <c r="C1519" s="371" t="s">
        <v>332</v>
      </c>
      <c r="D1519" s="375">
        <v>1</v>
      </c>
      <c r="E1519" s="371"/>
      <c r="F1519" s="387">
        <v>6990.35</v>
      </c>
      <c r="G1519" s="38"/>
      <c r="H1519" s="387">
        <f t="shared" si="377"/>
        <v>6990.35</v>
      </c>
      <c r="I1519" s="524">
        <f t="shared" si="326"/>
        <v>6990.35</v>
      </c>
    </row>
    <row r="1520" spans="1:9">
      <c r="A1520" s="369" t="s">
        <v>2944</v>
      </c>
      <c r="B1520" s="380" t="s">
        <v>1801</v>
      </c>
      <c r="C1520" s="371" t="s">
        <v>332</v>
      </c>
      <c r="D1520" s="375">
        <v>48</v>
      </c>
      <c r="E1520" s="371"/>
      <c r="F1520" s="387">
        <v>7645.95</v>
      </c>
      <c r="G1520" s="38"/>
      <c r="H1520" s="387">
        <f t="shared" si="377"/>
        <v>367005.6</v>
      </c>
      <c r="I1520" s="524">
        <f t="shared" si="326"/>
        <v>367005.6</v>
      </c>
    </row>
    <row r="1521" spans="1:9">
      <c r="A1521" s="369" t="s">
        <v>2945</v>
      </c>
      <c r="B1521" s="380" t="s">
        <v>1805</v>
      </c>
      <c r="C1521" s="371" t="s">
        <v>332</v>
      </c>
      <c r="D1521" s="375">
        <v>23</v>
      </c>
      <c r="E1521" s="371"/>
      <c r="F1521" s="387">
        <v>10045.1</v>
      </c>
      <c r="G1521" s="38"/>
      <c r="H1521" s="387">
        <f t="shared" si="377"/>
        <v>231037.30000000002</v>
      </c>
      <c r="I1521" s="524">
        <f t="shared" si="326"/>
        <v>231037.30000000002</v>
      </c>
    </row>
    <row r="1522" spans="1:9" s="20" customFormat="1" ht="13.8">
      <c r="A1522" s="383" t="s">
        <v>2946</v>
      </c>
      <c r="B1522" s="384" t="s">
        <v>2789</v>
      </c>
      <c r="C1522" s="383" t="s">
        <v>332</v>
      </c>
      <c r="D1522" s="385">
        <f>SUM(D1523:D1530)</f>
        <v>120</v>
      </c>
      <c r="E1522" s="386">
        <v>150</v>
      </c>
      <c r="F1522" s="389"/>
      <c r="G1522" s="38">
        <f>PRODUCT(D1522:E1522)</f>
        <v>18000</v>
      </c>
      <c r="H1522" s="388"/>
      <c r="I1522" s="391">
        <f t="shared" ref="I1522:I1526" si="382">SUM(G1522:H1522)</f>
        <v>18000</v>
      </c>
    </row>
    <row r="1523" spans="1:9" s="20" customFormat="1" ht="13.8">
      <c r="A1523" s="383" t="s">
        <v>2947</v>
      </c>
      <c r="B1523" s="384" t="s">
        <v>1823</v>
      </c>
      <c r="C1523" s="383" t="s">
        <v>332</v>
      </c>
      <c r="D1523" s="385">
        <v>2</v>
      </c>
      <c r="E1523" s="386"/>
      <c r="F1523" s="390">
        <v>365.4</v>
      </c>
      <c r="G1523" s="38"/>
      <c r="H1523" s="38">
        <f>D1523*F1523</f>
        <v>730.8</v>
      </c>
      <c r="I1523" s="391">
        <f t="shared" si="382"/>
        <v>730.8</v>
      </c>
    </row>
    <row r="1524" spans="1:9" s="20" customFormat="1" ht="13.8">
      <c r="A1524" s="383" t="s">
        <v>2948</v>
      </c>
      <c r="B1524" s="384" t="s">
        <v>1824</v>
      </c>
      <c r="C1524" s="383" t="s">
        <v>332</v>
      </c>
      <c r="D1524" s="385">
        <v>4</v>
      </c>
      <c r="E1524" s="386"/>
      <c r="F1524" s="390">
        <v>483</v>
      </c>
      <c r="G1524" s="38"/>
      <c r="H1524" s="38">
        <f>D1524*F1524</f>
        <v>1932</v>
      </c>
      <c r="I1524" s="391">
        <f t="shared" si="382"/>
        <v>1932</v>
      </c>
    </row>
    <row r="1525" spans="1:9" s="20" customFormat="1" ht="13.8">
      <c r="A1525" s="383" t="s">
        <v>2949</v>
      </c>
      <c r="B1525" s="384" t="s">
        <v>1825</v>
      </c>
      <c r="C1525" s="383" t="s">
        <v>332</v>
      </c>
      <c r="D1525" s="385">
        <v>1</v>
      </c>
      <c r="E1525" s="386"/>
      <c r="F1525" s="389">
        <v>523.20000000000005</v>
      </c>
      <c r="G1525" s="38"/>
      <c r="H1525" s="38">
        <f>D1525*F1525</f>
        <v>523.20000000000005</v>
      </c>
      <c r="I1525" s="391">
        <f t="shared" si="382"/>
        <v>523.20000000000005</v>
      </c>
    </row>
    <row r="1526" spans="1:9" s="20" customFormat="1" ht="13.8">
      <c r="A1526" s="383" t="s">
        <v>2950</v>
      </c>
      <c r="B1526" s="384" t="s">
        <v>1826</v>
      </c>
      <c r="C1526" s="383" t="s">
        <v>332</v>
      </c>
      <c r="D1526" s="385">
        <v>4</v>
      </c>
      <c r="E1526" s="386"/>
      <c r="F1526" s="389">
        <v>567.79999999999995</v>
      </c>
      <c r="G1526" s="38"/>
      <c r="H1526" s="38">
        <f>D1526*F1526</f>
        <v>2271.1999999999998</v>
      </c>
      <c r="I1526" s="391">
        <f t="shared" si="382"/>
        <v>2271.1999999999998</v>
      </c>
    </row>
    <row r="1527" spans="1:9" s="20" customFormat="1" ht="13.8">
      <c r="A1527" s="383" t="s">
        <v>2951</v>
      </c>
      <c r="B1527" s="378" t="s">
        <v>1781</v>
      </c>
      <c r="C1527" s="371" t="s">
        <v>332</v>
      </c>
      <c r="D1527" s="375">
        <v>24</v>
      </c>
      <c r="E1527" s="371"/>
      <c r="F1527" s="389">
        <v>939.25</v>
      </c>
      <c r="G1527" s="374"/>
      <c r="H1527" s="38">
        <f t="shared" ref="H1527:H1530" si="383">D1527*F1527</f>
        <v>22542</v>
      </c>
      <c r="I1527" s="391">
        <f t="shared" ref="I1527:I1530" si="384">SUM(G1527:H1527)</f>
        <v>22542</v>
      </c>
    </row>
    <row r="1528" spans="1:9" s="20" customFormat="1" ht="13.8">
      <c r="A1528" s="383" t="s">
        <v>2952</v>
      </c>
      <c r="B1528" s="378" t="s">
        <v>1782</v>
      </c>
      <c r="C1528" s="371" t="s">
        <v>332</v>
      </c>
      <c r="D1528" s="375">
        <v>48</v>
      </c>
      <c r="E1528" s="371"/>
      <c r="F1528" s="389">
        <v>939.25</v>
      </c>
      <c r="G1528" s="374"/>
      <c r="H1528" s="38">
        <f t="shared" si="383"/>
        <v>45084</v>
      </c>
      <c r="I1528" s="391">
        <f t="shared" si="384"/>
        <v>45084</v>
      </c>
    </row>
    <row r="1529" spans="1:9" s="20" customFormat="1" ht="13.8">
      <c r="A1529" s="383" t="s">
        <v>2953</v>
      </c>
      <c r="B1529" s="378" t="s">
        <v>1783</v>
      </c>
      <c r="C1529" s="371" t="s">
        <v>332</v>
      </c>
      <c r="D1529" s="375">
        <v>23</v>
      </c>
      <c r="E1529" s="371"/>
      <c r="F1529" s="389">
        <v>939.25</v>
      </c>
      <c r="G1529" s="374"/>
      <c r="H1529" s="38">
        <f t="shared" si="383"/>
        <v>21602.75</v>
      </c>
      <c r="I1529" s="391">
        <f t="shared" si="384"/>
        <v>21602.75</v>
      </c>
    </row>
    <row r="1530" spans="1:9" s="20" customFormat="1" ht="13.8">
      <c r="A1530" s="383" t="s">
        <v>2954</v>
      </c>
      <c r="B1530" s="379" t="s">
        <v>1784</v>
      </c>
      <c r="C1530" s="371" t="s">
        <v>332</v>
      </c>
      <c r="D1530" s="375">
        <v>14</v>
      </c>
      <c r="E1530" s="371"/>
      <c r="F1530" s="389">
        <v>5136.41</v>
      </c>
      <c r="G1530" s="374"/>
      <c r="H1530" s="38">
        <f t="shared" si="383"/>
        <v>71909.739999999991</v>
      </c>
      <c r="I1530" s="391">
        <f t="shared" si="384"/>
        <v>71909.739999999991</v>
      </c>
    </row>
    <row r="1531" spans="1:9" s="20" customFormat="1" ht="13.8">
      <c r="A1531" s="383" t="s">
        <v>2955</v>
      </c>
      <c r="B1531" s="384" t="s">
        <v>2790</v>
      </c>
      <c r="C1531" s="383" t="s">
        <v>332</v>
      </c>
      <c r="D1531" s="385">
        <f>SUM(D1532:D1536)</f>
        <v>597</v>
      </c>
      <c r="E1531" s="386">
        <v>100</v>
      </c>
      <c r="F1531" s="389"/>
      <c r="G1531" s="38">
        <f>PRODUCT(D1531:E1531)</f>
        <v>59700</v>
      </c>
      <c r="H1531" s="388"/>
      <c r="I1531" s="391">
        <f t="shared" ref="I1531:I1532" si="385">SUM(G1531:H1531)</f>
        <v>59700</v>
      </c>
    </row>
    <row r="1532" spans="1:9" s="20" customFormat="1" ht="13.8">
      <c r="A1532" s="383" t="s">
        <v>2956</v>
      </c>
      <c r="B1532" s="378" t="s">
        <v>1776</v>
      </c>
      <c r="C1532" s="371" t="s">
        <v>332</v>
      </c>
      <c r="D1532" s="375">
        <v>23</v>
      </c>
      <c r="E1532" s="371"/>
      <c r="F1532" s="389">
        <v>365.4</v>
      </c>
      <c r="G1532" s="374"/>
      <c r="H1532" s="38">
        <f t="shared" ref="H1532" si="386">D1532*F1532</f>
        <v>8404.1999999999989</v>
      </c>
      <c r="I1532" s="391">
        <f t="shared" si="385"/>
        <v>8404.1999999999989</v>
      </c>
    </row>
    <row r="1533" spans="1:9" s="20" customFormat="1" ht="13.8">
      <c r="A1533" s="383" t="s">
        <v>2957</v>
      </c>
      <c r="B1533" s="378" t="s">
        <v>1777</v>
      </c>
      <c r="C1533" s="371" t="s">
        <v>332</v>
      </c>
      <c r="D1533" s="375">
        <v>4</v>
      </c>
      <c r="E1533" s="371"/>
      <c r="F1533" s="389">
        <v>239.4</v>
      </c>
      <c r="G1533" s="374"/>
      <c r="H1533" s="38">
        <f t="shared" ref="H1533:H1536" si="387">D1533*F1533</f>
        <v>957.6</v>
      </c>
      <c r="I1533" s="391">
        <f t="shared" ref="I1533:I1536" si="388">SUM(G1533:H1533)</f>
        <v>957.6</v>
      </c>
    </row>
    <row r="1534" spans="1:9" s="20" customFormat="1" ht="13.8">
      <c r="A1534" s="383" t="s">
        <v>2958</v>
      </c>
      <c r="B1534" s="378" t="s">
        <v>1778</v>
      </c>
      <c r="C1534" s="371" t="s">
        <v>332</v>
      </c>
      <c r="D1534" s="375">
        <v>1</v>
      </c>
      <c r="E1534" s="371"/>
      <c r="F1534" s="389">
        <v>643.79999999999995</v>
      </c>
      <c r="G1534" s="374"/>
      <c r="H1534" s="38">
        <f t="shared" si="387"/>
        <v>643.79999999999995</v>
      </c>
      <c r="I1534" s="391">
        <f t="shared" si="388"/>
        <v>643.79999999999995</v>
      </c>
    </row>
    <row r="1535" spans="1:9" s="20" customFormat="1" ht="13.8">
      <c r="A1535" s="383" t="s">
        <v>2959</v>
      </c>
      <c r="B1535" s="378" t="s">
        <v>1779</v>
      </c>
      <c r="C1535" s="371" t="s">
        <v>332</v>
      </c>
      <c r="D1535" s="375">
        <v>273</v>
      </c>
      <c r="E1535" s="371"/>
      <c r="F1535" s="389">
        <v>483</v>
      </c>
      <c r="G1535" s="374"/>
      <c r="H1535" s="38">
        <f t="shared" si="387"/>
        <v>131859</v>
      </c>
      <c r="I1535" s="391">
        <f t="shared" si="388"/>
        <v>131859</v>
      </c>
    </row>
    <row r="1536" spans="1:9" s="20" customFormat="1" ht="13.8">
      <c r="A1536" s="383" t="s">
        <v>2960</v>
      </c>
      <c r="B1536" s="378" t="s">
        <v>1780</v>
      </c>
      <c r="C1536" s="371" t="s">
        <v>332</v>
      </c>
      <c r="D1536" s="375">
        <v>296</v>
      </c>
      <c r="E1536" s="371"/>
      <c r="F1536" s="389">
        <v>420.6</v>
      </c>
      <c r="G1536" s="374"/>
      <c r="H1536" s="38">
        <f t="shared" si="387"/>
        <v>124497.60000000001</v>
      </c>
      <c r="I1536" s="391">
        <f t="shared" si="388"/>
        <v>124497.60000000001</v>
      </c>
    </row>
    <row r="1537" spans="1:9" s="20" customFormat="1" ht="13.8">
      <c r="A1537" s="27"/>
      <c r="B1537" s="427" t="s">
        <v>2085</v>
      </c>
      <c r="C1537" s="533" t="s">
        <v>2961</v>
      </c>
      <c r="D1537" s="534"/>
      <c r="E1537" s="534"/>
      <c r="F1537" s="535"/>
      <c r="G1537" s="32">
        <f>SUM(G1422:G1536)</f>
        <v>2373171.75</v>
      </c>
      <c r="H1537" s="32">
        <f t="shared" ref="H1537:I1537" si="389">SUM(H1422:H1536)</f>
        <v>7012751.8199999994</v>
      </c>
      <c r="I1537" s="32">
        <f t="shared" si="389"/>
        <v>9385923.5699999984</v>
      </c>
    </row>
    <row r="1538" spans="1:9" s="20" customFormat="1" ht="13.8">
      <c r="A1538" s="27"/>
      <c r="B1538" s="427" t="s">
        <v>2088</v>
      </c>
      <c r="C1538" s="530"/>
      <c r="D1538" s="531"/>
      <c r="E1538" s="531"/>
      <c r="F1538" s="532"/>
      <c r="G1538" s="32">
        <f>PRODUCT(G1537,1/1.2,0.2)</f>
        <v>395528.625</v>
      </c>
      <c r="H1538" s="32">
        <f>PRODUCT(H1537,1/1.2,0.2)</f>
        <v>1168791.97</v>
      </c>
      <c r="I1538" s="32">
        <f>PRODUCT(I1537,1/1.2,0.2)</f>
        <v>1564320.5949999997</v>
      </c>
    </row>
    <row r="1539" spans="1:9" s="20" customFormat="1" ht="13.8">
      <c r="A1539" s="207"/>
      <c r="B1539" s="208" t="s">
        <v>2962</v>
      </c>
      <c r="C1539" s="209"/>
      <c r="D1539" s="210"/>
      <c r="E1539" s="31"/>
      <c r="F1539" s="211"/>
      <c r="G1539" s="212"/>
      <c r="H1539" s="212"/>
      <c r="I1539" s="212"/>
    </row>
    <row r="1540" spans="1:9">
      <c r="A1540" s="392" t="s">
        <v>1827</v>
      </c>
      <c r="B1540" s="170" t="s">
        <v>1829</v>
      </c>
      <c r="C1540" s="54"/>
      <c r="D1540" s="393"/>
      <c r="E1540" s="394"/>
      <c r="F1540" s="394"/>
      <c r="G1540" s="393"/>
      <c r="H1540" s="393"/>
      <c r="I1540" s="393"/>
    </row>
    <row r="1541" spans="1:9" customFormat="1">
      <c r="A1541" s="99" t="s">
        <v>1828</v>
      </c>
      <c r="B1541" s="100" t="s">
        <v>1830</v>
      </c>
      <c r="C1541" s="395" t="s">
        <v>20</v>
      </c>
      <c r="D1541" s="396">
        <v>58</v>
      </c>
      <c r="E1541" s="394"/>
      <c r="F1541" s="397">
        <v>1150</v>
      </c>
      <c r="G1541" s="398"/>
      <c r="H1541" s="399">
        <f t="shared" ref="H1541:H1601" si="390">PRODUCT(F1541,D1541)</f>
        <v>66700</v>
      </c>
      <c r="I1541" s="398">
        <f>SUM(G1541:H1541)</f>
        <v>66700</v>
      </c>
    </row>
    <row r="1542" spans="1:9" customFormat="1">
      <c r="A1542" s="99" t="s">
        <v>1831</v>
      </c>
      <c r="B1542" s="100" t="s">
        <v>1832</v>
      </c>
      <c r="C1542" s="395" t="s">
        <v>20</v>
      </c>
      <c r="D1542" s="396">
        <v>100</v>
      </c>
      <c r="E1542" s="394"/>
      <c r="F1542" s="397">
        <v>1150</v>
      </c>
      <c r="G1542" s="398"/>
      <c r="H1542" s="399">
        <f t="shared" si="390"/>
        <v>115000</v>
      </c>
      <c r="I1542" s="398">
        <f t="shared" ref="I1542:I1605" si="391">SUM(G1542:H1542)</f>
        <v>115000</v>
      </c>
    </row>
    <row r="1543" spans="1:9" customFormat="1">
      <c r="A1543" s="99" t="s">
        <v>1833</v>
      </c>
      <c r="B1543" s="100" t="s">
        <v>1834</v>
      </c>
      <c r="C1543" s="395" t="s">
        <v>20</v>
      </c>
      <c r="D1543" s="396">
        <v>53</v>
      </c>
      <c r="E1543" s="394"/>
      <c r="F1543" s="400">
        <v>3660</v>
      </c>
      <c r="G1543" s="398"/>
      <c r="H1543" s="399">
        <f t="shared" si="390"/>
        <v>193980</v>
      </c>
      <c r="I1543" s="398">
        <f t="shared" si="391"/>
        <v>193980</v>
      </c>
    </row>
    <row r="1544" spans="1:9" customFormat="1">
      <c r="A1544" s="99" t="s">
        <v>1835</v>
      </c>
      <c r="B1544" s="100" t="s">
        <v>1836</v>
      </c>
      <c r="C1544" s="395" t="s">
        <v>20</v>
      </c>
      <c r="D1544" s="396">
        <v>294</v>
      </c>
      <c r="E1544" s="394"/>
      <c r="F1544" s="397">
        <v>729.64</v>
      </c>
      <c r="G1544" s="398"/>
      <c r="H1544" s="399">
        <f t="shared" si="390"/>
        <v>214514.16</v>
      </c>
      <c r="I1544" s="398">
        <f t="shared" si="391"/>
        <v>214514.16</v>
      </c>
    </row>
    <row r="1545" spans="1:9" customFormat="1">
      <c r="A1545" s="99" t="s">
        <v>1837</v>
      </c>
      <c r="B1545" s="100" t="s">
        <v>1838</v>
      </c>
      <c r="C1545" s="395" t="s">
        <v>20</v>
      </c>
      <c r="D1545" s="396">
        <v>72</v>
      </c>
      <c r="E1545" s="394"/>
      <c r="F1545" s="397">
        <v>860</v>
      </c>
      <c r="G1545" s="398"/>
      <c r="H1545" s="399">
        <f t="shared" si="390"/>
        <v>61920</v>
      </c>
      <c r="I1545" s="398">
        <f t="shared" si="391"/>
        <v>61920</v>
      </c>
    </row>
    <row r="1546" spans="1:9" customFormat="1">
      <c r="A1546" s="99" t="s">
        <v>1839</v>
      </c>
      <c r="B1546" s="100" t="s">
        <v>1840</v>
      </c>
      <c r="C1546" s="395" t="s">
        <v>20</v>
      </c>
      <c r="D1546" s="396">
        <v>48</v>
      </c>
      <c r="E1546" s="394"/>
      <c r="F1546" s="397">
        <v>600</v>
      </c>
      <c r="G1546" s="398"/>
      <c r="H1546" s="399">
        <f t="shared" si="390"/>
        <v>28800</v>
      </c>
      <c r="I1546" s="398">
        <f t="shared" si="391"/>
        <v>28800</v>
      </c>
    </row>
    <row r="1547" spans="1:9" customFormat="1">
      <c r="A1547" s="99" t="s">
        <v>1841</v>
      </c>
      <c r="B1547" s="100" t="s">
        <v>1842</v>
      </c>
      <c r="C1547" s="395" t="s">
        <v>20</v>
      </c>
      <c r="D1547" s="396">
        <v>1</v>
      </c>
      <c r="E1547" s="394"/>
      <c r="F1547" s="397">
        <v>25000</v>
      </c>
      <c r="G1547" s="398"/>
      <c r="H1547" s="399">
        <f t="shared" si="390"/>
        <v>25000</v>
      </c>
      <c r="I1547" s="398">
        <f t="shared" si="391"/>
        <v>25000</v>
      </c>
    </row>
    <row r="1548" spans="1:9" customFormat="1">
      <c r="A1548" s="99" t="s">
        <v>1843</v>
      </c>
      <c r="B1548" s="100" t="s">
        <v>1844</v>
      </c>
      <c r="C1548" s="395" t="s">
        <v>20</v>
      </c>
      <c r="D1548" s="396">
        <v>52</v>
      </c>
      <c r="E1548" s="394"/>
      <c r="F1548" s="397">
        <v>3000</v>
      </c>
      <c r="G1548" s="398"/>
      <c r="H1548" s="399">
        <f t="shared" si="390"/>
        <v>156000</v>
      </c>
      <c r="I1548" s="398">
        <f t="shared" si="391"/>
        <v>156000</v>
      </c>
    </row>
    <row r="1549" spans="1:9" customFormat="1">
      <c r="A1549" s="99" t="s">
        <v>1845</v>
      </c>
      <c r="B1549" s="100" t="s">
        <v>1846</v>
      </c>
      <c r="C1549" s="395" t="s">
        <v>20</v>
      </c>
      <c r="D1549" s="396">
        <v>4</v>
      </c>
      <c r="E1549" s="394"/>
      <c r="F1549" s="397">
        <v>5800</v>
      </c>
      <c r="G1549" s="398"/>
      <c r="H1549" s="399">
        <f t="shared" si="390"/>
        <v>23200</v>
      </c>
      <c r="I1549" s="398">
        <f t="shared" si="391"/>
        <v>23200</v>
      </c>
    </row>
    <row r="1550" spans="1:9" customFormat="1">
      <c r="A1550" s="99" t="s">
        <v>1847</v>
      </c>
      <c r="B1550" s="100" t="s">
        <v>1848</v>
      </c>
      <c r="C1550" s="395" t="s">
        <v>20</v>
      </c>
      <c r="D1550" s="396">
        <v>78</v>
      </c>
      <c r="E1550" s="394"/>
      <c r="F1550" s="397">
        <v>26</v>
      </c>
      <c r="G1550" s="398"/>
      <c r="H1550" s="399">
        <f t="shared" si="390"/>
        <v>2028</v>
      </c>
      <c r="I1550" s="398">
        <f t="shared" si="391"/>
        <v>2028</v>
      </c>
    </row>
    <row r="1551" spans="1:9" customFormat="1">
      <c r="A1551" s="99" t="s">
        <v>1849</v>
      </c>
      <c r="B1551" s="100" t="s">
        <v>1850</v>
      </c>
      <c r="C1551" s="395" t="s">
        <v>20</v>
      </c>
      <c r="D1551" s="396">
        <v>78</v>
      </c>
      <c r="E1551" s="394"/>
      <c r="F1551" s="397">
        <v>110</v>
      </c>
      <c r="G1551" s="398"/>
      <c r="H1551" s="399">
        <f t="shared" si="390"/>
        <v>8580</v>
      </c>
      <c r="I1551" s="398">
        <f t="shared" si="391"/>
        <v>8580</v>
      </c>
    </row>
    <row r="1552" spans="1:9" customFormat="1">
      <c r="A1552" s="99" t="s">
        <v>1851</v>
      </c>
      <c r="B1552" s="100" t="s">
        <v>1852</v>
      </c>
      <c r="C1552" s="395" t="s">
        <v>20</v>
      </c>
      <c r="D1552" s="396">
        <v>121</v>
      </c>
      <c r="E1552" s="394"/>
      <c r="F1552" s="397">
        <v>762</v>
      </c>
      <c r="G1552" s="398"/>
      <c r="H1552" s="399">
        <f t="shared" si="390"/>
        <v>92202</v>
      </c>
      <c r="I1552" s="398">
        <f t="shared" si="391"/>
        <v>92202</v>
      </c>
    </row>
    <row r="1553" spans="1:9" customFormat="1">
      <c r="A1553" s="99" t="s">
        <v>1853</v>
      </c>
      <c r="B1553" s="100" t="s">
        <v>1854</v>
      </c>
      <c r="C1553" s="395" t="s">
        <v>20</v>
      </c>
      <c r="D1553" s="396">
        <v>7</v>
      </c>
      <c r="E1553" s="394"/>
      <c r="F1553" s="400">
        <v>1895</v>
      </c>
      <c r="G1553" s="398"/>
      <c r="H1553" s="399">
        <f t="shared" si="390"/>
        <v>13265</v>
      </c>
      <c r="I1553" s="398">
        <f t="shared" si="391"/>
        <v>13265</v>
      </c>
    </row>
    <row r="1554" spans="1:9" customFormat="1">
      <c r="A1554" s="99" t="s">
        <v>1855</v>
      </c>
      <c r="B1554" s="100" t="s">
        <v>1856</v>
      </c>
      <c r="C1554" s="395" t="s">
        <v>20</v>
      </c>
      <c r="D1554" s="396">
        <v>1</v>
      </c>
      <c r="E1554" s="394"/>
      <c r="F1554" s="400">
        <v>276</v>
      </c>
      <c r="G1554" s="398"/>
      <c r="H1554" s="399">
        <f t="shared" si="390"/>
        <v>276</v>
      </c>
      <c r="I1554" s="398">
        <f t="shared" si="391"/>
        <v>276</v>
      </c>
    </row>
    <row r="1555" spans="1:9" customFormat="1">
      <c r="A1555" s="99" t="s">
        <v>1857</v>
      </c>
      <c r="B1555" s="100" t="s">
        <v>1858</v>
      </c>
      <c r="C1555" s="395" t="s">
        <v>20</v>
      </c>
      <c r="D1555" s="396">
        <v>1</v>
      </c>
      <c r="E1555" s="394"/>
      <c r="F1555" s="400">
        <v>14.24</v>
      </c>
      <c r="G1555" s="398"/>
      <c r="H1555" s="399">
        <f t="shared" si="390"/>
        <v>14.24</v>
      </c>
      <c r="I1555" s="398">
        <f t="shared" si="391"/>
        <v>14.24</v>
      </c>
    </row>
    <row r="1556" spans="1:9" customFormat="1">
      <c r="A1556" s="99" t="s">
        <v>1859</v>
      </c>
      <c r="B1556" s="100" t="s">
        <v>1860</v>
      </c>
      <c r="C1556" s="395" t="s">
        <v>602</v>
      </c>
      <c r="D1556" s="396">
        <v>1</v>
      </c>
      <c r="E1556" s="394"/>
      <c r="F1556" s="397">
        <v>30000</v>
      </c>
      <c r="G1556" s="398"/>
      <c r="H1556" s="399">
        <f t="shared" si="390"/>
        <v>30000</v>
      </c>
      <c r="I1556" s="398">
        <f t="shared" si="391"/>
        <v>30000</v>
      </c>
    </row>
    <row r="1557" spans="1:9" customFormat="1">
      <c r="A1557" s="99" t="s">
        <v>1861</v>
      </c>
      <c r="B1557" s="100" t="s">
        <v>1862</v>
      </c>
      <c r="C1557" s="395" t="s">
        <v>20</v>
      </c>
      <c r="D1557" s="396">
        <v>42</v>
      </c>
      <c r="E1557" s="394"/>
      <c r="F1557" s="397">
        <v>156.06</v>
      </c>
      <c r="G1557" s="398"/>
      <c r="H1557" s="399">
        <f t="shared" si="390"/>
        <v>6554.52</v>
      </c>
      <c r="I1557" s="398">
        <f t="shared" si="391"/>
        <v>6554.52</v>
      </c>
    </row>
    <row r="1558" spans="1:9" customFormat="1">
      <c r="A1558" s="99" t="s">
        <v>1863</v>
      </c>
      <c r="B1558" s="100" t="s">
        <v>1864</v>
      </c>
      <c r="C1558" s="395" t="s">
        <v>20</v>
      </c>
      <c r="D1558" s="396">
        <v>89</v>
      </c>
      <c r="E1558" s="394"/>
      <c r="F1558" s="397">
        <v>80</v>
      </c>
      <c r="G1558" s="398"/>
      <c r="H1558" s="399">
        <f t="shared" si="390"/>
        <v>7120</v>
      </c>
      <c r="I1558" s="398">
        <f t="shared" si="391"/>
        <v>7120</v>
      </c>
    </row>
    <row r="1559" spans="1:9" customFormat="1">
      <c r="A1559" s="99" t="s">
        <v>1865</v>
      </c>
      <c r="B1559" s="100" t="s">
        <v>1866</v>
      </c>
      <c r="C1559" s="395" t="s">
        <v>20</v>
      </c>
      <c r="D1559" s="396">
        <v>12</v>
      </c>
      <c r="E1559" s="394"/>
      <c r="F1559" s="397">
        <v>156.06</v>
      </c>
      <c r="G1559" s="398"/>
      <c r="H1559" s="399">
        <f t="shared" si="390"/>
        <v>1872.72</v>
      </c>
      <c r="I1559" s="398">
        <f t="shared" si="391"/>
        <v>1872.72</v>
      </c>
    </row>
    <row r="1560" spans="1:9" customFormat="1">
      <c r="A1560" s="99" t="s">
        <v>1867</v>
      </c>
      <c r="B1560" s="100" t="s">
        <v>1868</v>
      </c>
      <c r="C1560" s="395" t="s">
        <v>20</v>
      </c>
      <c r="D1560" s="396">
        <v>48</v>
      </c>
      <c r="E1560" s="394"/>
      <c r="F1560" s="400">
        <v>156.21</v>
      </c>
      <c r="G1560" s="398"/>
      <c r="H1560" s="399">
        <f t="shared" si="390"/>
        <v>7498.08</v>
      </c>
      <c r="I1560" s="398">
        <f t="shared" si="391"/>
        <v>7498.08</v>
      </c>
    </row>
    <row r="1561" spans="1:9" customFormat="1">
      <c r="A1561" s="99" t="s">
        <v>1869</v>
      </c>
      <c r="B1561" s="100" t="s">
        <v>1870</v>
      </c>
      <c r="C1561" s="395" t="s">
        <v>25</v>
      </c>
      <c r="D1561" s="396">
        <v>1000</v>
      </c>
      <c r="E1561" s="394"/>
      <c r="F1561" s="400">
        <v>34.979999999999997</v>
      </c>
      <c r="G1561" s="398"/>
      <c r="H1561" s="399">
        <f t="shared" si="390"/>
        <v>34980</v>
      </c>
      <c r="I1561" s="398">
        <f t="shared" si="391"/>
        <v>34980</v>
      </c>
    </row>
    <row r="1562" spans="1:9" customFormat="1">
      <c r="A1562" s="99" t="s">
        <v>1871</v>
      </c>
      <c r="B1562" s="100" t="s">
        <v>1872</v>
      </c>
      <c r="C1562" s="395" t="s">
        <v>25</v>
      </c>
      <c r="D1562" s="396">
        <v>1200</v>
      </c>
      <c r="E1562" s="394"/>
      <c r="F1562" s="400">
        <v>51.65</v>
      </c>
      <c r="G1562" s="398"/>
      <c r="H1562" s="399">
        <f t="shared" si="390"/>
        <v>61980</v>
      </c>
      <c r="I1562" s="398">
        <f t="shared" si="391"/>
        <v>61980</v>
      </c>
    </row>
    <row r="1563" spans="1:9" customFormat="1">
      <c r="A1563" s="99" t="s">
        <v>1873</v>
      </c>
      <c r="B1563" s="100" t="s">
        <v>1874</v>
      </c>
      <c r="C1563" s="395" t="s">
        <v>25</v>
      </c>
      <c r="D1563" s="396">
        <v>329</v>
      </c>
      <c r="E1563" s="394"/>
      <c r="F1563" s="400">
        <v>110.92</v>
      </c>
      <c r="G1563" s="398"/>
      <c r="H1563" s="399">
        <f t="shared" si="390"/>
        <v>36492.68</v>
      </c>
      <c r="I1563" s="398">
        <f t="shared" si="391"/>
        <v>36492.68</v>
      </c>
    </row>
    <row r="1564" spans="1:9" customFormat="1">
      <c r="A1564" s="99" t="s">
        <v>1875</v>
      </c>
      <c r="B1564" s="100" t="s">
        <v>1876</v>
      </c>
      <c r="C1564" s="395" t="s">
        <v>25</v>
      </c>
      <c r="D1564" s="396">
        <v>5997</v>
      </c>
      <c r="E1564" s="394"/>
      <c r="F1564" s="397">
        <v>193.58</v>
      </c>
      <c r="G1564" s="398"/>
      <c r="H1564" s="399">
        <f t="shared" si="390"/>
        <v>1160899.26</v>
      </c>
      <c r="I1564" s="398">
        <f t="shared" si="391"/>
        <v>1160899.26</v>
      </c>
    </row>
    <row r="1565" spans="1:9" customFormat="1">
      <c r="A1565" s="99" t="s">
        <v>1877</v>
      </c>
      <c r="B1565" s="100" t="s">
        <v>1878</v>
      </c>
      <c r="C1565" s="395" t="s">
        <v>25</v>
      </c>
      <c r="D1565" s="396">
        <v>5</v>
      </c>
      <c r="E1565" s="394"/>
      <c r="F1565" s="400">
        <v>295.2</v>
      </c>
      <c r="G1565" s="398"/>
      <c r="H1565" s="399">
        <f t="shared" si="390"/>
        <v>1476</v>
      </c>
      <c r="I1565" s="398">
        <f t="shared" si="391"/>
        <v>1476</v>
      </c>
    </row>
    <row r="1566" spans="1:9" customFormat="1">
      <c r="A1566" s="99" t="s">
        <v>1879</v>
      </c>
      <c r="B1566" s="100" t="s">
        <v>1880</v>
      </c>
      <c r="C1566" s="395" t="s">
        <v>25</v>
      </c>
      <c r="D1566" s="396">
        <v>105</v>
      </c>
      <c r="E1566" s="394"/>
      <c r="F1566" s="397">
        <v>142</v>
      </c>
      <c r="G1566" s="398"/>
      <c r="H1566" s="399">
        <f t="shared" si="390"/>
        <v>14910</v>
      </c>
      <c r="I1566" s="398">
        <f t="shared" si="391"/>
        <v>14910</v>
      </c>
    </row>
    <row r="1567" spans="1:9" customFormat="1">
      <c r="A1567" s="99" t="s">
        <v>1881</v>
      </c>
      <c r="B1567" s="100" t="s">
        <v>1882</v>
      </c>
      <c r="C1567" s="395" t="s">
        <v>25</v>
      </c>
      <c r="D1567" s="396">
        <v>66</v>
      </c>
      <c r="E1567" s="394"/>
      <c r="F1567" s="397">
        <v>187.87</v>
      </c>
      <c r="G1567" s="398"/>
      <c r="H1567" s="399">
        <f t="shared" si="390"/>
        <v>12399.42</v>
      </c>
      <c r="I1567" s="398">
        <f t="shared" si="391"/>
        <v>12399.42</v>
      </c>
    </row>
    <row r="1568" spans="1:9" customFormat="1">
      <c r="A1568" s="99" t="s">
        <v>1883</v>
      </c>
      <c r="B1568" s="100" t="s">
        <v>1884</v>
      </c>
      <c r="C1568" s="395" t="s">
        <v>25</v>
      </c>
      <c r="D1568" s="396">
        <v>364</v>
      </c>
      <c r="E1568" s="394"/>
      <c r="F1568" s="397">
        <v>2158</v>
      </c>
      <c r="G1568" s="398"/>
      <c r="H1568" s="399">
        <f t="shared" si="390"/>
        <v>785512</v>
      </c>
      <c r="I1568" s="398">
        <f t="shared" si="391"/>
        <v>785512</v>
      </c>
    </row>
    <row r="1569" spans="1:9" customFormat="1">
      <c r="A1569" s="99" t="s">
        <v>1885</v>
      </c>
      <c r="B1569" s="100" t="s">
        <v>1886</v>
      </c>
      <c r="C1569" s="395" t="s">
        <v>25</v>
      </c>
      <c r="D1569" s="396">
        <v>2067</v>
      </c>
      <c r="E1569" s="394"/>
      <c r="F1569" s="400">
        <v>45.11</v>
      </c>
      <c r="G1569" s="398"/>
      <c r="H1569" s="399">
        <f t="shared" si="390"/>
        <v>93242.37</v>
      </c>
      <c r="I1569" s="398">
        <f t="shared" si="391"/>
        <v>93242.37</v>
      </c>
    </row>
    <row r="1570" spans="1:9" customFormat="1">
      <c r="A1570" s="99" t="s">
        <v>1887</v>
      </c>
      <c r="B1570" s="100" t="s">
        <v>1888</v>
      </c>
      <c r="C1570" s="395" t="s">
        <v>25</v>
      </c>
      <c r="D1570" s="396">
        <v>701</v>
      </c>
      <c r="E1570" s="394"/>
      <c r="F1570" s="400">
        <v>66.38</v>
      </c>
      <c r="G1570" s="398"/>
      <c r="H1570" s="399">
        <f t="shared" si="390"/>
        <v>46532.38</v>
      </c>
      <c r="I1570" s="398">
        <f t="shared" si="391"/>
        <v>46532.38</v>
      </c>
    </row>
    <row r="1571" spans="1:9" customFormat="1">
      <c r="A1571" s="99" t="s">
        <v>1889</v>
      </c>
      <c r="B1571" s="100" t="s">
        <v>1890</v>
      </c>
      <c r="C1571" s="395" t="s">
        <v>25</v>
      </c>
      <c r="D1571" s="396">
        <v>1066</v>
      </c>
      <c r="E1571" s="394"/>
      <c r="F1571" s="397">
        <v>142.63</v>
      </c>
      <c r="G1571" s="398"/>
      <c r="H1571" s="399">
        <f t="shared" si="390"/>
        <v>152043.57999999999</v>
      </c>
      <c r="I1571" s="398">
        <f t="shared" si="391"/>
        <v>152043.57999999999</v>
      </c>
    </row>
    <row r="1572" spans="1:9" customFormat="1">
      <c r="A1572" s="99" t="s">
        <v>1891</v>
      </c>
      <c r="B1572" s="100" t="s">
        <v>1892</v>
      </c>
      <c r="C1572" s="395" t="s">
        <v>25</v>
      </c>
      <c r="D1572" s="396">
        <v>90</v>
      </c>
      <c r="E1572" s="394"/>
      <c r="F1572" s="397">
        <v>124.43</v>
      </c>
      <c r="G1572" s="398"/>
      <c r="H1572" s="399">
        <f t="shared" si="390"/>
        <v>11198.7</v>
      </c>
      <c r="I1572" s="398">
        <f t="shared" si="391"/>
        <v>11198.7</v>
      </c>
    </row>
    <row r="1573" spans="1:9" customFormat="1">
      <c r="A1573" s="99" t="s">
        <v>1893</v>
      </c>
      <c r="B1573" s="100" t="s">
        <v>1894</v>
      </c>
      <c r="C1573" s="395" t="s">
        <v>25</v>
      </c>
      <c r="D1573" s="396">
        <v>266</v>
      </c>
      <c r="E1573" s="394"/>
      <c r="F1573" s="397">
        <v>242.77</v>
      </c>
      <c r="G1573" s="398"/>
      <c r="H1573" s="399">
        <f t="shared" si="390"/>
        <v>64576.82</v>
      </c>
      <c r="I1573" s="398">
        <f t="shared" si="391"/>
        <v>64576.82</v>
      </c>
    </row>
    <row r="1574" spans="1:9" customFormat="1">
      <c r="A1574" s="99" t="s">
        <v>1895</v>
      </c>
      <c r="B1574" s="100" t="s">
        <v>1896</v>
      </c>
      <c r="C1574" s="395" t="s">
        <v>25</v>
      </c>
      <c r="D1574" s="396">
        <v>187</v>
      </c>
      <c r="E1574" s="394"/>
      <c r="F1574" s="397">
        <v>553.39</v>
      </c>
      <c r="G1574" s="398"/>
      <c r="H1574" s="399">
        <f t="shared" si="390"/>
        <v>103483.93</v>
      </c>
      <c r="I1574" s="398">
        <f t="shared" si="391"/>
        <v>103483.93</v>
      </c>
    </row>
    <row r="1575" spans="1:9" customFormat="1">
      <c r="A1575" s="99" t="s">
        <v>1897</v>
      </c>
      <c r="B1575" s="100" t="s">
        <v>1898</v>
      </c>
      <c r="C1575" s="395" t="s">
        <v>25</v>
      </c>
      <c r="D1575" s="396">
        <v>90</v>
      </c>
      <c r="E1575" s="394"/>
      <c r="F1575" s="397">
        <v>927</v>
      </c>
      <c r="G1575" s="398"/>
      <c r="H1575" s="399">
        <f t="shared" si="390"/>
        <v>83430</v>
      </c>
      <c r="I1575" s="398">
        <f t="shared" si="391"/>
        <v>83430</v>
      </c>
    </row>
    <row r="1576" spans="1:9" customFormat="1">
      <c r="A1576" s="99" t="s">
        <v>1899</v>
      </c>
      <c r="B1576" s="100" t="s">
        <v>1900</v>
      </c>
      <c r="C1576" s="395" t="s">
        <v>25</v>
      </c>
      <c r="D1576" s="396">
        <v>180</v>
      </c>
      <c r="E1576" s="394"/>
      <c r="F1576" s="397">
        <v>1357</v>
      </c>
      <c r="G1576" s="398"/>
      <c r="H1576" s="399">
        <f t="shared" si="390"/>
        <v>244260</v>
      </c>
      <c r="I1576" s="398">
        <f t="shared" si="391"/>
        <v>244260</v>
      </c>
    </row>
    <row r="1577" spans="1:9" customFormat="1">
      <c r="A1577" s="99" t="s">
        <v>1901</v>
      </c>
      <c r="B1577" s="100" t="s">
        <v>1902</v>
      </c>
      <c r="C1577" s="395" t="s">
        <v>25</v>
      </c>
      <c r="D1577" s="396">
        <v>90</v>
      </c>
      <c r="E1577" s="394"/>
      <c r="F1577" s="397">
        <v>2158</v>
      </c>
      <c r="G1577" s="398"/>
      <c r="H1577" s="399">
        <f t="shared" si="390"/>
        <v>194220</v>
      </c>
      <c r="I1577" s="398">
        <f t="shared" si="391"/>
        <v>194220</v>
      </c>
    </row>
    <row r="1578" spans="1:9" customFormat="1">
      <c r="A1578" s="99" t="s">
        <v>1903</v>
      </c>
      <c r="B1578" s="100" t="s">
        <v>1904</v>
      </c>
      <c r="C1578" s="395" t="s">
        <v>25</v>
      </c>
      <c r="D1578" s="396">
        <v>45</v>
      </c>
      <c r="E1578" s="394"/>
      <c r="F1578" s="397">
        <v>766.93</v>
      </c>
      <c r="G1578" s="398"/>
      <c r="H1578" s="399">
        <f t="shared" si="390"/>
        <v>34511.85</v>
      </c>
      <c r="I1578" s="398">
        <f t="shared" si="391"/>
        <v>34511.85</v>
      </c>
    </row>
    <row r="1579" spans="1:9" customFormat="1">
      <c r="A1579" s="99" t="s">
        <v>1905</v>
      </c>
      <c r="B1579" s="100" t="s">
        <v>1906</v>
      </c>
      <c r="C1579" s="395" t="s">
        <v>25</v>
      </c>
      <c r="D1579" s="396">
        <v>20</v>
      </c>
      <c r="E1579" s="394"/>
      <c r="F1579" s="397">
        <v>92</v>
      </c>
      <c r="G1579" s="398"/>
      <c r="H1579" s="399">
        <f t="shared" si="390"/>
        <v>1840</v>
      </c>
      <c r="I1579" s="398">
        <f t="shared" si="391"/>
        <v>1840</v>
      </c>
    </row>
    <row r="1580" spans="1:9" customFormat="1">
      <c r="A1580" s="99" t="s">
        <v>1907</v>
      </c>
      <c r="B1580" s="100" t="s">
        <v>1908</v>
      </c>
      <c r="C1580" s="395" t="s">
        <v>25</v>
      </c>
      <c r="D1580" s="396">
        <v>53</v>
      </c>
      <c r="E1580" s="394"/>
      <c r="F1580" s="397">
        <v>134</v>
      </c>
      <c r="G1580" s="398"/>
      <c r="H1580" s="399">
        <f t="shared" si="390"/>
        <v>7102</v>
      </c>
      <c r="I1580" s="398">
        <f t="shared" si="391"/>
        <v>7102</v>
      </c>
    </row>
    <row r="1581" spans="1:9" customFormat="1">
      <c r="A1581" s="99" t="s">
        <v>1909</v>
      </c>
      <c r="B1581" s="100" t="s">
        <v>1910</v>
      </c>
      <c r="C1581" s="395" t="s">
        <v>25</v>
      </c>
      <c r="D1581" s="396">
        <v>75</v>
      </c>
      <c r="E1581" s="394"/>
      <c r="F1581" s="397">
        <v>189</v>
      </c>
      <c r="G1581" s="398"/>
      <c r="H1581" s="399">
        <f t="shared" si="390"/>
        <v>14175</v>
      </c>
      <c r="I1581" s="398">
        <f t="shared" si="391"/>
        <v>14175</v>
      </c>
    </row>
    <row r="1582" spans="1:9" customFormat="1">
      <c r="A1582" s="99" t="s">
        <v>1911</v>
      </c>
      <c r="B1582" s="100" t="s">
        <v>1912</v>
      </c>
      <c r="C1582" s="395" t="s">
        <v>25</v>
      </c>
      <c r="D1582" s="396">
        <v>20</v>
      </c>
      <c r="E1582" s="394"/>
      <c r="F1582" s="397">
        <v>1000</v>
      </c>
      <c r="G1582" s="398"/>
      <c r="H1582" s="399">
        <f t="shared" si="390"/>
        <v>20000</v>
      </c>
      <c r="I1582" s="398">
        <f t="shared" si="391"/>
        <v>20000</v>
      </c>
    </row>
    <row r="1583" spans="1:9" customFormat="1">
      <c r="A1583" s="99" t="s">
        <v>1913</v>
      </c>
      <c r="B1583" s="100" t="s">
        <v>1914</v>
      </c>
      <c r="C1583" s="395" t="s">
        <v>25</v>
      </c>
      <c r="D1583" s="396">
        <v>42</v>
      </c>
      <c r="E1583" s="394"/>
      <c r="F1583" s="397">
        <v>1500</v>
      </c>
      <c r="G1583" s="398"/>
      <c r="H1583" s="399">
        <f t="shared" si="390"/>
        <v>63000</v>
      </c>
      <c r="I1583" s="398">
        <f t="shared" si="391"/>
        <v>63000</v>
      </c>
    </row>
    <row r="1584" spans="1:9" customFormat="1">
      <c r="A1584" s="99" t="s">
        <v>1915</v>
      </c>
      <c r="B1584" s="100" t="s">
        <v>1916</v>
      </c>
      <c r="C1584" s="395" t="s">
        <v>25</v>
      </c>
      <c r="D1584" s="396">
        <v>10</v>
      </c>
      <c r="E1584" s="394"/>
      <c r="F1584" s="397">
        <v>2158</v>
      </c>
      <c r="G1584" s="398"/>
      <c r="H1584" s="399">
        <f t="shared" si="390"/>
        <v>21580</v>
      </c>
      <c r="I1584" s="398">
        <f t="shared" si="391"/>
        <v>21580</v>
      </c>
    </row>
    <row r="1585" spans="1:9" customFormat="1">
      <c r="A1585" s="99" t="s">
        <v>1917</v>
      </c>
      <c r="B1585" s="100" t="s">
        <v>1918</v>
      </c>
      <c r="C1585" s="395" t="s">
        <v>25</v>
      </c>
      <c r="D1585" s="396">
        <v>100</v>
      </c>
      <c r="E1585" s="394"/>
      <c r="F1585" s="400">
        <v>158.19999999999999</v>
      </c>
      <c r="G1585" s="398"/>
      <c r="H1585" s="399">
        <f t="shared" si="390"/>
        <v>15819.999999999998</v>
      </c>
      <c r="I1585" s="398">
        <f t="shared" si="391"/>
        <v>15819.999999999998</v>
      </c>
    </row>
    <row r="1586" spans="1:9" customFormat="1">
      <c r="A1586" s="99" t="s">
        <v>1919</v>
      </c>
      <c r="B1586" s="100" t="s">
        <v>1920</v>
      </c>
      <c r="C1586" s="395" t="s">
        <v>25</v>
      </c>
      <c r="D1586" s="396">
        <v>1581</v>
      </c>
      <c r="E1586" s="394"/>
      <c r="F1586" s="397">
        <v>80</v>
      </c>
      <c r="G1586" s="398"/>
      <c r="H1586" s="399">
        <f t="shared" si="390"/>
        <v>126480</v>
      </c>
      <c r="I1586" s="398">
        <f t="shared" si="391"/>
        <v>126480</v>
      </c>
    </row>
    <row r="1587" spans="1:9" customFormat="1">
      <c r="A1587" s="99" t="s">
        <v>1921</v>
      </c>
      <c r="B1587" s="100" t="s">
        <v>1922</v>
      </c>
      <c r="C1587" s="395" t="s">
        <v>25</v>
      </c>
      <c r="D1587" s="396">
        <v>2700</v>
      </c>
      <c r="E1587" s="394"/>
      <c r="F1587" s="397">
        <v>8.5</v>
      </c>
      <c r="G1587" s="398"/>
      <c r="H1587" s="399">
        <f t="shared" si="390"/>
        <v>22950</v>
      </c>
      <c r="I1587" s="398">
        <f t="shared" si="391"/>
        <v>22950</v>
      </c>
    </row>
    <row r="1588" spans="1:9" customFormat="1">
      <c r="A1588" s="99" t="s">
        <v>1923</v>
      </c>
      <c r="B1588" s="100" t="s">
        <v>1924</v>
      </c>
      <c r="C1588" s="395" t="s">
        <v>25</v>
      </c>
      <c r="D1588" s="396">
        <v>2200</v>
      </c>
      <c r="E1588" s="394"/>
      <c r="F1588" s="400">
        <v>10.27</v>
      </c>
      <c r="G1588" s="398"/>
      <c r="H1588" s="399">
        <f t="shared" si="390"/>
        <v>22594</v>
      </c>
      <c r="I1588" s="398">
        <f t="shared" si="391"/>
        <v>22594</v>
      </c>
    </row>
    <row r="1589" spans="1:9" customFormat="1">
      <c r="A1589" s="99" t="s">
        <v>1925</v>
      </c>
      <c r="B1589" s="100" t="s">
        <v>1926</v>
      </c>
      <c r="C1589" s="395" t="s">
        <v>25</v>
      </c>
      <c r="D1589" s="396">
        <v>1634</v>
      </c>
      <c r="E1589" s="394"/>
      <c r="F1589" s="400">
        <v>14.21</v>
      </c>
      <c r="G1589" s="398"/>
      <c r="H1589" s="399">
        <f t="shared" si="390"/>
        <v>23219.140000000003</v>
      </c>
      <c r="I1589" s="398">
        <f t="shared" si="391"/>
        <v>23219.140000000003</v>
      </c>
    </row>
    <row r="1590" spans="1:9" customFormat="1">
      <c r="A1590" s="99" t="s">
        <v>1927</v>
      </c>
      <c r="B1590" s="100" t="s">
        <v>1928</v>
      </c>
      <c r="C1590" s="395" t="s">
        <v>20</v>
      </c>
      <c r="D1590" s="396">
        <v>2700</v>
      </c>
      <c r="E1590" s="394"/>
      <c r="F1590" s="397">
        <v>2.5</v>
      </c>
      <c r="G1590" s="398"/>
      <c r="H1590" s="399">
        <f t="shared" si="390"/>
        <v>6750</v>
      </c>
      <c r="I1590" s="398">
        <f t="shared" si="391"/>
        <v>6750</v>
      </c>
    </row>
    <row r="1591" spans="1:9" customFormat="1">
      <c r="A1591" s="99" t="s">
        <v>1929</v>
      </c>
      <c r="B1591" s="100" t="s">
        <v>1930</v>
      </c>
      <c r="C1591" s="395" t="s">
        <v>20</v>
      </c>
      <c r="D1591" s="396">
        <v>2200</v>
      </c>
      <c r="E1591" s="394"/>
      <c r="F1591" s="397">
        <v>3.04</v>
      </c>
      <c r="G1591" s="398"/>
      <c r="H1591" s="399">
        <f t="shared" si="390"/>
        <v>6688</v>
      </c>
      <c r="I1591" s="398">
        <f t="shared" si="391"/>
        <v>6688</v>
      </c>
    </row>
    <row r="1592" spans="1:9" customFormat="1">
      <c r="A1592" s="99" t="s">
        <v>1931</v>
      </c>
      <c r="B1592" s="100" t="s">
        <v>1932</v>
      </c>
      <c r="C1592" s="395" t="s">
        <v>20</v>
      </c>
      <c r="D1592" s="396">
        <v>1634</v>
      </c>
      <c r="E1592" s="394"/>
      <c r="F1592" s="397">
        <v>4.46</v>
      </c>
      <c r="G1592" s="398"/>
      <c r="H1592" s="399">
        <f t="shared" si="390"/>
        <v>7287.64</v>
      </c>
      <c r="I1592" s="398">
        <f t="shared" si="391"/>
        <v>7287.64</v>
      </c>
    </row>
    <row r="1593" spans="1:9" customFormat="1">
      <c r="A1593" s="99" t="s">
        <v>1933</v>
      </c>
      <c r="B1593" s="100" t="s">
        <v>1934</v>
      </c>
      <c r="C1593" s="395" t="s">
        <v>25</v>
      </c>
      <c r="D1593" s="396">
        <v>65</v>
      </c>
      <c r="E1593" s="394"/>
      <c r="F1593" s="397">
        <v>2000</v>
      </c>
      <c r="G1593" s="398"/>
      <c r="H1593" s="399">
        <f t="shared" si="390"/>
        <v>130000</v>
      </c>
      <c r="I1593" s="398">
        <f t="shared" si="391"/>
        <v>130000</v>
      </c>
    </row>
    <row r="1594" spans="1:9" customFormat="1">
      <c r="A1594" s="99" t="s">
        <v>1935</v>
      </c>
      <c r="B1594" s="100" t="s">
        <v>1936</v>
      </c>
      <c r="C1594" s="395" t="s">
        <v>25</v>
      </c>
      <c r="D1594" s="396">
        <v>450</v>
      </c>
      <c r="E1594" s="394"/>
      <c r="F1594" s="397">
        <v>66</v>
      </c>
      <c r="G1594" s="398"/>
      <c r="H1594" s="399">
        <f t="shared" si="390"/>
        <v>29700</v>
      </c>
      <c r="I1594" s="398">
        <f t="shared" si="391"/>
        <v>29700</v>
      </c>
    </row>
    <row r="1595" spans="1:9" customFormat="1">
      <c r="A1595" s="99" t="s">
        <v>1937</v>
      </c>
      <c r="B1595" s="100" t="s">
        <v>1938</v>
      </c>
      <c r="C1595" s="395" t="s">
        <v>25</v>
      </c>
      <c r="D1595" s="396">
        <v>12</v>
      </c>
      <c r="E1595" s="394"/>
      <c r="F1595" s="397">
        <v>350</v>
      </c>
      <c r="G1595" s="398"/>
      <c r="H1595" s="399">
        <f t="shared" si="390"/>
        <v>4200</v>
      </c>
      <c r="I1595" s="398">
        <f t="shared" si="391"/>
        <v>4200</v>
      </c>
    </row>
    <row r="1596" spans="1:9" customFormat="1">
      <c r="A1596" s="99" t="s">
        <v>1939</v>
      </c>
      <c r="B1596" s="100" t="s">
        <v>1940</v>
      </c>
      <c r="C1596" s="395" t="s">
        <v>25</v>
      </c>
      <c r="D1596" s="396">
        <v>190</v>
      </c>
      <c r="E1596" s="394"/>
      <c r="F1596" s="397">
        <v>283.5</v>
      </c>
      <c r="G1596" s="398"/>
      <c r="H1596" s="399">
        <f t="shared" si="390"/>
        <v>53865</v>
      </c>
      <c r="I1596" s="398">
        <f t="shared" si="391"/>
        <v>53865</v>
      </c>
    </row>
    <row r="1597" spans="1:9" customFormat="1">
      <c r="A1597" s="99" t="s">
        <v>1941</v>
      </c>
      <c r="B1597" s="100" t="s">
        <v>1942</v>
      </c>
      <c r="C1597" s="395" t="s">
        <v>25</v>
      </c>
      <c r="D1597" s="396">
        <v>528</v>
      </c>
      <c r="E1597" s="394"/>
      <c r="F1597" s="397">
        <v>146.29</v>
      </c>
      <c r="G1597" s="398"/>
      <c r="H1597" s="399">
        <f t="shared" si="390"/>
        <v>77241.119999999995</v>
      </c>
      <c r="I1597" s="398">
        <f t="shared" si="391"/>
        <v>77241.119999999995</v>
      </c>
    </row>
    <row r="1598" spans="1:9" customFormat="1">
      <c r="A1598" s="99" t="s">
        <v>1943</v>
      </c>
      <c r="B1598" s="100" t="s">
        <v>1944</v>
      </c>
      <c r="C1598" s="395" t="s">
        <v>25</v>
      </c>
      <c r="D1598" s="396">
        <v>3</v>
      </c>
      <c r="E1598" s="394"/>
      <c r="F1598" s="397">
        <v>649</v>
      </c>
      <c r="G1598" s="398"/>
      <c r="H1598" s="399">
        <f t="shared" si="390"/>
        <v>1947</v>
      </c>
      <c r="I1598" s="398">
        <f t="shared" si="391"/>
        <v>1947</v>
      </c>
    </row>
    <row r="1599" spans="1:9" customFormat="1">
      <c r="A1599" s="99" t="s">
        <v>1945</v>
      </c>
      <c r="B1599" s="100" t="s">
        <v>1946</v>
      </c>
      <c r="C1599" s="395" t="s">
        <v>20</v>
      </c>
      <c r="D1599" s="396">
        <v>900</v>
      </c>
      <c r="E1599" s="394"/>
      <c r="F1599" s="397">
        <v>165</v>
      </c>
      <c r="G1599" s="398"/>
      <c r="H1599" s="399">
        <f t="shared" si="390"/>
        <v>148500</v>
      </c>
      <c r="I1599" s="398">
        <f t="shared" si="391"/>
        <v>148500</v>
      </c>
    </row>
    <row r="1600" spans="1:9" customFormat="1">
      <c r="A1600" s="99" t="s">
        <v>1947</v>
      </c>
      <c r="B1600" s="100" t="s">
        <v>1948</v>
      </c>
      <c r="C1600" s="395" t="s">
        <v>602</v>
      </c>
      <c r="D1600" s="396">
        <v>1</v>
      </c>
      <c r="E1600" s="394"/>
      <c r="F1600" s="397">
        <v>12000</v>
      </c>
      <c r="G1600" s="398"/>
      <c r="H1600" s="399">
        <f t="shared" si="390"/>
        <v>12000</v>
      </c>
      <c r="I1600" s="398">
        <f t="shared" si="391"/>
        <v>12000</v>
      </c>
    </row>
    <row r="1601" spans="1:9" customFormat="1">
      <c r="A1601" s="99" t="s">
        <v>1949</v>
      </c>
      <c r="B1601" s="100" t="s">
        <v>1950</v>
      </c>
      <c r="C1601" s="395" t="s">
        <v>602</v>
      </c>
      <c r="D1601" s="396">
        <v>1</v>
      </c>
      <c r="E1601" s="394"/>
      <c r="F1601" s="397">
        <v>80000</v>
      </c>
      <c r="G1601" s="398"/>
      <c r="H1601" s="399">
        <f t="shared" si="390"/>
        <v>80000</v>
      </c>
      <c r="I1601" s="398">
        <f t="shared" si="391"/>
        <v>80000</v>
      </c>
    </row>
    <row r="1602" spans="1:9" customFormat="1">
      <c r="A1602" s="392" t="s">
        <v>1951</v>
      </c>
      <c r="B1602" s="170" t="s">
        <v>1952</v>
      </c>
      <c r="C1602" s="54"/>
      <c r="D1602" s="36"/>
      <c r="E1602" s="394"/>
      <c r="F1602" s="394"/>
      <c r="G1602" s="393"/>
      <c r="H1602" s="393"/>
      <c r="I1602" s="393"/>
    </row>
    <row r="1603" spans="1:9" customFormat="1">
      <c r="A1603" s="228" t="s">
        <v>2963</v>
      </c>
      <c r="B1603" s="401" t="s">
        <v>1953</v>
      </c>
      <c r="C1603" s="402" t="s">
        <v>20</v>
      </c>
      <c r="D1603" s="396">
        <v>1</v>
      </c>
      <c r="E1603" s="394"/>
      <c r="F1603" s="397">
        <v>193810</v>
      </c>
      <c r="G1603" s="398"/>
      <c r="H1603" s="399">
        <f t="shared" ref="H1603:H1612" si="392">PRODUCT(F1603,D1603)</f>
        <v>193810</v>
      </c>
      <c r="I1603" s="398">
        <f t="shared" si="391"/>
        <v>193810</v>
      </c>
    </row>
    <row r="1604" spans="1:9" customFormat="1">
      <c r="A1604" s="228" t="s">
        <v>2964</v>
      </c>
      <c r="B1604" s="401" t="s">
        <v>1954</v>
      </c>
      <c r="C1604" s="402" t="s">
        <v>20</v>
      </c>
      <c r="D1604" s="396">
        <v>1</v>
      </c>
      <c r="E1604" s="394"/>
      <c r="F1604" s="397">
        <v>71370</v>
      </c>
      <c r="G1604" s="398"/>
      <c r="H1604" s="399">
        <f t="shared" si="392"/>
        <v>71370</v>
      </c>
      <c r="I1604" s="398">
        <f t="shared" si="391"/>
        <v>71370</v>
      </c>
    </row>
    <row r="1605" spans="1:9" customFormat="1">
      <c r="A1605" s="228" t="s">
        <v>2965</v>
      </c>
      <c r="B1605" s="401" t="s">
        <v>1955</v>
      </c>
      <c r="C1605" s="402" t="s">
        <v>20</v>
      </c>
      <c r="D1605" s="396">
        <v>1</v>
      </c>
      <c r="E1605" s="394"/>
      <c r="F1605" s="397">
        <v>58780</v>
      </c>
      <c r="G1605" s="398"/>
      <c r="H1605" s="399">
        <f t="shared" si="392"/>
        <v>58780</v>
      </c>
      <c r="I1605" s="398">
        <f t="shared" si="391"/>
        <v>58780</v>
      </c>
    </row>
    <row r="1606" spans="1:9" customFormat="1">
      <c r="A1606" s="228" t="s">
        <v>2966</v>
      </c>
      <c r="B1606" s="401" t="s">
        <v>1956</v>
      </c>
      <c r="C1606" s="402" t="s">
        <v>20</v>
      </c>
      <c r="D1606" s="396">
        <v>1</v>
      </c>
      <c r="E1606" s="394"/>
      <c r="F1606" s="397">
        <v>24800</v>
      </c>
      <c r="G1606" s="398"/>
      <c r="H1606" s="399">
        <f t="shared" si="392"/>
        <v>24800</v>
      </c>
      <c r="I1606" s="398">
        <f t="shared" ref="I1606:I1668" si="393">SUM(G1606:H1606)</f>
        <v>24800</v>
      </c>
    </row>
    <row r="1607" spans="1:9" customFormat="1">
      <c r="A1607" s="228" t="s">
        <v>2967</v>
      </c>
      <c r="B1607" s="401" t="s">
        <v>1957</v>
      </c>
      <c r="C1607" s="402" t="s">
        <v>20</v>
      </c>
      <c r="D1607" s="396">
        <v>1</v>
      </c>
      <c r="E1607" s="394"/>
      <c r="F1607" s="397">
        <v>53790</v>
      </c>
      <c r="G1607" s="398"/>
      <c r="H1607" s="399">
        <f t="shared" si="392"/>
        <v>53790</v>
      </c>
      <c r="I1607" s="398">
        <f t="shared" si="393"/>
        <v>53790</v>
      </c>
    </row>
    <row r="1608" spans="1:9" customFormat="1">
      <c r="A1608" s="228" t="s">
        <v>2968</v>
      </c>
      <c r="B1608" s="401" t="s">
        <v>1958</v>
      </c>
      <c r="C1608" s="402" t="s">
        <v>20</v>
      </c>
      <c r="D1608" s="396">
        <v>285</v>
      </c>
      <c r="E1608" s="394"/>
      <c r="F1608" s="397">
        <v>2050</v>
      </c>
      <c r="G1608" s="398"/>
      <c r="H1608" s="399">
        <f t="shared" si="392"/>
        <v>584250</v>
      </c>
      <c r="I1608" s="398">
        <f t="shared" si="393"/>
        <v>584250</v>
      </c>
    </row>
    <row r="1609" spans="1:9" customFormat="1">
      <c r="A1609" s="228" t="s">
        <v>2969</v>
      </c>
      <c r="B1609" s="401" t="s">
        <v>1959</v>
      </c>
      <c r="C1609" s="402" t="s">
        <v>20</v>
      </c>
      <c r="D1609" s="396">
        <v>1</v>
      </c>
      <c r="E1609" s="394"/>
      <c r="F1609" s="397">
        <v>4740</v>
      </c>
      <c r="G1609" s="398"/>
      <c r="H1609" s="399">
        <f t="shared" si="392"/>
        <v>4740</v>
      </c>
      <c r="I1609" s="398">
        <f t="shared" si="393"/>
        <v>4740</v>
      </c>
    </row>
    <row r="1610" spans="1:9" customFormat="1">
      <c r="A1610" s="228" t="s">
        <v>2970</v>
      </c>
      <c r="B1610" s="401" t="s">
        <v>1960</v>
      </c>
      <c r="C1610" s="402" t="s">
        <v>20</v>
      </c>
      <c r="D1610" s="396">
        <v>1</v>
      </c>
      <c r="E1610" s="394"/>
      <c r="F1610" s="397">
        <v>17228.16</v>
      </c>
      <c r="G1610" s="398"/>
      <c r="H1610" s="399">
        <f t="shared" si="392"/>
        <v>17228.16</v>
      </c>
      <c r="I1610" s="398">
        <f t="shared" si="393"/>
        <v>17228.16</v>
      </c>
    </row>
    <row r="1611" spans="1:9" customFormat="1">
      <c r="A1611" s="228" t="s">
        <v>2971</v>
      </c>
      <c r="B1611" s="401" t="s">
        <v>1961</v>
      </c>
      <c r="C1611" s="402" t="s">
        <v>20</v>
      </c>
      <c r="D1611" s="396">
        <v>1</v>
      </c>
      <c r="E1611" s="394"/>
      <c r="F1611" s="397">
        <v>20485.2</v>
      </c>
      <c r="G1611" s="398"/>
      <c r="H1611" s="399">
        <f t="shared" si="392"/>
        <v>20485.2</v>
      </c>
      <c r="I1611" s="398">
        <f t="shared" si="393"/>
        <v>20485.2</v>
      </c>
    </row>
    <row r="1612" spans="1:9" customFormat="1">
      <c r="A1612" s="228" t="s">
        <v>2972</v>
      </c>
      <c r="B1612" s="403" t="s">
        <v>1962</v>
      </c>
      <c r="C1612" s="402" t="s">
        <v>20</v>
      </c>
      <c r="D1612" s="396">
        <v>46</v>
      </c>
      <c r="E1612" s="394"/>
      <c r="F1612" s="397">
        <v>23342.240000000002</v>
      </c>
      <c r="G1612" s="398"/>
      <c r="H1612" s="399">
        <f t="shared" si="392"/>
        <v>1073743.04</v>
      </c>
      <c r="I1612" s="398">
        <f t="shared" si="393"/>
        <v>1073743.04</v>
      </c>
    </row>
    <row r="1613" spans="1:9">
      <c r="A1613" s="392" t="s">
        <v>1978</v>
      </c>
      <c r="B1613" s="170" t="s">
        <v>1963</v>
      </c>
      <c r="C1613" s="54"/>
      <c r="D1613" s="393"/>
      <c r="E1613" s="394"/>
      <c r="F1613" s="394"/>
      <c r="G1613" s="36"/>
      <c r="H1613" s="393"/>
      <c r="I1613" s="393"/>
    </row>
    <row r="1614" spans="1:9" customFormat="1">
      <c r="A1614" s="99" t="s">
        <v>1980</v>
      </c>
      <c r="B1614" s="100" t="s">
        <v>1964</v>
      </c>
      <c r="C1614" s="395" t="s">
        <v>20</v>
      </c>
      <c r="D1614" s="396">
        <v>30</v>
      </c>
      <c r="E1614" s="394"/>
      <c r="F1614" s="397">
        <v>1250</v>
      </c>
      <c r="G1614" s="398"/>
      <c r="H1614" s="399">
        <f t="shared" ref="H1614:H1627" si="394">PRODUCT(F1614,D1614)</f>
        <v>37500</v>
      </c>
      <c r="I1614" s="398">
        <f t="shared" si="393"/>
        <v>37500</v>
      </c>
    </row>
    <row r="1615" spans="1:9" customFormat="1">
      <c r="A1615" s="99" t="s">
        <v>1982</v>
      </c>
      <c r="B1615" s="100" t="s">
        <v>1965</v>
      </c>
      <c r="C1615" s="395" t="s">
        <v>20</v>
      </c>
      <c r="D1615" s="396">
        <v>3</v>
      </c>
      <c r="E1615" s="394"/>
      <c r="F1615" s="397">
        <v>4500</v>
      </c>
      <c r="G1615" s="398"/>
      <c r="H1615" s="399">
        <f t="shared" si="394"/>
        <v>13500</v>
      </c>
      <c r="I1615" s="398">
        <f t="shared" si="393"/>
        <v>13500</v>
      </c>
    </row>
    <row r="1616" spans="1:9" customFormat="1">
      <c r="A1616" s="99" t="s">
        <v>1984</v>
      </c>
      <c r="B1616" s="100" t="s">
        <v>1966</v>
      </c>
      <c r="C1616" s="395" t="s">
        <v>20</v>
      </c>
      <c r="D1616" s="396">
        <v>6</v>
      </c>
      <c r="E1616" s="394"/>
      <c r="F1616" s="397">
        <v>3000</v>
      </c>
      <c r="G1616" s="398"/>
      <c r="H1616" s="399">
        <f t="shared" si="394"/>
        <v>18000</v>
      </c>
      <c r="I1616" s="398">
        <f t="shared" si="393"/>
        <v>18000</v>
      </c>
    </row>
    <row r="1617" spans="1:9" customFormat="1">
      <c r="A1617" s="99" t="s">
        <v>1986</v>
      </c>
      <c r="B1617" s="100" t="s">
        <v>1967</v>
      </c>
      <c r="C1617" s="395" t="s">
        <v>20</v>
      </c>
      <c r="D1617" s="396">
        <v>1</v>
      </c>
      <c r="E1617" s="394"/>
      <c r="F1617" s="397">
        <v>6900</v>
      </c>
      <c r="G1617" s="398"/>
      <c r="H1617" s="399">
        <f t="shared" si="394"/>
        <v>6900</v>
      </c>
      <c r="I1617" s="398">
        <f t="shared" si="393"/>
        <v>6900</v>
      </c>
    </row>
    <row r="1618" spans="1:9" customFormat="1">
      <c r="A1618" s="99" t="s">
        <v>1988</v>
      </c>
      <c r="B1618" s="100" t="s">
        <v>1968</v>
      </c>
      <c r="C1618" s="395" t="s">
        <v>20</v>
      </c>
      <c r="D1618" s="396">
        <v>350</v>
      </c>
      <c r="E1618" s="394"/>
      <c r="F1618" s="397">
        <v>260</v>
      </c>
      <c r="G1618" s="398"/>
      <c r="H1618" s="399">
        <f t="shared" si="394"/>
        <v>91000</v>
      </c>
      <c r="I1618" s="398">
        <f t="shared" si="393"/>
        <v>91000</v>
      </c>
    </row>
    <row r="1619" spans="1:9" customFormat="1">
      <c r="A1619" s="99" t="s">
        <v>1990</v>
      </c>
      <c r="B1619" s="100" t="s">
        <v>1969</v>
      </c>
      <c r="C1619" s="395" t="s">
        <v>20</v>
      </c>
      <c r="D1619" s="396">
        <v>1</v>
      </c>
      <c r="E1619" s="394"/>
      <c r="F1619" s="397">
        <v>10000</v>
      </c>
      <c r="G1619" s="398"/>
      <c r="H1619" s="399">
        <f t="shared" si="394"/>
        <v>10000</v>
      </c>
      <c r="I1619" s="398">
        <f t="shared" si="393"/>
        <v>10000</v>
      </c>
    </row>
    <row r="1620" spans="1:9" customFormat="1">
      <c r="A1620" s="99" t="s">
        <v>1992</v>
      </c>
      <c r="B1620" s="100" t="s">
        <v>1970</v>
      </c>
      <c r="C1620" s="395" t="s">
        <v>20</v>
      </c>
      <c r="D1620" s="396">
        <v>1</v>
      </c>
      <c r="E1620" s="394"/>
      <c r="F1620" s="397">
        <v>23310</v>
      </c>
      <c r="G1620" s="398"/>
      <c r="H1620" s="399">
        <f t="shared" si="394"/>
        <v>23310</v>
      </c>
      <c r="I1620" s="398">
        <f t="shared" si="393"/>
        <v>23310</v>
      </c>
    </row>
    <row r="1621" spans="1:9" customFormat="1">
      <c r="A1621" s="99" t="s">
        <v>1994</v>
      </c>
      <c r="B1621" s="100" t="s">
        <v>1971</v>
      </c>
      <c r="C1621" s="395" t="s">
        <v>20</v>
      </c>
      <c r="D1621" s="396">
        <v>1</v>
      </c>
      <c r="E1621" s="394"/>
      <c r="F1621" s="397">
        <v>3000</v>
      </c>
      <c r="G1621" s="398"/>
      <c r="H1621" s="399">
        <f t="shared" si="394"/>
        <v>3000</v>
      </c>
      <c r="I1621" s="398">
        <f t="shared" si="393"/>
        <v>3000</v>
      </c>
    </row>
    <row r="1622" spans="1:9" customFormat="1">
      <c r="A1622" s="99" t="s">
        <v>1996</v>
      </c>
      <c r="B1622" s="100" t="s">
        <v>1972</v>
      </c>
      <c r="C1622" s="395" t="s">
        <v>20</v>
      </c>
      <c r="D1622" s="396">
        <v>3</v>
      </c>
      <c r="E1622" s="394"/>
      <c r="F1622" s="397">
        <v>650</v>
      </c>
      <c r="G1622" s="398"/>
      <c r="H1622" s="399">
        <f t="shared" si="394"/>
        <v>1950</v>
      </c>
      <c r="I1622" s="398">
        <f t="shared" si="393"/>
        <v>1950</v>
      </c>
    </row>
    <row r="1623" spans="1:9" customFormat="1">
      <c r="A1623" s="99" t="s">
        <v>1998</v>
      </c>
      <c r="B1623" s="100" t="s">
        <v>1973</v>
      </c>
      <c r="C1623" s="395" t="s">
        <v>20</v>
      </c>
      <c r="D1623" s="396">
        <v>1135</v>
      </c>
      <c r="E1623" s="394"/>
      <c r="F1623" s="397">
        <v>30</v>
      </c>
      <c r="G1623" s="398"/>
      <c r="H1623" s="399">
        <f t="shared" si="394"/>
        <v>34050</v>
      </c>
      <c r="I1623" s="398">
        <f t="shared" si="393"/>
        <v>34050</v>
      </c>
    </row>
    <row r="1624" spans="1:9" customFormat="1">
      <c r="A1624" s="99" t="s">
        <v>2000</v>
      </c>
      <c r="B1624" s="100" t="s">
        <v>1974</v>
      </c>
      <c r="C1624" s="395" t="s">
        <v>20</v>
      </c>
      <c r="D1624" s="396">
        <v>150</v>
      </c>
      <c r="E1624" s="394"/>
      <c r="F1624" s="397">
        <v>30</v>
      </c>
      <c r="G1624" s="398"/>
      <c r="H1624" s="399">
        <f t="shared" si="394"/>
        <v>4500</v>
      </c>
      <c r="I1624" s="398">
        <f t="shared" si="393"/>
        <v>4500</v>
      </c>
    </row>
    <row r="1625" spans="1:9" customFormat="1">
      <c r="A1625" s="99" t="s">
        <v>2002</v>
      </c>
      <c r="B1625" s="100" t="s">
        <v>1975</v>
      </c>
      <c r="C1625" s="395" t="s">
        <v>125</v>
      </c>
      <c r="D1625" s="396">
        <v>20</v>
      </c>
      <c r="E1625" s="394"/>
      <c r="F1625" s="397">
        <v>300</v>
      </c>
      <c r="G1625" s="398"/>
      <c r="H1625" s="399">
        <f t="shared" si="394"/>
        <v>6000</v>
      </c>
      <c r="I1625" s="398">
        <f t="shared" si="393"/>
        <v>6000</v>
      </c>
    </row>
    <row r="1626" spans="1:9" customFormat="1">
      <c r="A1626" s="99" t="s">
        <v>2004</v>
      </c>
      <c r="B1626" s="100" t="s">
        <v>1976</v>
      </c>
      <c r="C1626" s="395" t="s">
        <v>25</v>
      </c>
      <c r="D1626" s="396">
        <v>2300</v>
      </c>
      <c r="E1626" s="394"/>
      <c r="F1626" s="397">
        <v>28.39</v>
      </c>
      <c r="G1626" s="398"/>
      <c r="H1626" s="399">
        <f t="shared" si="394"/>
        <v>65297</v>
      </c>
      <c r="I1626" s="398">
        <f t="shared" si="393"/>
        <v>65297</v>
      </c>
    </row>
    <row r="1627" spans="1:9" customFormat="1">
      <c r="A1627" s="99" t="s">
        <v>2006</v>
      </c>
      <c r="B1627" s="100" t="s">
        <v>1977</v>
      </c>
      <c r="C1627" s="395" t="s">
        <v>25</v>
      </c>
      <c r="D1627" s="396">
        <v>2300</v>
      </c>
      <c r="E1627" s="394"/>
      <c r="F1627" s="397">
        <v>10.86</v>
      </c>
      <c r="G1627" s="398"/>
      <c r="H1627" s="399">
        <f t="shared" si="394"/>
        <v>24978</v>
      </c>
      <c r="I1627" s="398">
        <f t="shared" si="393"/>
        <v>24978</v>
      </c>
    </row>
    <row r="1628" spans="1:9">
      <c r="A1628" s="392" t="s">
        <v>2016</v>
      </c>
      <c r="B1628" s="170" t="s">
        <v>1979</v>
      </c>
      <c r="C1628" s="54"/>
      <c r="D1628" s="393"/>
      <c r="E1628" s="394"/>
      <c r="F1628" s="394"/>
      <c r="G1628" s="404"/>
      <c r="H1628" s="405"/>
      <c r="I1628" s="405"/>
    </row>
    <row r="1629" spans="1:9" customFormat="1">
      <c r="A1629" s="406" t="s">
        <v>2017</v>
      </c>
      <c r="B1629" s="407" t="s">
        <v>1981</v>
      </c>
      <c r="C1629" s="408" t="s">
        <v>20</v>
      </c>
      <c r="D1629" s="399">
        <v>5</v>
      </c>
      <c r="E1629" s="394"/>
      <c r="F1629" s="409">
        <v>1274.5</v>
      </c>
      <c r="G1629" s="398"/>
      <c r="H1629" s="399">
        <f t="shared" ref="H1629:H1650" si="395">PRODUCT(F1629,D1629)</f>
        <v>6372.5</v>
      </c>
      <c r="I1629" s="404">
        <f t="shared" si="393"/>
        <v>6372.5</v>
      </c>
    </row>
    <row r="1630" spans="1:9" customFormat="1">
      <c r="A1630" s="406" t="s">
        <v>2043</v>
      </c>
      <c r="B1630" s="407" t="s">
        <v>1983</v>
      </c>
      <c r="C1630" s="408" t="s">
        <v>20</v>
      </c>
      <c r="D1630" s="399">
        <v>144</v>
      </c>
      <c r="E1630" s="394"/>
      <c r="F1630" s="409">
        <v>10.23</v>
      </c>
      <c r="G1630" s="398"/>
      <c r="H1630" s="399">
        <f t="shared" si="395"/>
        <v>1473.1200000000001</v>
      </c>
      <c r="I1630" s="404">
        <f t="shared" si="393"/>
        <v>1473.1200000000001</v>
      </c>
    </row>
    <row r="1631" spans="1:9" customFormat="1">
      <c r="A1631" s="406" t="s">
        <v>2973</v>
      </c>
      <c r="B1631" s="407" t="s">
        <v>1985</v>
      </c>
      <c r="C1631" s="408" t="s">
        <v>20</v>
      </c>
      <c r="D1631" s="399">
        <v>14</v>
      </c>
      <c r="E1631" s="394"/>
      <c r="F1631" s="409">
        <v>2211.58</v>
      </c>
      <c r="G1631" s="398"/>
      <c r="H1631" s="399">
        <f t="shared" si="395"/>
        <v>30962.12</v>
      </c>
      <c r="I1631" s="404">
        <f t="shared" si="393"/>
        <v>30962.12</v>
      </c>
    </row>
    <row r="1632" spans="1:9" customFormat="1">
      <c r="A1632" s="406" t="s">
        <v>2974</v>
      </c>
      <c r="B1632" s="407" t="s">
        <v>1987</v>
      </c>
      <c r="C1632" s="408" t="s">
        <v>20</v>
      </c>
      <c r="D1632" s="399">
        <v>1</v>
      </c>
      <c r="E1632" s="394"/>
      <c r="F1632" s="409">
        <v>7281.76</v>
      </c>
      <c r="G1632" s="398"/>
      <c r="H1632" s="399">
        <f t="shared" si="395"/>
        <v>7281.76</v>
      </c>
      <c r="I1632" s="404">
        <f t="shared" si="393"/>
        <v>7281.76</v>
      </c>
    </row>
    <row r="1633" spans="1:9" customFormat="1">
      <c r="A1633" s="406" t="s">
        <v>2975</v>
      </c>
      <c r="B1633" s="407" t="s">
        <v>1989</v>
      </c>
      <c r="C1633" s="408" t="s">
        <v>20</v>
      </c>
      <c r="D1633" s="399">
        <v>3</v>
      </c>
      <c r="E1633" s="394"/>
      <c r="F1633" s="409">
        <v>786</v>
      </c>
      <c r="G1633" s="398"/>
      <c r="H1633" s="399">
        <f t="shared" si="395"/>
        <v>2358</v>
      </c>
      <c r="I1633" s="404">
        <f t="shared" si="393"/>
        <v>2358</v>
      </c>
    </row>
    <row r="1634" spans="1:9" customFormat="1">
      <c r="A1634" s="406" t="s">
        <v>2976</v>
      </c>
      <c r="B1634" s="407" t="s">
        <v>1991</v>
      </c>
      <c r="C1634" s="408" t="s">
        <v>20</v>
      </c>
      <c r="D1634" s="399">
        <v>429</v>
      </c>
      <c r="E1634" s="394"/>
      <c r="F1634" s="409">
        <v>532.51</v>
      </c>
      <c r="G1634" s="398"/>
      <c r="H1634" s="399">
        <f t="shared" si="395"/>
        <v>228446.79</v>
      </c>
      <c r="I1634" s="404">
        <f t="shared" si="393"/>
        <v>228446.79</v>
      </c>
    </row>
    <row r="1635" spans="1:9" customFormat="1">
      <c r="A1635" s="406" t="s">
        <v>2977</v>
      </c>
      <c r="B1635" s="407" t="s">
        <v>1993</v>
      </c>
      <c r="C1635" s="408" t="s">
        <v>20</v>
      </c>
      <c r="D1635" s="399">
        <v>421</v>
      </c>
      <c r="E1635" s="394"/>
      <c r="F1635" s="409">
        <v>763.45</v>
      </c>
      <c r="G1635" s="398"/>
      <c r="H1635" s="399">
        <f t="shared" si="395"/>
        <v>321412.45</v>
      </c>
      <c r="I1635" s="404">
        <f t="shared" si="393"/>
        <v>321412.45</v>
      </c>
    </row>
    <row r="1636" spans="1:9" customFormat="1">
      <c r="A1636" s="406" t="s">
        <v>2978</v>
      </c>
      <c r="B1636" s="407" t="s">
        <v>1995</v>
      </c>
      <c r="C1636" s="408" t="s">
        <v>20</v>
      </c>
      <c r="D1636" s="399">
        <v>12</v>
      </c>
      <c r="E1636" s="394"/>
      <c r="F1636" s="409">
        <v>499</v>
      </c>
      <c r="G1636" s="398"/>
      <c r="H1636" s="399">
        <f t="shared" si="395"/>
        <v>5988</v>
      </c>
      <c r="I1636" s="404">
        <f t="shared" si="393"/>
        <v>5988</v>
      </c>
    </row>
    <row r="1637" spans="1:9" customFormat="1">
      <c r="A1637" s="406" t="s">
        <v>2979</v>
      </c>
      <c r="B1637" s="407" t="s">
        <v>1997</v>
      </c>
      <c r="C1637" s="408" t="s">
        <v>20</v>
      </c>
      <c r="D1637" s="399">
        <v>623</v>
      </c>
      <c r="E1637" s="394"/>
      <c r="F1637" s="409">
        <v>734.62</v>
      </c>
      <c r="G1637" s="398"/>
      <c r="H1637" s="399">
        <f t="shared" si="395"/>
        <v>457668.26</v>
      </c>
      <c r="I1637" s="404">
        <f t="shared" si="393"/>
        <v>457668.26</v>
      </c>
    </row>
    <row r="1638" spans="1:9" customFormat="1">
      <c r="A1638" s="406" t="s">
        <v>2980</v>
      </c>
      <c r="B1638" s="407" t="s">
        <v>1999</v>
      </c>
      <c r="C1638" s="408" t="s">
        <v>20</v>
      </c>
      <c r="D1638" s="399">
        <v>27</v>
      </c>
      <c r="E1638" s="394"/>
      <c r="F1638" s="409">
        <v>425.02</v>
      </c>
      <c r="G1638" s="398"/>
      <c r="H1638" s="399">
        <f t="shared" si="395"/>
        <v>11475.539999999999</v>
      </c>
      <c r="I1638" s="404">
        <f t="shared" si="393"/>
        <v>11475.539999999999</v>
      </c>
    </row>
    <row r="1639" spans="1:9" customFormat="1">
      <c r="A1639" s="406" t="s">
        <v>2981</v>
      </c>
      <c r="B1639" s="407" t="s">
        <v>2001</v>
      </c>
      <c r="C1639" s="408" t="s">
        <v>20</v>
      </c>
      <c r="D1639" s="399">
        <v>5</v>
      </c>
      <c r="E1639" s="394"/>
      <c r="F1639" s="409">
        <v>4699</v>
      </c>
      <c r="G1639" s="398"/>
      <c r="H1639" s="399">
        <f t="shared" si="395"/>
        <v>23495</v>
      </c>
      <c r="I1639" s="404">
        <f t="shared" si="393"/>
        <v>23495</v>
      </c>
    </row>
    <row r="1640" spans="1:9" customFormat="1">
      <c r="A1640" s="406" t="s">
        <v>2982</v>
      </c>
      <c r="B1640" s="407" t="s">
        <v>2003</v>
      </c>
      <c r="C1640" s="408" t="s">
        <v>20</v>
      </c>
      <c r="D1640" s="399">
        <v>50</v>
      </c>
      <c r="E1640" s="394"/>
      <c r="F1640" s="409">
        <v>333.83</v>
      </c>
      <c r="G1640" s="398"/>
      <c r="H1640" s="399">
        <f t="shared" si="395"/>
        <v>16691.5</v>
      </c>
      <c r="I1640" s="404">
        <f t="shared" si="393"/>
        <v>16691.5</v>
      </c>
    </row>
    <row r="1641" spans="1:9" customFormat="1">
      <c r="A1641" s="406" t="s">
        <v>2983</v>
      </c>
      <c r="B1641" s="407" t="s">
        <v>2005</v>
      </c>
      <c r="C1641" s="408" t="s">
        <v>20</v>
      </c>
      <c r="D1641" s="399">
        <v>2</v>
      </c>
      <c r="E1641" s="394"/>
      <c r="F1641" s="409">
        <v>11134.5</v>
      </c>
      <c r="G1641" s="398"/>
      <c r="H1641" s="399">
        <f t="shared" si="395"/>
        <v>22269</v>
      </c>
      <c r="I1641" s="404">
        <f t="shared" si="393"/>
        <v>22269</v>
      </c>
    </row>
    <row r="1642" spans="1:9" customFormat="1">
      <c r="A1642" s="406" t="s">
        <v>2984</v>
      </c>
      <c r="B1642" s="407" t="s">
        <v>2007</v>
      </c>
      <c r="C1642" s="408" t="s">
        <v>25</v>
      </c>
      <c r="D1642" s="399">
        <v>103</v>
      </c>
      <c r="E1642" s="394"/>
      <c r="F1642" s="409">
        <v>10</v>
      </c>
      <c r="G1642" s="398"/>
      <c r="H1642" s="399">
        <f t="shared" si="395"/>
        <v>1030</v>
      </c>
      <c r="I1642" s="404">
        <f t="shared" si="393"/>
        <v>1030</v>
      </c>
    </row>
    <row r="1643" spans="1:9" customFormat="1">
      <c r="A1643" s="406" t="s">
        <v>2985</v>
      </c>
      <c r="B1643" s="407" t="s">
        <v>2008</v>
      </c>
      <c r="C1643" s="408" t="s">
        <v>25</v>
      </c>
      <c r="D1643" s="399">
        <v>6743</v>
      </c>
      <c r="E1643" s="394"/>
      <c r="F1643" s="409">
        <v>16.239999999999998</v>
      </c>
      <c r="G1643" s="398"/>
      <c r="H1643" s="399">
        <f t="shared" si="395"/>
        <v>109506.31999999999</v>
      </c>
      <c r="I1643" s="404">
        <f t="shared" si="393"/>
        <v>109506.31999999999</v>
      </c>
    </row>
    <row r="1644" spans="1:9" customFormat="1">
      <c r="A1644" s="406" t="s">
        <v>2986</v>
      </c>
      <c r="B1644" s="407" t="s">
        <v>2009</v>
      </c>
      <c r="C1644" s="408" t="s">
        <v>25</v>
      </c>
      <c r="D1644" s="399">
        <v>200</v>
      </c>
      <c r="E1644" s="394"/>
      <c r="F1644" s="409">
        <v>16.239999999999998</v>
      </c>
      <c r="G1644" s="398"/>
      <c r="H1644" s="399">
        <f t="shared" si="395"/>
        <v>3247.9999999999995</v>
      </c>
      <c r="I1644" s="404">
        <f t="shared" si="393"/>
        <v>3247.9999999999995</v>
      </c>
    </row>
    <row r="1645" spans="1:9" customFormat="1">
      <c r="A1645" s="406" t="s">
        <v>2987</v>
      </c>
      <c r="B1645" s="407" t="s">
        <v>2010</v>
      </c>
      <c r="C1645" s="408" t="s">
        <v>25</v>
      </c>
      <c r="D1645" s="399">
        <v>40</v>
      </c>
      <c r="E1645" s="394"/>
      <c r="F1645" s="409">
        <v>23.14</v>
      </c>
      <c r="G1645" s="398"/>
      <c r="H1645" s="399">
        <f t="shared" si="395"/>
        <v>925.6</v>
      </c>
      <c r="I1645" s="404">
        <f t="shared" si="393"/>
        <v>925.6</v>
      </c>
    </row>
    <row r="1646" spans="1:9" customFormat="1">
      <c r="A1646" s="406" t="s">
        <v>2988</v>
      </c>
      <c r="B1646" s="407" t="s">
        <v>2011</v>
      </c>
      <c r="C1646" s="408" t="s">
        <v>25</v>
      </c>
      <c r="D1646" s="399">
        <v>100</v>
      </c>
      <c r="E1646" s="394"/>
      <c r="F1646" s="409">
        <v>13.51</v>
      </c>
      <c r="G1646" s="398"/>
      <c r="H1646" s="399">
        <f t="shared" si="395"/>
        <v>1351</v>
      </c>
      <c r="I1646" s="404">
        <f t="shared" si="393"/>
        <v>1351</v>
      </c>
    </row>
    <row r="1647" spans="1:9" customFormat="1">
      <c r="A1647" s="406" t="s">
        <v>2989</v>
      </c>
      <c r="B1647" s="407" t="s">
        <v>2012</v>
      </c>
      <c r="C1647" s="408" t="s">
        <v>20</v>
      </c>
      <c r="D1647" s="399">
        <v>3</v>
      </c>
      <c r="E1647" s="394"/>
      <c r="F1647" s="409">
        <v>3680.81</v>
      </c>
      <c r="G1647" s="398"/>
      <c r="H1647" s="399">
        <f t="shared" si="395"/>
        <v>11042.43</v>
      </c>
      <c r="I1647" s="404">
        <f t="shared" si="393"/>
        <v>11042.43</v>
      </c>
    </row>
    <row r="1648" spans="1:9" customFormat="1">
      <c r="A1648" s="406" t="s">
        <v>2990</v>
      </c>
      <c r="B1648" s="407" t="s">
        <v>2013</v>
      </c>
      <c r="C1648" s="408" t="s">
        <v>25</v>
      </c>
      <c r="D1648" s="399">
        <v>1800</v>
      </c>
      <c r="E1648" s="394"/>
      <c r="F1648" s="409">
        <v>17.84</v>
      </c>
      <c r="G1648" s="398"/>
      <c r="H1648" s="399">
        <f t="shared" si="395"/>
        <v>32112</v>
      </c>
      <c r="I1648" s="404">
        <f t="shared" si="393"/>
        <v>32112</v>
      </c>
    </row>
    <row r="1649" spans="1:9" customFormat="1">
      <c r="A1649" s="406" t="s">
        <v>2991</v>
      </c>
      <c r="B1649" s="407" t="s">
        <v>2014</v>
      </c>
      <c r="C1649" s="408" t="s">
        <v>125</v>
      </c>
      <c r="D1649" s="399">
        <v>20</v>
      </c>
      <c r="E1649" s="394"/>
      <c r="F1649" s="409">
        <v>300</v>
      </c>
      <c r="G1649" s="398"/>
      <c r="H1649" s="399">
        <f t="shared" si="395"/>
        <v>6000</v>
      </c>
      <c r="I1649" s="404">
        <f t="shared" si="393"/>
        <v>6000</v>
      </c>
    </row>
    <row r="1650" spans="1:9" customFormat="1">
      <c r="A1650" s="406" t="s">
        <v>2992</v>
      </c>
      <c r="B1650" s="407" t="s">
        <v>2015</v>
      </c>
      <c r="C1650" s="408" t="s">
        <v>20</v>
      </c>
      <c r="D1650" s="399">
        <v>1</v>
      </c>
      <c r="E1650" s="394"/>
      <c r="F1650" s="409">
        <v>1738.86</v>
      </c>
      <c r="G1650" s="398"/>
      <c r="H1650" s="399">
        <f t="shared" si="395"/>
        <v>1738.86</v>
      </c>
      <c r="I1650" s="404">
        <f t="shared" si="393"/>
        <v>1738.86</v>
      </c>
    </row>
    <row r="1651" spans="1:9" customFormat="1">
      <c r="A1651" s="410" t="s">
        <v>2993</v>
      </c>
      <c r="B1651" s="411" t="s">
        <v>2018</v>
      </c>
      <c r="C1651" s="412"/>
      <c r="D1651" s="393"/>
      <c r="E1651" s="413"/>
      <c r="F1651" s="413"/>
      <c r="G1651" s="413"/>
      <c r="H1651" s="413"/>
      <c r="I1651" s="414"/>
    </row>
    <row r="1652" spans="1:9" customFormat="1">
      <c r="A1652" s="406" t="s">
        <v>2994</v>
      </c>
      <c r="B1652" s="407" t="s">
        <v>2019</v>
      </c>
      <c r="C1652" s="408" t="s">
        <v>20</v>
      </c>
      <c r="D1652" s="399">
        <v>96</v>
      </c>
      <c r="E1652" s="394"/>
      <c r="F1652" s="399">
        <v>560</v>
      </c>
      <c r="G1652" s="398"/>
      <c r="H1652" s="399">
        <f>PRODUCT(F1652,D1652)</f>
        <v>53760</v>
      </c>
      <c r="I1652" s="398">
        <f t="shared" si="393"/>
        <v>53760</v>
      </c>
    </row>
    <row r="1653" spans="1:9" customFormat="1">
      <c r="A1653" s="406" t="s">
        <v>2995</v>
      </c>
      <c r="B1653" s="407" t="s">
        <v>2020</v>
      </c>
      <c r="C1653" s="408" t="s">
        <v>20</v>
      </c>
      <c r="D1653" s="399">
        <v>93</v>
      </c>
      <c r="E1653" s="394"/>
      <c r="F1653" s="399">
        <v>169.45</v>
      </c>
      <c r="G1653" s="398"/>
      <c r="H1653" s="399">
        <f t="shared" ref="H1653:H1696" si="396">PRODUCT(F1653,D1653)</f>
        <v>15758.849999999999</v>
      </c>
      <c r="I1653" s="398">
        <f t="shared" si="393"/>
        <v>15758.849999999999</v>
      </c>
    </row>
    <row r="1654" spans="1:9" customFormat="1">
      <c r="A1654" s="406" t="s">
        <v>2996</v>
      </c>
      <c r="B1654" s="407" t="s">
        <v>1987</v>
      </c>
      <c r="C1654" s="408" t="s">
        <v>20</v>
      </c>
      <c r="D1654" s="399">
        <v>1</v>
      </c>
      <c r="E1654" s="394"/>
      <c r="F1654" s="399">
        <v>7281.76</v>
      </c>
      <c r="G1654" s="398"/>
      <c r="H1654" s="399">
        <f t="shared" si="396"/>
        <v>7281.76</v>
      </c>
      <c r="I1654" s="398">
        <f t="shared" si="393"/>
        <v>7281.76</v>
      </c>
    </row>
    <row r="1655" spans="1:9" customFormat="1">
      <c r="A1655" s="406" t="s">
        <v>2997</v>
      </c>
      <c r="B1655" s="407" t="s">
        <v>1999</v>
      </c>
      <c r="C1655" s="408" t="s">
        <v>20</v>
      </c>
      <c r="D1655" s="399">
        <v>27</v>
      </c>
      <c r="E1655" s="394"/>
      <c r="F1655" s="399">
        <v>425.02</v>
      </c>
      <c r="G1655" s="398"/>
      <c r="H1655" s="399">
        <f t="shared" si="396"/>
        <v>11475.539999999999</v>
      </c>
      <c r="I1655" s="398">
        <f t="shared" si="393"/>
        <v>11475.539999999999</v>
      </c>
    </row>
    <row r="1656" spans="1:9" customFormat="1">
      <c r="A1656" s="406" t="s">
        <v>2998</v>
      </c>
      <c r="B1656" s="407" t="s">
        <v>2021</v>
      </c>
      <c r="C1656" s="408" t="s">
        <v>20</v>
      </c>
      <c r="D1656" s="399">
        <v>10</v>
      </c>
      <c r="E1656" s="394"/>
      <c r="F1656" s="399">
        <v>796.74</v>
      </c>
      <c r="G1656" s="398"/>
      <c r="H1656" s="399">
        <f t="shared" si="396"/>
        <v>7967.4</v>
      </c>
      <c r="I1656" s="398">
        <f t="shared" si="393"/>
        <v>7967.4</v>
      </c>
    </row>
    <row r="1657" spans="1:9" customFormat="1">
      <c r="A1657" s="406" t="s">
        <v>2999</v>
      </c>
      <c r="B1657" s="407" t="s">
        <v>2022</v>
      </c>
      <c r="C1657" s="408" t="s">
        <v>20</v>
      </c>
      <c r="D1657" s="399">
        <v>104</v>
      </c>
      <c r="E1657" s="394"/>
      <c r="F1657" s="399">
        <v>2222.69</v>
      </c>
      <c r="G1657" s="398"/>
      <c r="H1657" s="399">
        <f t="shared" si="396"/>
        <v>231159.76</v>
      </c>
      <c r="I1657" s="398">
        <f t="shared" si="393"/>
        <v>231159.76</v>
      </c>
    </row>
    <row r="1658" spans="1:9" customFormat="1">
      <c r="A1658" s="406" t="s">
        <v>3000</v>
      </c>
      <c r="B1658" s="407" t="s">
        <v>2005</v>
      </c>
      <c r="C1658" s="408" t="s">
        <v>20</v>
      </c>
      <c r="D1658" s="399">
        <v>1</v>
      </c>
      <c r="E1658" s="394"/>
      <c r="F1658" s="399">
        <v>11134.5</v>
      </c>
      <c r="G1658" s="398"/>
      <c r="H1658" s="399">
        <f t="shared" si="396"/>
        <v>11134.5</v>
      </c>
      <c r="I1658" s="398">
        <f t="shared" si="393"/>
        <v>11134.5</v>
      </c>
    </row>
    <row r="1659" spans="1:9" customFormat="1">
      <c r="A1659" s="406" t="s">
        <v>3001</v>
      </c>
      <c r="B1659" s="407" t="s">
        <v>2023</v>
      </c>
      <c r="C1659" s="408" t="s">
        <v>20</v>
      </c>
      <c r="D1659" s="399">
        <v>1</v>
      </c>
      <c r="E1659" s="394"/>
      <c r="F1659" s="399">
        <v>750</v>
      </c>
      <c r="G1659" s="398"/>
      <c r="H1659" s="399">
        <f t="shared" si="396"/>
        <v>750</v>
      </c>
      <c r="I1659" s="398">
        <f t="shared" si="393"/>
        <v>750</v>
      </c>
    </row>
    <row r="1660" spans="1:9" customFormat="1">
      <c r="A1660" s="406" t="s">
        <v>3002</v>
      </c>
      <c r="B1660" s="407" t="s">
        <v>2024</v>
      </c>
      <c r="C1660" s="408" t="s">
        <v>20</v>
      </c>
      <c r="D1660" s="399">
        <v>1</v>
      </c>
      <c r="E1660" s="394"/>
      <c r="F1660" s="399">
        <v>1738.86</v>
      </c>
      <c r="G1660" s="398"/>
      <c r="H1660" s="399">
        <f t="shared" si="396"/>
        <v>1738.86</v>
      </c>
      <c r="I1660" s="398">
        <f t="shared" si="393"/>
        <v>1738.86</v>
      </c>
    </row>
    <row r="1661" spans="1:9" customFormat="1">
      <c r="A1661" s="406" t="s">
        <v>3003</v>
      </c>
      <c r="B1661" s="407" t="s">
        <v>2025</v>
      </c>
      <c r="C1661" s="408" t="s">
        <v>20</v>
      </c>
      <c r="D1661" s="399">
        <v>2</v>
      </c>
      <c r="E1661" s="394"/>
      <c r="F1661" s="399">
        <v>26000</v>
      </c>
      <c r="G1661" s="398"/>
      <c r="H1661" s="399">
        <f t="shared" si="396"/>
        <v>52000</v>
      </c>
      <c r="I1661" s="398">
        <f t="shared" si="393"/>
        <v>52000</v>
      </c>
    </row>
    <row r="1662" spans="1:9" customFormat="1">
      <c r="A1662" s="406" t="s">
        <v>3004</v>
      </c>
      <c r="B1662" s="407" t="s">
        <v>2026</v>
      </c>
      <c r="C1662" s="408" t="s">
        <v>20</v>
      </c>
      <c r="D1662" s="399">
        <v>2</v>
      </c>
      <c r="E1662" s="394"/>
      <c r="F1662" s="399">
        <v>26000</v>
      </c>
      <c r="G1662" s="398"/>
      <c r="H1662" s="399">
        <f t="shared" si="396"/>
        <v>52000</v>
      </c>
      <c r="I1662" s="398">
        <f t="shared" si="393"/>
        <v>52000</v>
      </c>
    </row>
    <row r="1663" spans="1:9" customFormat="1">
      <c r="A1663" s="406" t="s">
        <v>3005</v>
      </c>
      <c r="B1663" s="407" t="s">
        <v>2027</v>
      </c>
      <c r="C1663" s="408" t="s">
        <v>20</v>
      </c>
      <c r="D1663" s="399">
        <v>3</v>
      </c>
      <c r="E1663" s="394"/>
      <c r="F1663" s="399">
        <v>26000</v>
      </c>
      <c r="G1663" s="398"/>
      <c r="H1663" s="399">
        <f t="shared" si="396"/>
        <v>78000</v>
      </c>
      <c r="I1663" s="398">
        <f t="shared" si="393"/>
        <v>78000</v>
      </c>
    </row>
    <row r="1664" spans="1:9" customFormat="1">
      <c r="A1664" s="406" t="s">
        <v>3006</v>
      </c>
      <c r="B1664" s="407" t="s">
        <v>2028</v>
      </c>
      <c r="C1664" s="408" t="s">
        <v>20</v>
      </c>
      <c r="D1664" s="399">
        <v>1</v>
      </c>
      <c r="E1664" s="394"/>
      <c r="F1664" s="399">
        <v>27000</v>
      </c>
      <c r="G1664" s="398"/>
      <c r="H1664" s="399">
        <f t="shared" si="396"/>
        <v>27000</v>
      </c>
      <c r="I1664" s="398">
        <f t="shared" si="393"/>
        <v>27000</v>
      </c>
    </row>
    <row r="1665" spans="1:9" customFormat="1">
      <c r="A1665" s="406" t="s">
        <v>3007</v>
      </c>
      <c r="B1665" s="407" t="s">
        <v>2029</v>
      </c>
      <c r="C1665" s="408" t="s">
        <v>20</v>
      </c>
      <c r="D1665" s="399">
        <v>2</v>
      </c>
      <c r="E1665" s="394"/>
      <c r="F1665" s="399">
        <v>871.99</v>
      </c>
      <c r="G1665" s="398"/>
      <c r="H1665" s="399">
        <f t="shared" si="396"/>
        <v>1743.98</v>
      </c>
      <c r="I1665" s="398">
        <f t="shared" si="393"/>
        <v>1743.98</v>
      </c>
    </row>
    <row r="1666" spans="1:9" customFormat="1">
      <c r="A1666" s="406" t="s">
        <v>3008</v>
      </c>
      <c r="B1666" s="407" t="s">
        <v>2030</v>
      </c>
      <c r="C1666" s="408" t="s">
        <v>20</v>
      </c>
      <c r="D1666" s="399">
        <v>1</v>
      </c>
      <c r="E1666" s="394"/>
      <c r="F1666" s="399">
        <v>7000</v>
      </c>
      <c r="G1666" s="398"/>
      <c r="H1666" s="399">
        <f t="shared" si="396"/>
        <v>7000</v>
      </c>
      <c r="I1666" s="398">
        <f t="shared" si="393"/>
        <v>7000</v>
      </c>
    </row>
    <row r="1667" spans="1:9" customFormat="1">
      <c r="A1667" s="406" t="s">
        <v>3009</v>
      </c>
      <c r="B1667" s="407" t="s">
        <v>2031</v>
      </c>
      <c r="C1667" s="408" t="s">
        <v>20</v>
      </c>
      <c r="D1667" s="399">
        <v>92</v>
      </c>
      <c r="E1667" s="394"/>
      <c r="F1667" s="399">
        <v>3000</v>
      </c>
      <c r="G1667" s="398"/>
      <c r="H1667" s="399">
        <f t="shared" si="396"/>
        <v>276000</v>
      </c>
      <c r="I1667" s="398">
        <f t="shared" si="393"/>
        <v>276000</v>
      </c>
    </row>
    <row r="1668" spans="1:9" customFormat="1">
      <c r="A1668" s="406" t="s">
        <v>3010</v>
      </c>
      <c r="B1668" s="407" t="s">
        <v>2032</v>
      </c>
      <c r="C1668" s="408" t="s">
        <v>20</v>
      </c>
      <c r="D1668" s="399">
        <v>23</v>
      </c>
      <c r="E1668" s="394"/>
      <c r="F1668" s="399">
        <v>19.93</v>
      </c>
      <c r="G1668" s="398"/>
      <c r="H1668" s="399">
        <f t="shared" si="396"/>
        <v>458.39</v>
      </c>
      <c r="I1668" s="398">
        <f t="shared" si="393"/>
        <v>458.39</v>
      </c>
    </row>
    <row r="1669" spans="1:9" customFormat="1">
      <c r="A1669" s="406" t="s">
        <v>3011</v>
      </c>
      <c r="B1669" s="407" t="s">
        <v>2033</v>
      </c>
      <c r="C1669" s="408" t="s">
        <v>25</v>
      </c>
      <c r="D1669" s="399">
        <v>520</v>
      </c>
      <c r="E1669" s="394"/>
      <c r="F1669" s="399">
        <v>12.51</v>
      </c>
      <c r="G1669" s="398"/>
      <c r="H1669" s="399">
        <f t="shared" si="396"/>
        <v>6505.2</v>
      </c>
      <c r="I1669" s="398">
        <f t="shared" ref="I1669:I1697" si="397">SUM(G1669:H1669)</f>
        <v>6505.2</v>
      </c>
    </row>
    <row r="1670" spans="1:9" customFormat="1">
      <c r="A1670" s="406" t="s">
        <v>3012</v>
      </c>
      <c r="B1670" s="407" t="s">
        <v>2034</v>
      </c>
      <c r="C1670" s="408" t="s">
        <v>125</v>
      </c>
      <c r="D1670" s="399">
        <v>30</v>
      </c>
      <c r="E1670" s="394"/>
      <c r="F1670" s="399">
        <v>300</v>
      </c>
      <c r="G1670" s="398"/>
      <c r="H1670" s="399">
        <f t="shared" si="396"/>
        <v>9000</v>
      </c>
      <c r="I1670" s="398">
        <f t="shared" si="397"/>
        <v>9000</v>
      </c>
    </row>
    <row r="1671" spans="1:9" customFormat="1">
      <c r="A1671" s="406" t="s">
        <v>3013</v>
      </c>
      <c r="B1671" s="407" t="s">
        <v>2035</v>
      </c>
      <c r="C1671" s="408" t="s">
        <v>25</v>
      </c>
      <c r="D1671" s="399">
        <v>572</v>
      </c>
      <c r="E1671" s="394"/>
      <c r="F1671" s="415">
        <v>90.36</v>
      </c>
      <c r="G1671" s="398"/>
      <c r="H1671" s="399">
        <f t="shared" si="396"/>
        <v>51685.919999999998</v>
      </c>
      <c r="I1671" s="398">
        <f t="shared" si="397"/>
        <v>51685.919999999998</v>
      </c>
    </row>
    <row r="1672" spans="1:9" customFormat="1">
      <c r="A1672" s="406" t="s">
        <v>3014</v>
      </c>
      <c r="B1672" s="407" t="s">
        <v>2007</v>
      </c>
      <c r="C1672" s="408" t="s">
        <v>25</v>
      </c>
      <c r="D1672" s="399">
        <v>2060</v>
      </c>
      <c r="E1672" s="394"/>
      <c r="F1672" s="399">
        <v>10</v>
      </c>
      <c r="G1672" s="398"/>
      <c r="H1672" s="399">
        <f t="shared" si="396"/>
        <v>20600</v>
      </c>
      <c r="I1672" s="398">
        <f t="shared" si="397"/>
        <v>20600</v>
      </c>
    </row>
    <row r="1673" spans="1:9" customFormat="1">
      <c r="A1673" s="406" t="s">
        <v>3015</v>
      </c>
      <c r="B1673" s="407" t="s">
        <v>2036</v>
      </c>
      <c r="C1673" s="408" t="s">
        <v>25</v>
      </c>
      <c r="D1673" s="399">
        <v>248</v>
      </c>
      <c r="E1673" s="394"/>
      <c r="F1673" s="399">
        <v>11.56</v>
      </c>
      <c r="G1673" s="398"/>
      <c r="H1673" s="399">
        <f t="shared" si="396"/>
        <v>2866.88</v>
      </c>
      <c r="I1673" s="398">
        <f t="shared" si="397"/>
        <v>2866.88</v>
      </c>
    </row>
    <row r="1674" spans="1:9" customFormat="1">
      <c r="A1674" s="406" t="s">
        <v>3016</v>
      </c>
      <c r="B1674" s="407" t="s">
        <v>2009</v>
      </c>
      <c r="C1674" s="408" t="s">
        <v>25</v>
      </c>
      <c r="D1674" s="399">
        <v>7</v>
      </c>
      <c r="E1674" s="394"/>
      <c r="F1674" s="399">
        <v>16.239999999999998</v>
      </c>
      <c r="G1674" s="398"/>
      <c r="H1674" s="399">
        <f t="shared" si="396"/>
        <v>113.67999999999999</v>
      </c>
      <c r="I1674" s="398">
        <f t="shared" si="397"/>
        <v>113.67999999999999</v>
      </c>
    </row>
    <row r="1675" spans="1:9" customFormat="1">
      <c r="A1675" s="406" t="s">
        <v>3017</v>
      </c>
      <c r="B1675" s="407" t="s">
        <v>2037</v>
      </c>
      <c r="C1675" s="408" t="s">
        <v>25</v>
      </c>
      <c r="D1675" s="399">
        <v>343</v>
      </c>
      <c r="E1675" s="394"/>
      <c r="F1675" s="399">
        <v>16.52</v>
      </c>
      <c r="G1675" s="398"/>
      <c r="H1675" s="399">
        <f t="shared" si="396"/>
        <v>5666.36</v>
      </c>
      <c r="I1675" s="398">
        <f t="shared" si="397"/>
        <v>5666.36</v>
      </c>
    </row>
    <row r="1676" spans="1:9" customFormat="1">
      <c r="A1676" s="406" t="s">
        <v>3018</v>
      </c>
      <c r="B1676" s="407" t="s">
        <v>2038</v>
      </c>
      <c r="C1676" s="408" t="s">
        <v>25</v>
      </c>
      <c r="D1676" s="399">
        <v>191</v>
      </c>
      <c r="E1676" s="394"/>
      <c r="F1676" s="399">
        <v>9.73</v>
      </c>
      <c r="G1676" s="398"/>
      <c r="H1676" s="399">
        <f t="shared" si="396"/>
        <v>1858.43</v>
      </c>
      <c r="I1676" s="398">
        <f t="shared" si="397"/>
        <v>1858.43</v>
      </c>
    </row>
    <row r="1677" spans="1:9" customFormat="1">
      <c r="A1677" s="406" t="s">
        <v>3019</v>
      </c>
      <c r="B1677" s="407" t="s">
        <v>2039</v>
      </c>
      <c r="C1677" s="408" t="s">
        <v>25</v>
      </c>
      <c r="D1677" s="399">
        <v>160</v>
      </c>
      <c r="E1677" s="394"/>
      <c r="F1677" s="399">
        <v>16.2</v>
      </c>
      <c r="G1677" s="398"/>
      <c r="H1677" s="399">
        <f t="shared" si="396"/>
        <v>2592</v>
      </c>
      <c r="I1677" s="398">
        <f t="shared" si="397"/>
        <v>2592</v>
      </c>
    </row>
    <row r="1678" spans="1:9" customFormat="1">
      <c r="A1678" s="406" t="s">
        <v>3020</v>
      </c>
      <c r="B1678" s="407" t="s">
        <v>2040</v>
      </c>
      <c r="C1678" s="408" t="s">
        <v>25</v>
      </c>
      <c r="D1678" s="399">
        <v>2000</v>
      </c>
      <c r="E1678" s="394"/>
      <c r="F1678" s="399">
        <v>10.86</v>
      </c>
      <c r="G1678" s="398"/>
      <c r="H1678" s="399">
        <f t="shared" si="396"/>
        <v>21720</v>
      </c>
      <c r="I1678" s="398">
        <f t="shared" si="397"/>
        <v>21720</v>
      </c>
    </row>
    <row r="1679" spans="1:9" customFormat="1">
      <c r="A1679" s="406" t="s">
        <v>3021</v>
      </c>
      <c r="B1679" s="407" t="s">
        <v>2011</v>
      </c>
      <c r="C1679" s="408" t="s">
        <v>25</v>
      </c>
      <c r="D1679" s="399">
        <v>103</v>
      </c>
      <c r="E1679" s="394"/>
      <c r="F1679" s="399">
        <v>13.51</v>
      </c>
      <c r="G1679" s="398"/>
      <c r="H1679" s="399">
        <f t="shared" si="396"/>
        <v>1391.53</v>
      </c>
      <c r="I1679" s="398">
        <f t="shared" si="397"/>
        <v>1391.53</v>
      </c>
    </row>
    <row r="1680" spans="1:9" customFormat="1">
      <c r="A1680" s="406" t="s">
        <v>3022</v>
      </c>
      <c r="B1680" s="407" t="s">
        <v>2041</v>
      </c>
      <c r="C1680" s="408" t="s">
        <v>25</v>
      </c>
      <c r="D1680" s="399">
        <v>20</v>
      </c>
      <c r="E1680" s="394"/>
      <c r="F1680" s="399">
        <v>18.149999999999999</v>
      </c>
      <c r="G1680" s="398"/>
      <c r="H1680" s="399">
        <f t="shared" si="396"/>
        <v>363</v>
      </c>
      <c r="I1680" s="398">
        <f t="shared" si="397"/>
        <v>363</v>
      </c>
    </row>
    <row r="1681" spans="1:9" customFormat="1">
      <c r="A1681" s="406" t="s">
        <v>3023</v>
      </c>
      <c r="B1681" s="407" t="s">
        <v>2042</v>
      </c>
      <c r="C1681" s="408" t="s">
        <v>25</v>
      </c>
      <c r="D1681" s="399">
        <v>25</v>
      </c>
      <c r="E1681" s="394"/>
      <c r="F1681" s="399">
        <v>60</v>
      </c>
      <c r="G1681" s="398"/>
      <c r="H1681" s="399">
        <f t="shared" si="396"/>
        <v>1500</v>
      </c>
      <c r="I1681" s="398">
        <f t="shared" si="397"/>
        <v>1500</v>
      </c>
    </row>
    <row r="1682" spans="1:9" customFormat="1">
      <c r="A1682" s="416" t="s">
        <v>3024</v>
      </c>
      <c r="B1682" s="411" t="s">
        <v>2044</v>
      </c>
      <c r="C1682" s="412"/>
      <c r="D1682" s="417"/>
      <c r="E1682" s="413"/>
      <c r="F1682" s="413"/>
      <c r="G1682" s="413"/>
      <c r="H1682" s="413"/>
      <c r="I1682" s="413"/>
    </row>
    <row r="1683" spans="1:9" customFormat="1">
      <c r="A1683" s="418" t="s">
        <v>3025</v>
      </c>
      <c r="B1683" s="419" t="s">
        <v>2045</v>
      </c>
      <c r="C1683" s="408" t="s">
        <v>20</v>
      </c>
      <c r="D1683" s="399">
        <v>1</v>
      </c>
      <c r="E1683" s="394"/>
      <c r="F1683" s="409">
        <v>518.77</v>
      </c>
      <c r="G1683" s="398"/>
      <c r="H1683" s="399">
        <f t="shared" si="396"/>
        <v>518.77</v>
      </c>
      <c r="I1683" s="426">
        <f t="shared" si="397"/>
        <v>518.77</v>
      </c>
    </row>
    <row r="1684" spans="1:9" customFormat="1">
      <c r="A1684" s="418" t="s">
        <v>3026</v>
      </c>
      <c r="B1684" s="419" t="s">
        <v>2046</v>
      </c>
      <c r="C1684" s="408" t="s">
        <v>20</v>
      </c>
      <c r="D1684" s="399">
        <v>1</v>
      </c>
      <c r="E1684" s="394"/>
      <c r="F1684" s="409">
        <v>150</v>
      </c>
      <c r="G1684" s="398"/>
      <c r="H1684" s="399">
        <f t="shared" si="396"/>
        <v>150</v>
      </c>
      <c r="I1684" s="426">
        <f t="shared" si="397"/>
        <v>150</v>
      </c>
    </row>
    <row r="1685" spans="1:9" customFormat="1">
      <c r="A1685" s="418" t="s">
        <v>3027</v>
      </c>
      <c r="B1685" s="419" t="s">
        <v>2047</v>
      </c>
      <c r="C1685" s="408" t="s">
        <v>20</v>
      </c>
      <c r="D1685" s="399">
        <v>3</v>
      </c>
      <c r="E1685" s="394"/>
      <c r="F1685" s="409">
        <v>13140</v>
      </c>
      <c r="G1685" s="398"/>
      <c r="H1685" s="399">
        <f t="shared" si="396"/>
        <v>39420</v>
      </c>
      <c r="I1685" s="426">
        <f t="shared" si="397"/>
        <v>39420</v>
      </c>
    </row>
    <row r="1686" spans="1:9" customFormat="1">
      <c r="A1686" s="418" t="s">
        <v>3028</v>
      </c>
      <c r="B1686" s="419" t="s">
        <v>2048</v>
      </c>
      <c r="C1686" s="408" t="s">
        <v>25</v>
      </c>
      <c r="D1686" s="399">
        <v>50</v>
      </c>
      <c r="E1686" s="394"/>
      <c r="F1686" s="409">
        <v>46.8</v>
      </c>
      <c r="G1686" s="398"/>
      <c r="H1686" s="399">
        <f t="shared" si="396"/>
        <v>2340</v>
      </c>
      <c r="I1686" s="426">
        <f t="shared" si="397"/>
        <v>2340</v>
      </c>
    </row>
    <row r="1687" spans="1:9" customFormat="1">
      <c r="A1687" s="418" t="s">
        <v>3029</v>
      </c>
      <c r="B1687" s="419" t="s">
        <v>2049</v>
      </c>
      <c r="C1687" s="408" t="s">
        <v>20</v>
      </c>
      <c r="D1687" s="399">
        <v>4</v>
      </c>
      <c r="E1687" s="394"/>
      <c r="F1687" s="409">
        <v>87</v>
      </c>
      <c r="G1687" s="398"/>
      <c r="H1687" s="399">
        <f t="shared" si="396"/>
        <v>348</v>
      </c>
      <c r="I1687" s="426">
        <f t="shared" si="397"/>
        <v>348</v>
      </c>
    </row>
    <row r="1688" spans="1:9" customFormat="1">
      <c r="A1688" s="418" t="s">
        <v>3030</v>
      </c>
      <c r="B1688" s="419" t="s">
        <v>2050</v>
      </c>
      <c r="C1688" s="408" t="s">
        <v>25</v>
      </c>
      <c r="D1688" s="399">
        <v>50</v>
      </c>
      <c r="E1688" s="394"/>
      <c r="F1688" s="409">
        <v>12</v>
      </c>
      <c r="G1688" s="398"/>
      <c r="H1688" s="399">
        <f t="shared" si="396"/>
        <v>600</v>
      </c>
      <c r="I1688" s="426">
        <f t="shared" si="397"/>
        <v>600</v>
      </c>
    </row>
    <row r="1689" spans="1:9" customFormat="1">
      <c r="A1689" s="418" t="s">
        <v>3031</v>
      </c>
      <c r="B1689" s="419" t="s">
        <v>2051</v>
      </c>
      <c r="C1689" s="408" t="s">
        <v>25</v>
      </c>
      <c r="D1689" s="399">
        <v>50</v>
      </c>
      <c r="E1689" s="394"/>
      <c r="F1689" s="409">
        <v>43.6</v>
      </c>
      <c r="G1689" s="398"/>
      <c r="H1689" s="399">
        <f t="shared" si="396"/>
        <v>2180</v>
      </c>
      <c r="I1689" s="426">
        <f t="shared" si="397"/>
        <v>2180</v>
      </c>
    </row>
    <row r="1690" spans="1:9" customFormat="1">
      <c r="A1690" s="418" t="s">
        <v>3032</v>
      </c>
      <c r="B1690" s="419" t="s">
        <v>2052</v>
      </c>
      <c r="C1690" s="408" t="s">
        <v>25</v>
      </c>
      <c r="D1690" s="399">
        <v>50</v>
      </c>
      <c r="E1690" s="394"/>
      <c r="F1690" s="409">
        <v>20</v>
      </c>
      <c r="G1690" s="398"/>
      <c r="H1690" s="399">
        <f t="shared" si="396"/>
        <v>1000</v>
      </c>
      <c r="I1690" s="426">
        <f t="shared" si="397"/>
        <v>1000</v>
      </c>
    </row>
    <row r="1691" spans="1:9" customFormat="1">
      <c r="A1691" s="418" t="s">
        <v>3033</v>
      </c>
      <c r="B1691" s="419" t="s">
        <v>2053</v>
      </c>
      <c r="C1691" s="408" t="s">
        <v>25</v>
      </c>
      <c r="D1691" s="399">
        <v>50</v>
      </c>
      <c r="E1691" s="394"/>
      <c r="F1691" s="409">
        <v>9.6</v>
      </c>
      <c r="G1691" s="398"/>
      <c r="H1691" s="399">
        <f t="shared" si="396"/>
        <v>480</v>
      </c>
      <c r="I1691" s="426">
        <f t="shared" si="397"/>
        <v>480</v>
      </c>
    </row>
    <row r="1692" spans="1:9" customFormat="1">
      <c r="A1692" s="418" t="s">
        <v>3034</v>
      </c>
      <c r="B1692" s="419" t="s">
        <v>2054</v>
      </c>
      <c r="C1692" s="408" t="s">
        <v>2055</v>
      </c>
      <c r="D1692" s="399">
        <v>2</v>
      </c>
      <c r="E1692" s="394"/>
      <c r="F1692" s="409">
        <v>120</v>
      </c>
      <c r="G1692" s="398"/>
      <c r="H1692" s="399">
        <f t="shared" si="396"/>
        <v>240</v>
      </c>
      <c r="I1692" s="426">
        <f t="shared" si="397"/>
        <v>240</v>
      </c>
    </row>
    <row r="1693" spans="1:9" customFormat="1">
      <c r="A1693" s="418" t="s">
        <v>3035</v>
      </c>
      <c r="B1693" s="419" t="s">
        <v>2056</v>
      </c>
      <c r="C1693" s="408" t="s">
        <v>20</v>
      </c>
      <c r="D1693" s="399">
        <v>1</v>
      </c>
      <c r="E1693" s="394"/>
      <c r="F1693" s="409">
        <v>3840</v>
      </c>
      <c r="G1693" s="398"/>
      <c r="H1693" s="399">
        <f t="shared" si="396"/>
        <v>3840</v>
      </c>
      <c r="I1693" s="426">
        <f t="shared" si="397"/>
        <v>3840</v>
      </c>
    </row>
    <row r="1694" spans="1:9" customFormat="1">
      <c r="A1694" s="418" t="s">
        <v>3036</v>
      </c>
      <c r="B1694" s="419" t="s">
        <v>2057</v>
      </c>
      <c r="C1694" s="408" t="s">
        <v>20</v>
      </c>
      <c r="D1694" s="399">
        <v>1</v>
      </c>
      <c r="E1694" s="394"/>
      <c r="F1694" s="409">
        <v>3348</v>
      </c>
      <c r="G1694" s="398"/>
      <c r="H1694" s="399">
        <f t="shared" si="396"/>
        <v>3348</v>
      </c>
      <c r="I1694" s="426">
        <f t="shared" si="397"/>
        <v>3348</v>
      </c>
    </row>
    <row r="1695" spans="1:9" customFormat="1">
      <c r="A1695" s="418" t="s">
        <v>3037</v>
      </c>
      <c r="B1695" s="419" t="s">
        <v>2058</v>
      </c>
      <c r="C1695" s="408" t="s">
        <v>20</v>
      </c>
      <c r="D1695" s="420">
        <v>3</v>
      </c>
      <c r="E1695" s="394"/>
      <c r="F1695" s="409">
        <v>10200</v>
      </c>
      <c r="G1695" s="398"/>
      <c r="H1695" s="399">
        <f t="shared" si="396"/>
        <v>30600</v>
      </c>
      <c r="I1695" s="426">
        <f t="shared" si="397"/>
        <v>30600</v>
      </c>
    </row>
    <row r="1696" spans="1:9" customFormat="1">
      <c r="A1696" s="418" t="s">
        <v>3038</v>
      </c>
      <c r="B1696" s="419" t="s">
        <v>2059</v>
      </c>
      <c r="C1696" s="408" t="s">
        <v>20</v>
      </c>
      <c r="D1696" s="420">
        <v>3</v>
      </c>
      <c r="E1696" s="394"/>
      <c r="F1696" s="409">
        <v>4080</v>
      </c>
      <c r="G1696" s="398"/>
      <c r="H1696" s="399">
        <f t="shared" si="396"/>
        <v>12240</v>
      </c>
      <c r="I1696" s="426">
        <f t="shared" si="397"/>
        <v>12240</v>
      </c>
    </row>
    <row r="1697" spans="1:9" customFormat="1">
      <c r="A1697" s="416" t="s">
        <v>3039</v>
      </c>
      <c r="B1697" s="411" t="s">
        <v>3040</v>
      </c>
      <c r="C1697" s="412" t="s">
        <v>1438</v>
      </c>
      <c r="D1697" s="417">
        <v>1</v>
      </c>
      <c r="E1697" s="413">
        <v>3061936.3</v>
      </c>
      <c r="F1697" s="413"/>
      <c r="G1697" s="413">
        <f>PRODUCT(D1697:E1697)</f>
        <v>3061936.3</v>
      </c>
      <c r="H1697" s="413"/>
      <c r="I1697" s="413">
        <f t="shared" si="397"/>
        <v>3061936.3</v>
      </c>
    </row>
    <row r="1698" spans="1:9" customFormat="1">
      <c r="A1698" s="27"/>
      <c r="B1698" s="427" t="s">
        <v>2085</v>
      </c>
      <c r="C1698" s="533" t="s">
        <v>3041</v>
      </c>
      <c r="D1698" s="534"/>
      <c r="E1698" s="534"/>
      <c r="F1698" s="535"/>
      <c r="G1698" s="32">
        <f>SUM(G1540:G1697)</f>
        <v>3061936.3</v>
      </c>
      <c r="H1698" s="32">
        <f t="shared" ref="H1698:I1698" si="398">SUM(H1540:H1697)</f>
        <v>9891839.0699999966</v>
      </c>
      <c r="I1698" s="32">
        <f t="shared" si="398"/>
        <v>12953775.369999997</v>
      </c>
    </row>
    <row r="1699" spans="1:9" customFormat="1">
      <c r="A1699" s="27"/>
      <c r="B1699" s="427" t="s">
        <v>2088</v>
      </c>
      <c r="C1699" s="530"/>
      <c r="D1699" s="531"/>
      <c r="E1699" s="531"/>
      <c r="F1699" s="532"/>
      <c r="G1699" s="32">
        <f>PRODUCT(G1698,1/1.2,0.2)</f>
        <v>510322.71666666673</v>
      </c>
      <c r="H1699" s="32">
        <f>PRODUCT(H1698,1/1.2,0.2)</f>
        <v>1648639.8449999997</v>
      </c>
      <c r="I1699" s="32">
        <f>PRODUCT(I1698,1/1.2,0.2)</f>
        <v>2158962.5616666665</v>
      </c>
    </row>
    <row r="1700" spans="1:9" customFormat="1">
      <c r="A1700" s="418"/>
      <c r="B1700" s="419"/>
      <c r="C1700" s="408"/>
      <c r="D1700" s="420"/>
      <c r="E1700" s="394"/>
      <c r="F1700" s="409"/>
      <c r="G1700" s="398"/>
      <c r="H1700" s="399"/>
      <c r="I1700" s="426"/>
    </row>
    <row r="1701" spans="1:9" customFormat="1">
      <c r="A1701" s="207"/>
      <c r="B1701" s="208" t="s">
        <v>3047</v>
      </c>
      <c r="C1701" s="209"/>
      <c r="D1701" s="210"/>
      <c r="E1701" s="31"/>
      <c r="F1701" s="211"/>
      <c r="G1701" s="212"/>
      <c r="H1701" s="212"/>
      <c r="I1701" s="212"/>
    </row>
    <row r="1702" spans="1:9">
      <c r="A1702" s="33" t="s">
        <v>2060</v>
      </c>
      <c r="B1702" s="40" t="s">
        <v>3049</v>
      </c>
      <c r="C1702" s="41" t="s">
        <v>20</v>
      </c>
      <c r="D1702" s="421">
        <v>0.42</v>
      </c>
      <c r="E1702" s="37"/>
      <c r="F1702" s="37">
        <v>6000000</v>
      </c>
      <c r="G1702" s="422"/>
      <c r="H1702" s="422">
        <f t="shared" ref="H1702:H1710" si="399">D1702*F1702</f>
        <v>2520000</v>
      </c>
      <c r="I1702" s="422">
        <f t="shared" ref="I1702:I1719" si="400">G1702+H1702</f>
        <v>2520000</v>
      </c>
    </row>
    <row r="1703" spans="1:9">
      <c r="A1703" s="33" t="s">
        <v>2066</v>
      </c>
      <c r="B1703" s="40" t="s">
        <v>3048</v>
      </c>
      <c r="C1703" s="41" t="s">
        <v>20</v>
      </c>
      <c r="D1703" s="421">
        <v>0.42</v>
      </c>
      <c r="E1703" s="37">
        <v>64000</v>
      </c>
      <c r="F1703" s="37"/>
      <c r="G1703" s="422">
        <f t="shared" ref="G1703" si="401">D1703*E1703</f>
        <v>26880</v>
      </c>
      <c r="H1703" s="422"/>
      <c r="I1703" s="422">
        <f t="shared" si="400"/>
        <v>26880</v>
      </c>
    </row>
    <row r="1704" spans="1:9">
      <c r="A1704" s="33" t="s">
        <v>2070</v>
      </c>
      <c r="B1704" s="56" t="s">
        <v>2061</v>
      </c>
      <c r="C1704" s="41" t="s">
        <v>20</v>
      </c>
      <c r="D1704" s="421">
        <v>1</v>
      </c>
      <c r="E1704" s="37"/>
      <c r="F1704" s="37">
        <v>45000</v>
      </c>
      <c r="G1704" s="422"/>
      <c r="H1704" s="422">
        <f>D1704*F1704</f>
        <v>45000</v>
      </c>
      <c r="I1704" s="422">
        <f t="shared" si="400"/>
        <v>45000</v>
      </c>
    </row>
    <row r="1705" spans="1:9">
      <c r="A1705" s="33" t="s">
        <v>3052</v>
      </c>
      <c r="B1705" s="56" t="s">
        <v>3051</v>
      </c>
      <c r="C1705" s="41" t="s">
        <v>1190</v>
      </c>
      <c r="D1705" s="421">
        <f>SUM(D1706:D1707)</f>
        <v>60</v>
      </c>
      <c r="E1705" s="37">
        <v>555</v>
      </c>
      <c r="F1705" s="37"/>
      <c r="G1705" s="422">
        <f t="shared" ref="G1705" si="402">D1705*E1705</f>
        <v>33300</v>
      </c>
      <c r="H1705" s="422"/>
      <c r="I1705" s="422">
        <f t="shared" si="400"/>
        <v>33300</v>
      </c>
    </row>
    <row r="1706" spans="1:9">
      <c r="A1706" s="33" t="s">
        <v>3055</v>
      </c>
      <c r="B1706" s="56" t="s">
        <v>2062</v>
      </c>
      <c r="C1706" s="41" t="s">
        <v>1190</v>
      </c>
      <c r="D1706" s="421">
        <v>15</v>
      </c>
      <c r="E1706" s="37"/>
      <c r="F1706" s="37">
        <v>1100</v>
      </c>
      <c r="G1706" s="422"/>
      <c r="H1706" s="422">
        <f t="shared" si="399"/>
        <v>16500</v>
      </c>
      <c r="I1706" s="422">
        <f t="shared" si="400"/>
        <v>16500</v>
      </c>
    </row>
    <row r="1707" spans="1:9">
      <c r="A1707" s="33" t="s">
        <v>3054</v>
      </c>
      <c r="B1707" s="56" t="s">
        <v>2063</v>
      </c>
      <c r="C1707" s="41" t="s">
        <v>1190</v>
      </c>
      <c r="D1707" s="421">
        <v>45</v>
      </c>
      <c r="E1707" s="74"/>
      <c r="F1707" s="37">
        <v>895</v>
      </c>
      <c r="G1707" s="422"/>
      <c r="H1707" s="422">
        <f t="shared" si="399"/>
        <v>40275</v>
      </c>
      <c r="I1707" s="422">
        <f t="shared" si="400"/>
        <v>40275</v>
      </c>
    </row>
    <row r="1708" spans="1:9">
      <c r="A1708" s="33" t="s">
        <v>3056</v>
      </c>
      <c r="B1708" s="56" t="s">
        <v>3057</v>
      </c>
      <c r="C1708" s="41" t="s">
        <v>2064</v>
      </c>
      <c r="D1708" s="72">
        <v>10</v>
      </c>
      <c r="E1708" s="74">
        <f>210000*42%</f>
        <v>88200</v>
      </c>
      <c r="F1708" s="37"/>
      <c r="G1708" s="422">
        <f t="shared" ref="G1708:G1709" si="403">D1708*E1708</f>
        <v>882000</v>
      </c>
      <c r="H1708" s="422"/>
      <c r="I1708" s="422">
        <f t="shared" si="400"/>
        <v>882000</v>
      </c>
    </row>
    <row r="1709" spans="1:9">
      <c r="A1709" s="33" t="s">
        <v>3059</v>
      </c>
      <c r="B1709" s="56" t="s">
        <v>3058</v>
      </c>
      <c r="C1709" s="41" t="s">
        <v>2064</v>
      </c>
      <c r="D1709" s="72">
        <v>10</v>
      </c>
      <c r="E1709" s="74">
        <v>150000</v>
      </c>
      <c r="F1709" s="37"/>
      <c r="G1709" s="422">
        <f t="shared" si="403"/>
        <v>1500000</v>
      </c>
      <c r="H1709" s="422"/>
      <c r="I1709" s="422">
        <f t="shared" si="400"/>
        <v>1500000</v>
      </c>
    </row>
    <row r="1710" spans="1:9">
      <c r="A1710" s="33" t="s">
        <v>3060</v>
      </c>
      <c r="B1710" s="56" t="s">
        <v>2065</v>
      </c>
      <c r="C1710" s="41" t="s">
        <v>2064</v>
      </c>
      <c r="D1710" s="72">
        <v>10</v>
      </c>
      <c r="E1710" s="74"/>
      <c r="F1710" s="37">
        <f>264000/14*42%</f>
        <v>7920</v>
      </c>
      <c r="G1710" s="422"/>
      <c r="H1710" s="422">
        <f t="shared" si="399"/>
        <v>79200</v>
      </c>
      <c r="I1710" s="422">
        <f t="shared" si="400"/>
        <v>79200</v>
      </c>
    </row>
    <row r="1711" spans="1:9" s="1" customFormat="1">
      <c r="A1711" s="33" t="s">
        <v>3062</v>
      </c>
      <c r="B1711" s="56" t="s">
        <v>2067</v>
      </c>
      <c r="C1711" s="41" t="s">
        <v>2064</v>
      </c>
      <c r="D1711" s="72">
        <v>24</v>
      </c>
      <c r="E1711" s="74">
        <f>4000</f>
        <v>4000</v>
      </c>
      <c r="F1711" s="422"/>
      <c r="G1711" s="422">
        <f>E1711*D1711</f>
        <v>96000</v>
      </c>
      <c r="H1711" s="422"/>
      <c r="I1711" s="422">
        <f t="shared" si="400"/>
        <v>96000</v>
      </c>
    </row>
    <row r="1712" spans="1:9">
      <c r="A1712" s="33" t="s">
        <v>3063</v>
      </c>
      <c r="B1712" s="56" t="s">
        <v>2068</v>
      </c>
      <c r="C1712" s="41" t="s">
        <v>20</v>
      </c>
      <c r="D1712" s="72">
        <v>0.25</v>
      </c>
      <c r="E1712" s="74"/>
      <c r="F1712" s="37">
        <f>900847.46*1.18</f>
        <v>1063000.0027999999</v>
      </c>
      <c r="G1712" s="422"/>
      <c r="H1712" s="422">
        <f>F1712*D1712</f>
        <v>265750.00069999998</v>
      </c>
      <c r="I1712" s="422">
        <f t="shared" si="400"/>
        <v>265750.00069999998</v>
      </c>
    </row>
    <row r="1713" spans="1:9">
      <c r="A1713" s="33" t="s">
        <v>3064</v>
      </c>
      <c r="B1713" s="56" t="s">
        <v>2069</v>
      </c>
      <c r="C1713" s="41" t="s">
        <v>20</v>
      </c>
      <c r="D1713" s="72">
        <f>1/7</f>
        <v>0.14285714285714285</v>
      </c>
      <c r="E1713" s="74"/>
      <c r="F1713" s="37">
        <f>163000</f>
        <v>163000</v>
      </c>
      <c r="G1713" s="422"/>
      <c r="H1713" s="422">
        <f>F1713*D1713</f>
        <v>23285.714285714286</v>
      </c>
      <c r="I1713" s="422">
        <f t="shared" si="400"/>
        <v>23285.714285714286</v>
      </c>
    </row>
    <row r="1714" spans="1:9" s="1" customFormat="1">
      <c r="A1714" s="33" t="s">
        <v>3050</v>
      </c>
      <c r="B1714" s="56" t="s">
        <v>2071</v>
      </c>
      <c r="C1714" s="41" t="s">
        <v>20</v>
      </c>
      <c r="D1714" s="72">
        <v>12</v>
      </c>
      <c r="E1714" s="548"/>
      <c r="F1714" s="37"/>
      <c r="G1714" s="422">
        <f>SUM(G1715:G1719)</f>
        <v>164571.42857142858</v>
      </c>
      <c r="H1714" s="422"/>
      <c r="I1714" s="422">
        <f t="shared" si="400"/>
        <v>164571.42857142858</v>
      </c>
    </row>
    <row r="1715" spans="1:9">
      <c r="A1715" s="33" t="s">
        <v>3065</v>
      </c>
      <c r="B1715" s="56" t="s">
        <v>2072</v>
      </c>
      <c r="C1715" s="41" t="s">
        <v>20</v>
      </c>
      <c r="D1715" s="72">
        <f>4/7</f>
        <v>0.5714285714285714</v>
      </c>
      <c r="E1715" s="74"/>
      <c r="F1715" s="37">
        <f>143750*1.2</f>
        <v>172500</v>
      </c>
      <c r="G1715" s="422"/>
      <c r="H1715" s="422">
        <f>D1715*F1715</f>
        <v>98571.428571428565</v>
      </c>
      <c r="I1715" s="422">
        <f t="shared" si="400"/>
        <v>98571.428571428565</v>
      </c>
    </row>
    <row r="1716" spans="1:9">
      <c r="A1716" s="33" t="s">
        <v>3066</v>
      </c>
      <c r="B1716" s="56" t="s">
        <v>2072</v>
      </c>
      <c r="C1716" s="41" t="s">
        <v>20</v>
      </c>
      <c r="D1716" s="72">
        <f>4/7</f>
        <v>0.5714285714285714</v>
      </c>
      <c r="E1716" s="74"/>
      <c r="F1716" s="37">
        <f>140416.67*1.2</f>
        <v>168500.00400000002</v>
      </c>
      <c r="G1716" s="422"/>
      <c r="H1716" s="422">
        <f t="shared" ref="H1716:H1718" si="404">D1716*F1716</f>
        <v>96285.71657142858</v>
      </c>
      <c r="I1716" s="422">
        <f t="shared" si="400"/>
        <v>96285.71657142858</v>
      </c>
    </row>
    <row r="1717" spans="1:9">
      <c r="A1717" s="33" t="s">
        <v>3067</v>
      </c>
      <c r="B1717" s="56" t="s">
        <v>2072</v>
      </c>
      <c r="C1717" s="41" t="s">
        <v>20</v>
      </c>
      <c r="D1717" s="72">
        <f>3/7</f>
        <v>0.42857142857142855</v>
      </c>
      <c r="E1717" s="74"/>
      <c r="F1717" s="37">
        <f>163000</f>
        <v>163000</v>
      </c>
      <c r="G1717" s="422"/>
      <c r="H1717" s="422">
        <f t="shared" si="404"/>
        <v>69857.142857142855</v>
      </c>
      <c r="I1717" s="422">
        <f t="shared" si="400"/>
        <v>69857.142857142855</v>
      </c>
    </row>
    <row r="1718" spans="1:9">
      <c r="A1718" s="33" t="s">
        <v>3068</v>
      </c>
      <c r="B1718" s="56" t="s">
        <v>2072</v>
      </c>
      <c r="C1718" s="41" t="s">
        <v>20</v>
      </c>
      <c r="D1718" s="72">
        <f>1/7</f>
        <v>0.14285714285714285</v>
      </c>
      <c r="E1718" s="74"/>
      <c r="F1718" s="37">
        <f>167500</f>
        <v>167500</v>
      </c>
      <c r="G1718" s="422"/>
      <c r="H1718" s="422">
        <f t="shared" si="404"/>
        <v>23928.571428571428</v>
      </c>
      <c r="I1718" s="422">
        <f t="shared" si="400"/>
        <v>23928.571428571428</v>
      </c>
    </row>
    <row r="1719" spans="1:9">
      <c r="A1719" s="33" t="s">
        <v>3069</v>
      </c>
      <c r="B1719" s="56" t="s">
        <v>3061</v>
      </c>
      <c r="C1719" s="41" t="s">
        <v>2064</v>
      </c>
      <c r="D1719" s="72">
        <v>24</v>
      </c>
      <c r="E1719" s="37">
        <f>4000*(D1715+D1716+D1717+D1718)</f>
        <v>6857.1428571428569</v>
      </c>
      <c r="F1719" s="528"/>
      <c r="G1719" s="422">
        <f>D1719*E1719</f>
        <v>164571.42857142858</v>
      </c>
      <c r="H1719" s="529"/>
      <c r="I1719" s="422">
        <f t="shared" si="400"/>
        <v>164571.42857142858</v>
      </c>
    </row>
    <row r="1720" spans="1:9">
      <c r="A1720" s="27"/>
      <c r="B1720" s="427" t="s">
        <v>2085</v>
      </c>
      <c r="C1720" s="533" t="s">
        <v>3053</v>
      </c>
      <c r="D1720" s="534"/>
      <c r="E1720" s="534"/>
      <c r="F1720" s="535"/>
      <c r="G1720" s="32">
        <f>SUM(G1702:G1719)</f>
        <v>2867322.8571428573</v>
      </c>
      <c r="H1720" s="32">
        <f t="shared" ref="H1720:I1720" si="405">SUM(H1702:H1719)</f>
        <v>3278653.5744142854</v>
      </c>
      <c r="I1720" s="32">
        <f t="shared" si="405"/>
        <v>6145976.4315571422</v>
      </c>
    </row>
    <row r="1721" spans="1:9">
      <c r="A1721" s="27"/>
      <c r="B1721" s="427" t="s">
        <v>2088</v>
      </c>
      <c r="C1721" s="530"/>
      <c r="D1721" s="531"/>
      <c r="E1721" s="531"/>
      <c r="F1721" s="532"/>
      <c r="G1721" s="32">
        <f>PRODUCT(G1720,1/1.2,0.2)</f>
        <v>477887.14285714296</v>
      </c>
      <c r="H1721" s="32">
        <f>PRODUCT(H1720,1/1.2,0.2)</f>
        <v>546442.26240238093</v>
      </c>
      <c r="I1721" s="32">
        <f>PRODUCT(I1720,1/1.2,0.2)</f>
        <v>1024329.4052595238</v>
      </c>
    </row>
    <row r="1722" spans="1:9">
      <c r="A1722" s="207"/>
      <c r="B1722" s="208" t="s">
        <v>3045</v>
      </c>
      <c r="C1722" s="209"/>
      <c r="D1722" s="210"/>
      <c r="E1722" s="31"/>
      <c r="F1722" s="211"/>
      <c r="G1722" s="212"/>
      <c r="H1722" s="212"/>
      <c r="I1722" s="212"/>
    </row>
    <row r="1723" spans="1:9">
      <c r="A1723" s="423" t="s">
        <v>3042</v>
      </c>
      <c r="B1723" s="49" t="s">
        <v>2073</v>
      </c>
      <c r="C1723" s="41" t="s">
        <v>20</v>
      </c>
      <c r="D1723" s="424">
        <v>1</v>
      </c>
      <c r="E1723" s="91"/>
      <c r="F1723" s="425">
        <v>1331334.0119999999</v>
      </c>
      <c r="G1723" s="64"/>
      <c r="H1723" s="425">
        <f>(386750+43675+193416.67+123491.67+188062.5+73750+100299.17)*1.2</f>
        <v>1331334.0119999999</v>
      </c>
      <c r="I1723" s="425">
        <f t="shared" ref="I1723" si="406">(386750+43675+193416.67+123491.67+188062.5+73750+100299.17)*1.2</f>
        <v>1331334.0119999999</v>
      </c>
    </row>
    <row r="1724" spans="1:9">
      <c r="A1724" s="423" t="s">
        <v>3043</v>
      </c>
      <c r="B1724" s="49" t="s">
        <v>2074</v>
      </c>
      <c r="C1724" s="41" t="s">
        <v>20</v>
      </c>
      <c r="D1724" s="424">
        <v>1</v>
      </c>
      <c r="E1724" s="91"/>
      <c r="F1724" s="425">
        <v>2667058.656</v>
      </c>
      <c r="G1724" s="64"/>
      <c r="H1724" s="425">
        <f>(39083.33+36683.33+35566.67+4222431.1/2)*1.2</f>
        <v>2667058.656</v>
      </c>
      <c r="I1724" s="549">
        <f t="shared" ref="I1724" si="407">(39083.33+36683.33+35566.67+4222431.1)*1.2</f>
        <v>5200517.3159999996</v>
      </c>
    </row>
    <row r="1725" spans="1:9">
      <c r="A1725" s="423" t="s">
        <v>3044</v>
      </c>
      <c r="B1725" s="49" t="s">
        <v>2075</v>
      </c>
      <c r="C1725" s="424" t="s">
        <v>20</v>
      </c>
      <c r="D1725" s="424">
        <f>750*26*1.1</f>
        <v>21450</v>
      </c>
      <c r="E1725" s="91"/>
      <c r="F1725" s="425">
        <v>10.67</v>
      </c>
      <c r="G1725" s="64">
        <f>D1725*E1725</f>
        <v>0</v>
      </c>
      <c r="H1725" s="425">
        <f>D1725*F1725</f>
        <v>228871.5</v>
      </c>
      <c r="I1725" s="425">
        <f>G1725+H1725</f>
        <v>228871.5</v>
      </c>
    </row>
    <row r="1726" spans="1:9">
      <c r="A1726" s="27"/>
      <c r="B1726" s="427" t="s">
        <v>2085</v>
      </c>
      <c r="C1726" s="533" t="s">
        <v>3046</v>
      </c>
      <c r="D1726" s="534"/>
      <c r="E1726" s="534"/>
      <c r="F1726" s="535"/>
      <c r="G1726" s="32">
        <f>SUM(G1723:G1725)</f>
        <v>0</v>
      </c>
      <c r="H1726" s="32">
        <f t="shared" ref="H1726:I1726" si="408">SUM(H1723:H1725)</f>
        <v>4227264.1679999996</v>
      </c>
      <c r="I1726" s="32">
        <f t="shared" si="408"/>
        <v>6760722.8279999997</v>
      </c>
    </row>
    <row r="1727" spans="1:9">
      <c r="A1727" s="27"/>
      <c r="B1727" s="427" t="s">
        <v>2088</v>
      </c>
      <c r="C1727" s="530"/>
      <c r="D1727" s="531"/>
      <c r="E1727" s="531"/>
      <c r="F1727" s="532"/>
      <c r="G1727" s="32">
        <f>PRODUCT(G1726,1/1.2,0.2)</f>
        <v>0</v>
      </c>
      <c r="H1727" s="32">
        <f>PRODUCT(H1726,1/1.2,0.2)</f>
        <v>704544.02799999993</v>
      </c>
      <c r="I1727" s="32">
        <f>PRODUCT(I1726,1/1.2,0.2)</f>
        <v>1126787.138</v>
      </c>
    </row>
  </sheetData>
  <mergeCells count="49">
    <mergeCell ref="C1727:F1727"/>
    <mergeCell ref="C1698:F1698"/>
    <mergeCell ref="C1699:F1699"/>
    <mergeCell ref="C1720:F1720"/>
    <mergeCell ref="C1721:F1721"/>
    <mergeCell ref="C1726:F1726"/>
    <mergeCell ref="C1537:F1537"/>
    <mergeCell ref="C1538:F1538"/>
    <mergeCell ref="C389:F389"/>
    <mergeCell ref="C390:F390"/>
    <mergeCell ref="C460:F460"/>
    <mergeCell ref="C461:F461"/>
    <mergeCell ref="C489:F489"/>
    <mergeCell ref="C490:F490"/>
    <mergeCell ref="C628:F628"/>
    <mergeCell ref="C629:F629"/>
    <mergeCell ref="C763:F763"/>
    <mergeCell ref="C764:F764"/>
    <mergeCell ref="C893:F893"/>
    <mergeCell ref="C894:F894"/>
    <mergeCell ref="C876:F876"/>
    <mergeCell ref="C877:F877"/>
    <mergeCell ref="C264:F264"/>
    <mergeCell ref="C310:F310"/>
    <mergeCell ref="C311:F311"/>
    <mergeCell ref="C367:F367"/>
    <mergeCell ref="C368:F368"/>
    <mergeCell ref="C105:F105"/>
    <mergeCell ref="C106:F106"/>
    <mergeCell ref="C188:F188"/>
    <mergeCell ref="C189:F189"/>
    <mergeCell ref="C263:F263"/>
    <mergeCell ref="A2:A3"/>
    <mergeCell ref="B2:B3"/>
    <mergeCell ref="C2:C3"/>
    <mergeCell ref="D2:D3"/>
    <mergeCell ref="E2:F2"/>
    <mergeCell ref="I2:I3"/>
    <mergeCell ref="C12:F12"/>
    <mergeCell ref="C13:F13"/>
    <mergeCell ref="C22:F22"/>
    <mergeCell ref="C23:F23"/>
    <mergeCell ref="G2:H2"/>
    <mergeCell ref="C1420:F1420"/>
    <mergeCell ref="C1127:F1127"/>
    <mergeCell ref="C1128:F1128"/>
    <mergeCell ref="C1318:F1318"/>
    <mergeCell ref="C1319:F1319"/>
    <mergeCell ref="C1419:F1419"/>
  </mergeCells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pi@mstagency.ru</cp:lastModifiedBy>
  <cp:lastPrinted>2020-06-19T06:45:00Z</cp:lastPrinted>
  <dcterms:created xsi:type="dcterms:W3CDTF">2020-06-03T12:58:00Z</dcterms:created>
  <dcterms:modified xsi:type="dcterms:W3CDTF">2021-02-25T07:09:24Z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1049-11.2.0.9937</vt:lpwstr>
  </property>
</Properties>
</file>