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CO\CCM\"/>
    </mc:Choice>
  </mc:AlternateContent>
  <bookViews>
    <workbookView xWindow="0" yWindow="0" windowWidth="22752" windowHeight="832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0" i="1" l="1"/>
  <c r="G260" i="1"/>
  <c r="I260" i="1" s="1"/>
  <c r="H258" i="1"/>
  <c r="G258" i="1"/>
  <c r="I258" i="1" s="1"/>
  <c r="D260" i="1"/>
  <c r="D258" i="1"/>
  <c r="D242" i="1"/>
  <c r="G242" i="1" s="1"/>
  <c r="H242" i="1"/>
  <c r="H240" i="1"/>
  <c r="I240" i="1" s="1"/>
  <c r="G240" i="1"/>
  <c r="D240" i="1"/>
  <c r="D251" i="1"/>
  <c r="H251" i="1" s="1"/>
  <c r="D233" i="1"/>
  <c r="D232" i="1" s="1"/>
  <c r="H232" i="1" s="1"/>
  <c r="D267" i="1"/>
  <c r="H267" i="1" s="1"/>
  <c r="D266" i="1"/>
  <c r="D264" i="1"/>
  <c r="D263" i="1"/>
  <c r="H263" i="1" s="1"/>
  <c r="D261" i="1"/>
  <c r="H261" i="1" s="1"/>
  <c r="D259" i="1"/>
  <c r="D255" i="1"/>
  <c r="H255" i="1" s="1"/>
  <c r="D254" i="1"/>
  <c r="D252" i="1"/>
  <c r="G251" i="1"/>
  <c r="D250" i="1"/>
  <c r="H250" i="1" s="1"/>
  <c r="D249" i="1"/>
  <c r="H249" i="1" s="1"/>
  <c r="D248" i="1"/>
  <c r="H248" i="1" s="1"/>
  <c r="D246" i="1"/>
  <c r="H246" i="1" s="1"/>
  <c r="D245" i="1"/>
  <c r="H245" i="1" s="1"/>
  <c r="D247" i="1"/>
  <c r="D243" i="1"/>
  <c r="H243" i="1" s="1"/>
  <c r="D241" i="1"/>
  <c r="H241" i="1" s="1"/>
  <c r="D239" i="1"/>
  <c r="H239" i="1" s="1"/>
  <c r="D237" i="1"/>
  <c r="H237" i="1" s="1"/>
  <c r="D236" i="1"/>
  <c r="D234" i="1"/>
  <c r="H234" i="1" s="1"/>
  <c r="G233" i="1"/>
  <c r="H230" i="1"/>
  <c r="I230" i="1" s="1"/>
  <c r="G230" i="1"/>
  <c r="H229" i="1"/>
  <c r="G229" i="1"/>
  <c r="D228" i="1"/>
  <c r="D227" i="1"/>
  <c r="H227" i="1" s="1"/>
  <c r="D226" i="1"/>
  <c r="D224" i="1"/>
  <c r="H224" i="1" s="1"/>
  <c r="D223" i="1"/>
  <c r="D222" i="1"/>
  <c r="H222" i="1" s="1"/>
  <c r="D221" i="1"/>
  <c r="D220" i="1"/>
  <c r="H220" i="1" s="1"/>
  <c r="D219" i="1"/>
  <c r="H218" i="1"/>
  <c r="G218" i="1"/>
  <c r="D217" i="1"/>
  <c r="H217" i="1" s="1"/>
  <c r="D216" i="1"/>
  <c r="H216" i="1" s="1"/>
  <c r="D215" i="1"/>
  <c r="H215" i="1" s="1"/>
  <c r="D214" i="1"/>
  <c r="H214" i="1" s="1"/>
  <c r="G211" i="1"/>
  <c r="D211" i="1"/>
  <c r="D212" i="1" s="1"/>
  <c r="G212" i="1" s="1"/>
  <c r="D209" i="1"/>
  <c r="H209" i="1" s="1"/>
  <c r="D208" i="1"/>
  <c r="G208" i="1" s="1"/>
  <c r="D207" i="1"/>
  <c r="H207" i="1" s="1"/>
  <c r="H206" i="1"/>
  <c r="D206" i="1"/>
  <c r="G206" i="1" s="1"/>
  <c r="D210" i="1"/>
  <c r="G210" i="1" s="1"/>
  <c r="H204" i="1"/>
  <c r="D204" i="1"/>
  <c r="G204" i="1" s="1"/>
  <c r="G203" i="1"/>
  <c r="D203" i="1"/>
  <c r="H203" i="1" s="1"/>
  <c r="H202" i="1"/>
  <c r="D202" i="1"/>
  <c r="G202" i="1" s="1"/>
  <c r="D200" i="1"/>
  <c r="G200" i="1" s="1"/>
  <c r="G199" i="1"/>
  <c r="D199" i="1"/>
  <c r="H199" i="1" s="1"/>
  <c r="H198" i="1"/>
  <c r="D198" i="1"/>
  <c r="G198" i="1" s="1"/>
  <c r="G197" i="1"/>
  <c r="D197" i="1"/>
  <c r="D195" i="1"/>
  <c r="H195" i="1" s="1"/>
  <c r="H194" i="1"/>
  <c r="D194" i="1"/>
  <c r="G194" i="1" s="1"/>
  <c r="G193" i="1"/>
  <c r="D193" i="1"/>
  <c r="H193" i="1" s="1"/>
  <c r="G191" i="1"/>
  <c r="D191" i="1"/>
  <c r="H191" i="1" s="1"/>
  <c r="D190" i="1"/>
  <c r="G190" i="1" s="1"/>
  <c r="G189" i="1"/>
  <c r="D189" i="1"/>
  <c r="H189" i="1" s="1"/>
  <c r="H188" i="1"/>
  <c r="D188" i="1"/>
  <c r="G188" i="1" s="1"/>
  <c r="D192" i="1"/>
  <c r="G192" i="1" s="1"/>
  <c r="H186" i="1"/>
  <c r="D186" i="1"/>
  <c r="G186" i="1" s="1"/>
  <c r="D185" i="1"/>
  <c r="H185" i="1" s="1"/>
  <c r="D184" i="1"/>
  <c r="G184" i="1" s="1"/>
  <c r="D183" i="1"/>
  <c r="H183" i="1" s="1"/>
  <c r="H182" i="1"/>
  <c r="D182" i="1"/>
  <c r="G182" i="1" s="1"/>
  <c r="D181" i="1"/>
  <c r="H181" i="1" s="1"/>
  <c r="H180" i="1"/>
  <c r="G180" i="1"/>
  <c r="D179" i="1"/>
  <c r="H179" i="1" s="1"/>
  <c r="H178" i="1"/>
  <c r="G178" i="1"/>
  <c r="D178" i="1"/>
  <c r="D177" i="1"/>
  <c r="H177" i="1" s="1"/>
  <c r="H176" i="1"/>
  <c r="G176" i="1"/>
  <c r="D175" i="1"/>
  <c r="H175" i="1" s="1"/>
  <c r="D174" i="1"/>
  <c r="D173" i="1"/>
  <c r="H173" i="1" s="1"/>
  <c r="H172" i="1"/>
  <c r="G172" i="1"/>
  <c r="D171" i="1"/>
  <c r="H171" i="1" s="1"/>
  <c r="D170" i="1"/>
  <c r="H170" i="1" s="1"/>
  <c r="D169" i="1"/>
  <c r="H169" i="1" s="1"/>
  <c r="D168" i="1"/>
  <c r="H168" i="1" s="1"/>
  <c r="D167" i="1"/>
  <c r="H167" i="1" s="1"/>
  <c r="H166" i="1"/>
  <c r="G166" i="1"/>
  <c r="H165" i="1"/>
  <c r="D165" i="1"/>
  <c r="G165" i="1" s="1"/>
  <c r="I165" i="1" s="1"/>
  <c r="H164" i="1"/>
  <c r="G164" i="1"/>
  <c r="D163" i="1"/>
  <c r="G163" i="1" s="1"/>
  <c r="D162" i="1"/>
  <c r="H162" i="1" s="1"/>
  <c r="H161" i="1"/>
  <c r="G161" i="1"/>
  <c r="I161" i="1" s="1"/>
  <c r="D160" i="1"/>
  <c r="H160" i="1" s="1"/>
  <c r="D159" i="1"/>
  <c r="D158" i="1"/>
  <c r="H158" i="1" s="1"/>
  <c r="D157" i="1"/>
  <c r="D156" i="1"/>
  <c r="H156" i="1" s="1"/>
  <c r="H155" i="1"/>
  <c r="G155" i="1"/>
  <c r="D154" i="1"/>
  <c r="H154" i="1" s="1"/>
  <c r="D153" i="1"/>
  <c r="H153" i="1" s="1"/>
  <c r="D152" i="1"/>
  <c r="H152" i="1" s="1"/>
  <c r="D150" i="1"/>
  <c r="H150" i="1" s="1"/>
  <c r="D149" i="1"/>
  <c r="H149" i="1" s="1"/>
  <c r="D148" i="1"/>
  <c r="H148" i="1" s="1"/>
  <c r="D147" i="1"/>
  <c r="H147" i="1" s="1"/>
  <c r="D146" i="1"/>
  <c r="H146" i="1" s="1"/>
  <c r="H145" i="1"/>
  <c r="G145" i="1"/>
  <c r="I145" i="1" s="1"/>
  <c r="D143" i="1"/>
  <c r="H143" i="1" s="1"/>
  <c r="D142" i="1"/>
  <c r="G142" i="1" s="1"/>
  <c r="G141" i="1"/>
  <c r="I141" i="1" s="1"/>
  <c r="D141" i="1"/>
  <c r="H141" i="1" s="1"/>
  <c r="D140" i="1"/>
  <c r="G140" i="1" s="1"/>
  <c r="D139" i="1"/>
  <c r="H139" i="1" s="1"/>
  <c r="H138" i="1"/>
  <c r="D138" i="1"/>
  <c r="G138" i="1" s="1"/>
  <c r="H137" i="1"/>
  <c r="G137" i="1"/>
  <c r="D135" i="1"/>
  <c r="D136" i="1" s="1"/>
  <c r="H136" i="1" s="1"/>
  <c r="G134" i="1"/>
  <c r="D134" i="1"/>
  <c r="H134" i="1" s="1"/>
  <c r="D132" i="1"/>
  <c r="G132" i="1" s="1"/>
  <c r="D131" i="1"/>
  <c r="H131" i="1" s="1"/>
  <c r="D130" i="1"/>
  <c r="H130" i="1" s="1"/>
  <c r="D129" i="1"/>
  <c r="H129" i="1" s="1"/>
  <c r="D128" i="1"/>
  <c r="G128" i="1" s="1"/>
  <c r="D127" i="1"/>
  <c r="D125" i="1"/>
  <c r="H125" i="1" s="1"/>
  <c r="D124" i="1"/>
  <c r="G124" i="1" s="1"/>
  <c r="D123" i="1"/>
  <c r="H123" i="1" s="1"/>
  <c r="H122" i="1"/>
  <c r="G122" i="1"/>
  <c r="D122" i="1"/>
  <c r="G120" i="1"/>
  <c r="D120" i="1"/>
  <c r="H120" i="1" s="1"/>
  <c r="D119" i="1"/>
  <c r="H119" i="1" s="1"/>
  <c r="H118" i="1"/>
  <c r="G118" i="1"/>
  <c r="I118" i="1" s="1"/>
  <c r="D118" i="1"/>
  <c r="D117" i="1"/>
  <c r="H117" i="1" s="1"/>
  <c r="G116" i="1"/>
  <c r="D116" i="1"/>
  <c r="H116" i="1" s="1"/>
  <c r="D115" i="1"/>
  <c r="D114" i="1" s="1"/>
  <c r="G114" i="1" s="1"/>
  <c r="D113" i="1"/>
  <c r="H113" i="1" s="1"/>
  <c r="H112" i="1"/>
  <c r="G112" i="1"/>
  <c r="D112" i="1"/>
  <c r="D111" i="1"/>
  <c r="H111" i="1" s="1"/>
  <c r="G110" i="1"/>
  <c r="D110" i="1"/>
  <c r="H110" i="1" s="1"/>
  <c r="H108" i="1"/>
  <c r="G108" i="1"/>
  <c r="D106" i="1"/>
  <c r="H106" i="1" s="1"/>
  <c r="G105" i="1"/>
  <c r="D105" i="1"/>
  <c r="D107" i="1" s="1"/>
  <c r="D103" i="1"/>
  <c r="H103" i="1" s="1"/>
  <c r="D102" i="1"/>
  <c r="H102" i="1" s="1"/>
  <c r="D101" i="1"/>
  <c r="H101" i="1" s="1"/>
  <c r="I100" i="1"/>
  <c r="H100" i="1"/>
  <c r="G100" i="1"/>
  <c r="D99" i="1"/>
  <c r="H98" i="1"/>
  <c r="D98" i="1"/>
  <c r="G98" i="1" s="1"/>
  <c r="I98" i="1" s="1"/>
  <c r="D97" i="1"/>
  <c r="I96" i="1"/>
  <c r="H96" i="1"/>
  <c r="D96" i="1"/>
  <c r="G96" i="1" s="1"/>
  <c r="H95" i="1"/>
  <c r="G95" i="1"/>
  <c r="H94" i="1"/>
  <c r="G94" i="1"/>
  <c r="I94" i="1" s="1"/>
  <c r="D94" i="1"/>
  <c r="H93" i="1"/>
  <c r="G93" i="1"/>
  <c r="D92" i="1"/>
  <c r="G92" i="1" s="1"/>
  <c r="D91" i="1"/>
  <c r="H91" i="1" s="1"/>
  <c r="H90" i="1"/>
  <c r="G90" i="1"/>
  <c r="H89" i="1"/>
  <c r="G89" i="1"/>
  <c r="I89" i="1" s="1"/>
  <c r="H88" i="1"/>
  <c r="G88" i="1"/>
  <c r="I88" i="1" s="1"/>
  <c r="H87" i="1"/>
  <c r="G87" i="1"/>
  <c r="H85" i="1"/>
  <c r="D85" i="1"/>
  <c r="G85" i="1" s="1"/>
  <c r="D84" i="1"/>
  <c r="H84" i="1" s="1"/>
  <c r="G83" i="1"/>
  <c r="D83" i="1"/>
  <c r="H83" i="1" s="1"/>
  <c r="D82" i="1"/>
  <c r="H82" i="1" s="1"/>
  <c r="H81" i="1"/>
  <c r="D81" i="1"/>
  <c r="G81" i="1" s="1"/>
  <c r="H80" i="1"/>
  <c r="G80" i="1"/>
  <c r="D79" i="1"/>
  <c r="H79" i="1" s="1"/>
  <c r="D78" i="1"/>
  <c r="H78" i="1" s="1"/>
  <c r="G77" i="1"/>
  <c r="I77" i="1" s="1"/>
  <c r="D77" i="1"/>
  <c r="H77" i="1" s="1"/>
  <c r="D76" i="1"/>
  <c r="H76" i="1" s="1"/>
  <c r="D75" i="1"/>
  <c r="H75" i="1" s="1"/>
  <c r="H74" i="1"/>
  <c r="G74" i="1"/>
  <c r="I74" i="1" s="1"/>
  <c r="D73" i="1"/>
  <c r="H72" i="1"/>
  <c r="D72" i="1"/>
  <c r="G72" i="1" s="1"/>
  <c r="D70" i="1"/>
  <c r="G70" i="1" s="1"/>
  <c r="D69" i="1"/>
  <c r="H68" i="1"/>
  <c r="D68" i="1"/>
  <c r="G68" i="1" s="1"/>
  <c r="D67" i="1"/>
  <c r="D65" i="1"/>
  <c r="H64" i="1"/>
  <c r="G64" i="1"/>
  <c r="I64" i="1" s="1"/>
  <c r="G62" i="1"/>
  <c r="D62" i="1"/>
  <c r="H62" i="1" s="1"/>
  <c r="I62" i="1" s="1"/>
  <c r="H61" i="1"/>
  <c r="G61" i="1"/>
  <c r="D61" i="1"/>
  <c r="D60" i="1"/>
  <c r="H60" i="1" s="1"/>
  <c r="D59" i="1"/>
  <c r="G59" i="1" s="1"/>
  <c r="D58" i="1"/>
  <c r="H58" i="1" s="1"/>
  <c r="G57" i="1"/>
  <c r="D57" i="1"/>
  <c r="H57" i="1" s="1"/>
  <c r="H56" i="1"/>
  <c r="I56" i="1" s="1"/>
  <c r="G56" i="1"/>
  <c r="D56" i="1"/>
  <c r="D54" i="1"/>
  <c r="G54" i="1" s="1"/>
  <c r="H53" i="1"/>
  <c r="G53" i="1"/>
  <c r="D51" i="1"/>
  <c r="D50" i="1"/>
  <c r="G50" i="1" s="1"/>
  <c r="D49" i="1"/>
  <c r="D48" i="1"/>
  <c r="H48" i="1" s="1"/>
  <c r="D47" i="1"/>
  <c r="D46" i="1"/>
  <c r="D45" i="1"/>
  <c r="D43" i="1"/>
  <c r="D42" i="1"/>
  <c r="H42" i="1" s="1"/>
  <c r="H41" i="1"/>
  <c r="G41" i="1"/>
  <c r="I41" i="1" s="1"/>
  <c r="D40" i="1"/>
  <c r="H40" i="1" s="1"/>
  <c r="D39" i="1"/>
  <c r="H39" i="1" s="1"/>
  <c r="D37" i="1"/>
  <c r="D36" i="1"/>
  <c r="H36" i="1" s="1"/>
  <c r="D35" i="1"/>
  <c r="D34" i="1"/>
  <c r="H34" i="1" s="1"/>
  <c r="H32" i="1"/>
  <c r="G32" i="1"/>
  <c r="I32" i="1" s="1"/>
  <c r="I31" i="1"/>
  <c r="H31" i="1"/>
  <c r="D31" i="1"/>
  <c r="G31" i="1" s="1"/>
  <c r="H30" i="1"/>
  <c r="G30" i="1"/>
  <c r="I30" i="1" s="1"/>
  <c r="H29" i="1"/>
  <c r="G29" i="1"/>
  <c r="I29" i="1" s="1"/>
  <c r="H28" i="1"/>
  <c r="G28" i="1"/>
  <c r="H27" i="1"/>
  <c r="G27" i="1"/>
  <c r="D26" i="1"/>
  <c r="G26" i="1" s="1"/>
  <c r="H25" i="1"/>
  <c r="G25" i="1"/>
  <c r="I25" i="1" s="1"/>
  <c r="H24" i="1"/>
  <c r="D24" i="1"/>
  <c r="G24" i="1" s="1"/>
  <c r="I23" i="1"/>
  <c r="H23" i="1"/>
  <c r="G23" i="1"/>
  <c r="H22" i="1"/>
  <c r="G22" i="1"/>
  <c r="I22" i="1" s="1"/>
  <c r="D20" i="1"/>
  <c r="G20" i="1" s="1"/>
  <c r="G19" i="1"/>
  <c r="D19" i="1"/>
  <c r="H19" i="1" s="1"/>
  <c r="D18" i="1"/>
  <c r="H18" i="1" s="1"/>
  <c r="G17" i="1"/>
  <c r="I17" i="1" s="1"/>
  <c r="D17" i="1"/>
  <c r="H17" i="1" s="1"/>
  <c r="D16" i="1"/>
  <c r="D15" i="1"/>
  <c r="H15" i="1" s="1"/>
  <c r="H14" i="1"/>
  <c r="G14" i="1"/>
  <c r="D13" i="1"/>
  <c r="H13" i="1" s="1"/>
  <c r="D12" i="1"/>
  <c r="H12" i="1" s="1"/>
  <c r="D11" i="1"/>
  <c r="H11" i="1" s="1"/>
  <c r="H9" i="1"/>
  <c r="G9" i="1"/>
  <c r="I9" i="1" s="1"/>
  <c r="H8" i="1"/>
  <c r="D8" i="1"/>
  <c r="G8" i="1" s="1"/>
  <c r="H7" i="1"/>
  <c r="I7" i="1" s="1"/>
  <c r="G7" i="1"/>
  <c r="D6" i="1"/>
  <c r="H6" i="1" s="1"/>
  <c r="H5" i="1"/>
  <c r="G5" i="1"/>
  <c r="I163" i="1" l="1"/>
  <c r="I54" i="1"/>
  <c r="I60" i="1"/>
  <c r="I57" i="1"/>
  <c r="G60" i="1"/>
  <c r="I116" i="1"/>
  <c r="I134" i="1"/>
  <c r="G6" i="1"/>
  <c r="I6" i="1" s="1"/>
  <c r="G34" i="1"/>
  <c r="I34" i="1" s="1"/>
  <c r="G48" i="1"/>
  <c r="H54" i="1"/>
  <c r="G58" i="1"/>
  <c r="I58" i="1" s="1"/>
  <c r="H70" i="1"/>
  <c r="I70" i="1" s="1"/>
  <c r="G75" i="1"/>
  <c r="I75" i="1" s="1"/>
  <c r="I93" i="1"/>
  <c r="G130" i="1"/>
  <c r="I130" i="1" s="1"/>
  <c r="H140" i="1"/>
  <c r="I140" i="1" s="1"/>
  <c r="G181" i="1"/>
  <c r="G185" i="1"/>
  <c r="G209" i="1"/>
  <c r="I209" i="1" s="1"/>
  <c r="H233" i="1"/>
  <c r="I233" i="1" s="1"/>
  <c r="H59" i="1"/>
  <c r="I59" i="1" s="1"/>
  <c r="H128" i="1"/>
  <c r="I128" i="1" s="1"/>
  <c r="H132" i="1"/>
  <c r="I132" i="1" s="1"/>
  <c r="H163" i="1"/>
  <c r="G15" i="1"/>
  <c r="I15" i="1" s="1"/>
  <c r="H92" i="1"/>
  <c r="I92" i="1" s="1"/>
  <c r="I120" i="1"/>
  <c r="H124" i="1"/>
  <c r="I124" i="1" s="1"/>
  <c r="I27" i="1"/>
  <c r="I72" i="1"/>
  <c r="I112" i="1"/>
  <c r="I155" i="1"/>
  <c r="I172" i="1"/>
  <c r="H190" i="1"/>
  <c r="G195" i="1"/>
  <c r="I195" i="1" s="1"/>
  <c r="H200" i="1"/>
  <c r="I200" i="1" s="1"/>
  <c r="I110" i="1"/>
  <c r="I61" i="1"/>
  <c r="I90" i="1"/>
  <c r="I108" i="1"/>
  <c r="I122" i="1"/>
  <c r="D126" i="1"/>
  <c r="G126" i="1" s="1"/>
  <c r="I137" i="1"/>
  <c r="I166" i="1"/>
  <c r="I229" i="1"/>
  <c r="I8" i="1"/>
  <c r="I14" i="1"/>
  <c r="I24" i="1"/>
  <c r="I53" i="1"/>
  <c r="I68" i="1"/>
  <c r="I87" i="1"/>
  <c r="I138" i="1"/>
  <c r="H142" i="1"/>
  <c r="I142" i="1" s="1"/>
  <c r="G183" i="1"/>
  <c r="I183" i="1" s="1"/>
  <c r="G207" i="1"/>
  <c r="G40" i="1"/>
  <c r="I40" i="1" s="1"/>
  <c r="I80" i="1"/>
  <c r="I95" i="1"/>
  <c r="G143" i="1"/>
  <c r="I143" i="1" s="1"/>
  <c r="I164" i="1"/>
  <c r="H184" i="1"/>
  <c r="H208" i="1"/>
  <c r="I208" i="1" s="1"/>
  <c r="I242" i="1"/>
  <c r="I199" i="1"/>
  <c r="I188" i="1"/>
  <c r="I198" i="1"/>
  <c r="I206" i="1"/>
  <c r="I178" i="1"/>
  <c r="I202" i="1"/>
  <c r="I184" i="1"/>
  <c r="I176" i="1"/>
  <c r="I180" i="1"/>
  <c r="I218" i="1"/>
  <c r="I251" i="1"/>
  <c r="G232" i="1"/>
  <c r="I232" i="1" s="1"/>
  <c r="H210" i="1"/>
  <c r="I210" i="1" s="1"/>
  <c r="H192" i="1"/>
  <c r="I192" i="1" s="1"/>
  <c r="I19" i="1"/>
  <c r="D52" i="1"/>
  <c r="D21" i="1"/>
  <c r="G18" i="1"/>
  <c r="I18" i="1" s="1"/>
  <c r="G42" i="1"/>
  <c r="I42" i="1" s="1"/>
  <c r="D4" i="1"/>
  <c r="I5" i="1"/>
  <c r="G12" i="1"/>
  <c r="I12" i="1" s="1"/>
  <c r="H16" i="1"/>
  <c r="H20" i="1"/>
  <c r="H50" i="1"/>
  <c r="I50" i="1" s="1"/>
  <c r="H65" i="1"/>
  <c r="G65" i="1"/>
  <c r="H97" i="1"/>
  <c r="G97" i="1"/>
  <c r="H107" i="1"/>
  <c r="G107" i="1"/>
  <c r="I107" i="1" s="1"/>
  <c r="I193" i="1"/>
  <c r="H223" i="1"/>
  <c r="G223" i="1"/>
  <c r="D238" i="1"/>
  <c r="H247" i="1"/>
  <c r="G247" i="1"/>
  <c r="H259" i="1"/>
  <c r="G259" i="1"/>
  <c r="G16" i="1"/>
  <c r="G46" i="1"/>
  <c r="G36" i="1"/>
  <c r="I36" i="1" s="1"/>
  <c r="H46" i="1"/>
  <c r="I28" i="1"/>
  <c r="H43" i="1"/>
  <c r="G43" i="1"/>
  <c r="I43" i="1" s="1"/>
  <c r="H47" i="1"/>
  <c r="G47" i="1"/>
  <c r="I47" i="1" s="1"/>
  <c r="H51" i="1"/>
  <c r="G51" i="1"/>
  <c r="G79" i="1"/>
  <c r="I79" i="1" s="1"/>
  <c r="I83" i="1"/>
  <c r="G101" i="1"/>
  <c r="I101" i="1" s="1"/>
  <c r="D133" i="1"/>
  <c r="H126" i="1"/>
  <c r="I126" i="1" s="1"/>
  <c r="G136" i="1"/>
  <c r="I136" i="1" s="1"/>
  <c r="I181" i="1"/>
  <c r="I185" i="1"/>
  <c r="I189" i="1"/>
  <c r="I194" i="1"/>
  <c r="I203" i="1"/>
  <c r="I207" i="1"/>
  <c r="H212" i="1"/>
  <c r="I212" i="1" s="1"/>
  <c r="H37" i="1"/>
  <c r="G37" i="1"/>
  <c r="H67" i="1"/>
  <c r="G67" i="1"/>
  <c r="I67" i="1" s="1"/>
  <c r="H157" i="1"/>
  <c r="G157" i="1"/>
  <c r="I182" i="1"/>
  <c r="I186" i="1"/>
  <c r="I190" i="1"/>
  <c r="I204" i="1"/>
  <c r="H226" i="1"/>
  <c r="G226" i="1"/>
  <c r="D265" i="1"/>
  <c r="H69" i="1"/>
  <c r="G69" i="1"/>
  <c r="I69" i="1" s="1"/>
  <c r="D201" i="1"/>
  <c r="H252" i="1"/>
  <c r="G252" i="1"/>
  <c r="I252" i="1" s="1"/>
  <c r="G13" i="1"/>
  <c r="I13" i="1" s="1"/>
  <c r="D63" i="1"/>
  <c r="H99" i="1"/>
  <c r="G99" i="1"/>
  <c r="G103" i="1"/>
  <c r="I103" i="1" s="1"/>
  <c r="D121" i="1"/>
  <c r="H114" i="1"/>
  <c r="I114" i="1" s="1"/>
  <c r="H159" i="1"/>
  <c r="G159" i="1"/>
  <c r="H219" i="1"/>
  <c r="G219" i="1"/>
  <c r="H228" i="1"/>
  <c r="G228" i="1"/>
  <c r="H254" i="1"/>
  <c r="G254" i="1"/>
  <c r="H264" i="1"/>
  <c r="G264" i="1"/>
  <c r="H221" i="1"/>
  <c r="G221" i="1"/>
  <c r="I48" i="1"/>
  <c r="G11" i="1"/>
  <c r="I11" i="1" s="1"/>
  <c r="H26" i="1"/>
  <c r="I26" i="1" s="1"/>
  <c r="H35" i="1"/>
  <c r="G35" i="1"/>
  <c r="H45" i="1"/>
  <c r="G45" i="1"/>
  <c r="H49" i="1"/>
  <c r="G49" i="1"/>
  <c r="I81" i="1"/>
  <c r="I85" i="1"/>
  <c r="D104" i="1"/>
  <c r="H105" i="1"/>
  <c r="I105" i="1" s="1"/>
  <c r="H174" i="1"/>
  <c r="G174" i="1"/>
  <c r="I191" i="1"/>
  <c r="H266" i="1"/>
  <c r="G266" i="1"/>
  <c r="H73" i="1"/>
  <c r="G73" i="1"/>
  <c r="D151" i="1"/>
  <c r="G147" i="1"/>
  <c r="I147" i="1" s="1"/>
  <c r="G149" i="1"/>
  <c r="I149" i="1" s="1"/>
  <c r="G153" i="1"/>
  <c r="I153" i="1" s="1"/>
  <c r="G168" i="1"/>
  <c r="I168" i="1" s="1"/>
  <c r="G170" i="1"/>
  <c r="I170" i="1" s="1"/>
  <c r="G215" i="1"/>
  <c r="I215" i="1" s="1"/>
  <c r="G217" i="1"/>
  <c r="I217" i="1" s="1"/>
  <c r="I234" i="1"/>
  <c r="G236" i="1"/>
  <c r="G241" i="1"/>
  <c r="I241" i="1" s="1"/>
  <c r="G246" i="1"/>
  <c r="I246" i="1" s="1"/>
  <c r="G248" i="1"/>
  <c r="I248" i="1" s="1"/>
  <c r="G250" i="1"/>
  <c r="I250" i="1" s="1"/>
  <c r="D86" i="1"/>
  <c r="G139" i="1"/>
  <c r="I139" i="1" s="1"/>
  <c r="H236" i="1"/>
  <c r="G82" i="1"/>
  <c r="I82" i="1" s="1"/>
  <c r="G84" i="1"/>
  <c r="I84" i="1" s="1"/>
  <c r="G91" i="1"/>
  <c r="I91" i="1" s="1"/>
  <c r="G111" i="1"/>
  <c r="I111" i="1" s="1"/>
  <c r="G113" i="1"/>
  <c r="I113" i="1" s="1"/>
  <c r="G115" i="1"/>
  <c r="G117" i="1"/>
  <c r="I117" i="1" s="1"/>
  <c r="G119" i="1"/>
  <c r="I119" i="1" s="1"/>
  <c r="G123" i="1"/>
  <c r="I123" i="1" s="1"/>
  <c r="G125" i="1"/>
  <c r="I125" i="1" s="1"/>
  <c r="G127" i="1"/>
  <c r="G129" i="1"/>
  <c r="I129" i="1" s="1"/>
  <c r="G131" i="1"/>
  <c r="I131" i="1" s="1"/>
  <c r="G135" i="1"/>
  <c r="G162" i="1"/>
  <c r="I162" i="1" s="1"/>
  <c r="G177" i="1"/>
  <c r="I177" i="1" s="1"/>
  <c r="G179" i="1"/>
  <c r="I179" i="1" s="1"/>
  <c r="H197" i="1"/>
  <c r="I197" i="1" s="1"/>
  <c r="H211" i="1"/>
  <c r="I211" i="1" s="1"/>
  <c r="G39" i="1"/>
  <c r="I39" i="1" s="1"/>
  <c r="G76" i="1"/>
  <c r="I76" i="1" s="1"/>
  <c r="G78" i="1"/>
  <c r="I78" i="1" s="1"/>
  <c r="G102" i="1"/>
  <c r="I102" i="1" s="1"/>
  <c r="G106" i="1"/>
  <c r="I106" i="1" s="1"/>
  <c r="H115" i="1"/>
  <c r="H127" i="1"/>
  <c r="H135" i="1"/>
  <c r="G156" i="1"/>
  <c r="I156" i="1" s="1"/>
  <c r="G158" i="1"/>
  <c r="I158" i="1" s="1"/>
  <c r="G160" i="1"/>
  <c r="I160" i="1" s="1"/>
  <c r="G173" i="1"/>
  <c r="I173" i="1" s="1"/>
  <c r="G175" i="1"/>
  <c r="I175" i="1" s="1"/>
  <c r="G220" i="1"/>
  <c r="I220" i="1" s="1"/>
  <c r="G222" i="1"/>
  <c r="I222" i="1" s="1"/>
  <c r="G224" i="1"/>
  <c r="I224" i="1" s="1"/>
  <c r="G227" i="1"/>
  <c r="I227" i="1" s="1"/>
  <c r="G255" i="1"/>
  <c r="I255" i="1" s="1"/>
  <c r="G261" i="1"/>
  <c r="I261" i="1" s="1"/>
  <c r="G263" i="1"/>
  <c r="I263" i="1" s="1"/>
  <c r="G267" i="1"/>
  <c r="I267" i="1" s="1"/>
  <c r="D144" i="1"/>
  <c r="G146" i="1"/>
  <c r="I146" i="1" s="1"/>
  <c r="G148" i="1"/>
  <c r="I148" i="1" s="1"/>
  <c r="G150" i="1"/>
  <c r="I150" i="1" s="1"/>
  <c r="G152" i="1"/>
  <c r="I152" i="1" s="1"/>
  <c r="G154" i="1"/>
  <c r="I154" i="1" s="1"/>
  <c r="G167" i="1"/>
  <c r="I167" i="1" s="1"/>
  <c r="G169" i="1"/>
  <c r="I169" i="1" s="1"/>
  <c r="G171" i="1"/>
  <c r="I171" i="1" s="1"/>
  <c r="G214" i="1"/>
  <c r="I214" i="1" s="1"/>
  <c r="G216" i="1"/>
  <c r="I216" i="1" s="1"/>
  <c r="G237" i="1"/>
  <c r="I237" i="1" s="1"/>
  <c r="G239" i="1"/>
  <c r="I239" i="1" s="1"/>
  <c r="G243" i="1"/>
  <c r="I243" i="1" s="1"/>
  <c r="G245" i="1"/>
  <c r="I245" i="1" s="1"/>
  <c r="G249" i="1"/>
  <c r="I249" i="1" s="1"/>
  <c r="I221" i="1" l="1"/>
  <c r="I97" i="1"/>
  <c r="I228" i="1"/>
  <c r="I65" i="1"/>
  <c r="I37" i="1"/>
  <c r="I174" i="1"/>
  <c r="I45" i="1"/>
  <c r="I135" i="1"/>
  <c r="I35" i="1"/>
  <c r="I157" i="1"/>
  <c r="I266" i="1"/>
  <c r="I254" i="1"/>
  <c r="I259" i="1"/>
  <c r="I264" i="1"/>
  <c r="I115" i="1"/>
  <c r="H151" i="1"/>
  <c r="G151" i="1"/>
  <c r="H63" i="1"/>
  <c r="G63" i="1"/>
  <c r="I63" i="1" s="1"/>
  <c r="D38" i="1"/>
  <c r="I20" i="1"/>
  <c r="I236" i="1"/>
  <c r="H86" i="1"/>
  <c r="G86" i="1"/>
  <c r="I73" i="1"/>
  <c r="I49" i="1"/>
  <c r="D256" i="1"/>
  <c r="I159" i="1"/>
  <c r="D71" i="1"/>
  <c r="I51" i="1"/>
  <c r="I247" i="1"/>
  <c r="G52" i="1"/>
  <c r="H52" i="1"/>
  <c r="H238" i="1"/>
  <c r="G238" i="1"/>
  <c r="G144" i="1"/>
  <c r="H144" i="1"/>
  <c r="I127" i="1"/>
  <c r="I219" i="1"/>
  <c r="H121" i="1"/>
  <c r="G121" i="1"/>
  <c r="H265" i="1"/>
  <c r="G265" i="1"/>
  <c r="I46" i="1"/>
  <c r="H133" i="1"/>
  <c r="G133" i="1"/>
  <c r="I133" i="1" s="1"/>
  <c r="I16" i="1"/>
  <c r="H104" i="1"/>
  <c r="G104" i="1"/>
  <c r="I99" i="1"/>
  <c r="H201" i="1"/>
  <c r="G201" i="1"/>
  <c r="I226" i="1"/>
  <c r="I223" i="1"/>
  <c r="G21" i="1"/>
  <c r="H21" i="1"/>
  <c r="I104" i="1" l="1"/>
  <c r="I121" i="1"/>
  <c r="I151" i="1"/>
  <c r="I21" i="1"/>
  <c r="I201" i="1"/>
  <c r="I265" i="1"/>
  <c r="I238" i="1"/>
  <c r="H71" i="1"/>
  <c r="G71" i="1"/>
  <c r="I71" i="1" s="1"/>
  <c r="I144" i="1"/>
  <c r="I86" i="1"/>
  <c r="H256" i="1"/>
  <c r="G256" i="1"/>
  <c r="I52" i="1"/>
  <c r="H38" i="1"/>
  <c r="H4" i="1" s="1"/>
  <c r="F4" i="1" s="1"/>
  <c r="G38" i="1"/>
  <c r="I38" i="1" s="1"/>
  <c r="I256" i="1" l="1"/>
  <c r="I4" i="1" s="1"/>
  <c r="G4" i="1"/>
  <c r="E4" i="1" s="1"/>
</calcChain>
</file>

<file path=xl/sharedStrings.xml><?xml version="1.0" encoding="utf-8"?>
<sst xmlns="http://schemas.openxmlformats.org/spreadsheetml/2006/main" count="623" uniqueCount="257">
  <si>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</si>
  <si>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</si>
  <si>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</si>
  <si>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</si>
  <si>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</si>
  <si>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</si>
  <si>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</si>
  <si>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</si>
  <si>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</si>
  <si>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</si>
  <si>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Общестроительные работы ниже отм. 0.000</t>
  </si>
  <si>
    <t>шт</t>
  </si>
  <si>
    <t>реализация</t>
  </si>
  <si>
    <t>план</t>
  </si>
  <si>
    <t xml:space="preserve"> Работа (руб.)</t>
  </si>
  <si>
    <t xml:space="preserve"> Материал (руб.)</t>
  </si>
  <si>
    <t xml:space="preserve"> Работа кол-во</t>
  </si>
  <si>
    <t xml:space="preserve"> Материал кол-во</t>
  </si>
  <si>
    <t>начало</t>
  </si>
  <si>
    <t>конец</t>
  </si>
  <si>
    <t>3</t>
  </si>
  <si>
    <t>м3</t>
  </si>
  <si>
    <t>3.1</t>
  </si>
  <si>
    <t>Устройство бетонной подготовки  под монолитную фундаментную плиту</t>
  </si>
  <si>
    <t>Бетон В7,5 W4 F7,5</t>
  </si>
  <si>
    <t>3.2</t>
  </si>
  <si>
    <t xml:space="preserve">Устройство фундаментной монолитной ж/б плиты </t>
  </si>
  <si>
    <t>3.2.1</t>
  </si>
  <si>
    <t>Бетон В30 W8 F200</t>
  </si>
  <si>
    <t>3.2.2</t>
  </si>
  <si>
    <t>Пластиковый фиксатор нижней арматуры</t>
  </si>
  <si>
    <t>3.2.3</t>
  </si>
  <si>
    <t>металл, в т.ч.:</t>
  </si>
  <si>
    <t>арматура 20А500С</t>
  </si>
  <si>
    <t>тн</t>
  </si>
  <si>
    <t>арматура 25А500С</t>
  </si>
  <si>
    <t xml:space="preserve">арматура 16А500С </t>
  </si>
  <si>
    <t>выпуски В, ВС, ВСН:</t>
  </si>
  <si>
    <t>арматура 16А500С</t>
  </si>
  <si>
    <t xml:space="preserve">арматура 12А500С </t>
  </si>
  <si>
    <t xml:space="preserve">арматура 10А500С </t>
  </si>
  <si>
    <t xml:space="preserve">арматура 8А500С </t>
  </si>
  <si>
    <t>арматура 8А240</t>
  </si>
  <si>
    <t>3.2.4</t>
  </si>
  <si>
    <t xml:space="preserve">вязальная проволока </t>
  </si>
  <si>
    <t>3.3</t>
  </si>
  <si>
    <t>Оклеечная гидроизоляция фундаментной плиты и  стен подвала в 2 слоя</t>
  </si>
  <si>
    <t>м2</t>
  </si>
  <si>
    <t>3.3.1</t>
  </si>
  <si>
    <t>Техноэласт ЭПП (2 слоя)</t>
  </si>
  <si>
    <t>3.3.2</t>
  </si>
  <si>
    <t>Праймер битумный</t>
  </si>
  <si>
    <t>кг</t>
  </si>
  <si>
    <t>3.4</t>
  </si>
  <si>
    <t>Устройство швов бетонирования (л.31 КЖ)</t>
  </si>
  <si>
    <t>пм</t>
  </si>
  <si>
    <t>3.4.1</t>
  </si>
  <si>
    <t>гидропрокладка  Penebar</t>
  </si>
  <si>
    <t>3.4.2</t>
  </si>
  <si>
    <t>Скоба крепежная (П-образный металлический профиль 15х25 для шнура)</t>
  </si>
  <si>
    <t>3.4.3</t>
  </si>
  <si>
    <t>Состав Скрепа М500, b=0,2 м s=0,01</t>
  </si>
  <si>
    <t>Техноэласт ЭПП b=0,2 м</t>
  </si>
  <si>
    <t>3.5</t>
  </si>
  <si>
    <t xml:space="preserve">Устройство монолитной ж/б наружней стены подвала </t>
  </si>
  <si>
    <t>3.5.1</t>
  </si>
  <si>
    <t>Бетон  В30 W8 F200</t>
  </si>
  <si>
    <t>3.5.2</t>
  </si>
  <si>
    <t>Труба 57*3 L=250мм</t>
  </si>
  <si>
    <t>шт.</t>
  </si>
  <si>
    <t>3.5.3</t>
  </si>
  <si>
    <t>Арматура Ф16А500С</t>
  </si>
  <si>
    <t>Арматура Ф12 А500С</t>
  </si>
  <si>
    <t>Арматура Ф8 А500С</t>
  </si>
  <si>
    <t>Арматура Ф8 А240</t>
  </si>
  <si>
    <t>3.5.4</t>
  </si>
  <si>
    <t>3.6</t>
  </si>
  <si>
    <t>Утепление стен подвала</t>
  </si>
  <si>
    <t>Экструдированный пенополистерол</t>
  </si>
  <si>
    <t>Клей пена Технониколь</t>
  </si>
  <si>
    <t>3.7</t>
  </si>
  <si>
    <t>Устройство монолитных стен лифтовой шахты в осях 4-8/Е-Ж на отм. -2,520 (Лш-2)</t>
  </si>
  <si>
    <t>3.7.1</t>
  </si>
  <si>
    <t xml:space="preserve">Бетон кл. B30 F200 W8 </t>
  </si>
  <si>
    <t>3.7.2</t>
  </si>
  <si>
    <t>Арматура Ф16 А500С</t>
  </si>
  <si>
    <t>Арматура ф10 А500С</t>
  </si>
  <si>
    <t>сталь полосовая t= 6мм</t>
  </si>
  <si>
    <t>сталь полосовая t=8мм</t>
  </si>
  <si>
    <t>3.7.3</t>
  </si>
  <si>
    <t>3.8</t>
  </si>
  <si>
    <t>Устройство монолитных стен лифтовой шахты в осях 4-6/К-Л на отм. -2,520</t>
  </si>
  <si>
    <t>3.8.1</t>
  </si>
  <si>
    <t>3.8.2</t>
  </si>
  <si>
    <t>3.8.3</t>
  </si>
  <si>
    <t>3.9</t>
  </si>
  <si>
    <t>Устройство монолитных стен лестничной клетки на отм. -2,520 в осях 4-6/М-П</t>
  </si>
  <si>
    <t>3.9.1</t>
  </si>
  <si>
    <t>3.9.2</t>
  </si>
  <si>
    <t>Арматура 16А500С</t>
  </si>
  <si>
    <t>Арматура 12А500С</t>
  </si>
  <si>
    <t>Арматура 8А500С</t>
  </si>
  <si>
    <t>Арматура 8А240</t>
  </si>
  <si>
    <t>3.9.3</t>
  </si>
  <si>
    <t>3.10</t>
  </si>
  <si>
    <t>Плита перекрытия на отм. -0,120</t>
  </si>
  <si>
    <t>3.10.1</t>
  </si>
  <si>
    <t>Бетон кл. B25 F100 W6</t>
  </si>
  <si>
    <t>3.10.2</t>
  </si>
  <si>
    <t>Нижнее армирование</t>
  </si>
  <si>
    <t>Арматура ф12 А500С</t>
  </si>
  <si>
    <t>Арматура ф16 А500С</t>
  </si>
  <si>
    <t>Арматура ф8 А240</t>
  </si>
  <si>
    <t>3.10.3</t>
  </si>
  <si>
    <t>Верхнее армирование</t>
  </si>
  <si>
    <t>Арматура ф20 А500С</t>
  </si>
  <si>
    <t>3.10.4</t>
  </si>
  <si>
    <t>Зд1</t>
  </si>
  <si>
    <t>Лист 6х100 L=100</t>
  </si>
  <si>
    <t>3.10.5</t>
  </si>
  <si>
    <t>Гильзы</t>
  </si>
  <si>
    <t>труба 159х4,0 L=220 по ГОСТ  10704-91</t>
  </si>
  <si>
    <t>труба 108х3,5 L=220 ГОСТ 10704-91</t>
  </si>
  <si>
    <t>3.10.6</t>
  </si>
  <si>
    <t>Фиксатор П-1</t>
  </si>
  <si>
    <t>3.10.7</t>
  </si>
  <si>
    <t>Балки Б-1 - 5шт, Б-2 - 6шт.</t>
  </si>
  <si>
    <t>3.10.8</t>
  </si>
  <si>
    <t>Термовкладыши</t>
  </si>
  <si>
    <t>пенополистерол Пеноплекс</t>
  </si>
  <si>
    <t>3.11</t>
  </si>
  <si>
    <t>Устройство монолитной лестницы Лм-1 входов в подвал в осях 1/Р-Н, 12/А-Д</t>
  </si>
  <si>
    <t>3.11.1</t>
  </si>
  <si>
    <t>Бетон В30 F200 W8</t>
  </si>
  <si>
    <t>3.11.2</t>
  </si>
  <si>
    <t>Арматура 12 А500С</t>
  </si>
  <si>
    <t>Арматура 8 А500С</t>
  </si>
  <si>
    <t>3.11.3</t>
  </si>
  <si>
    <t>Клеевой анкер Hilti HIT-MM PLUS</t>
  </si>
  <si>
    <t>мл</t>
  </si>
  <si>
    <t>Устройство монолитного ж/б каркаса выше отм. 0.000</t>
  </si>
  <si>
    <t>4.1</t>
  </si>
  <si>
    <t>Устройство наружных монолитных стен с отм. -0.120 до отм. +73.980</t>
  </si>
  <si>
    <t>4.1.1</t>
  </si>
  <si>
    <t>БетонВ30, F200, W8</t>
  </si>
  <si>
    <t>4.1.2</t>
  </si>
  <si>
    <t>БетонВ30, F200, W6</t>
  </si>
  <si>
    <t>4.1.3</t>
  </si>
  <si>
    <t>БетонВ25, F100, W6</t>
  </si>
  <si>
    <t>4.1.4</t>
  </si>
  <si>
    <t>Арматура 20 А500С</t>
  </si>
  <si>
    <t>Арматура 16 А500С</t>
  </si>
  <si>
    <t>Арматура 8 А240</t>
  </si>
  <si>
    <t>Сетка кладочная 5 Вр-1</t>
  </si>
  <si>
    <t>4.2</t>
  </si>
  <si>
    <t>Устройство внутренних монолитных стен с отм. -0.120 до отм. +73.980</t>
  </si>
  <si>
    <t>4.2.1</t>
  </si>
  <si>
    <t>4.2.2</t>
  </si>
  <si>
    <t>4.2.3</t>
  </si>
  <si>
    <t>4.2.4</t>
  </si>
  <si>
    <t>сетка кладочная 5 Вр-1</t>
  </si>
  <si>
    <t>Арматура ф25А240С (для геотехнического мониторинга на отм.-0,12)</t>
  </si>
  <si>
    <t>4.3</t>
  </si>
  <si>
    <t>Устройство монолитных перекрытий из бетона с отм.+2.920 до отм. +73.980</t>
  </si>
  <si>
    <t>4.3.1</t>
  </si>
  <si>
    <t>4.3.2</t>
  </si>
  <si>
    <t>Арматура ф25 А240</t>
  </si>
  <si>
    <t>4.3.3.</t>
  </si>
  <si>
    <t>4.3.4</t>
  </si>
  <si>
    <t>4.3.5</t>
  </si>
  <si>
    <t>Зд2</t>
  </si>
  <si>
    <t>Лист 6х100 L=200</t>
  </si>
  <si>
    <t>4.3.6</t>
  </si>
  <si>
    <t>Зд3</t>
  </si>
  <si>
    <t xml:space="preserve">Арматура 12 А500С </t>
  </si>
  <si>
    <t>Лист 8х150 L=400</t>
  </si>
  <si>
    <t>4.3.7</t>
  </si>
  <si>
    <t>4.3.8</t>
  </si>
  <si>
    <t>Фиксатор П-2</t>
  </si>
  <si>
    <t>4.3.9</t>
  </si>
  <si>
    <t>4.3.10</t>
  </si>
  <si>
    <t xml:space="preserve">Балка Б1 </t>
  </si>
  <si>
    <t>4.3.11</t>
  </si>
  <si>
    <t>Балка Б1.1</t>
  </si>
  <si>
    <t>4.3.12</t>
  </si>
  <si>
    <t>Балка Б1.2</t>
  </si>
  <si>
    <t>4.3.13</t>
  </si>
  <si>
    <t>Балка Б1.3</t>
  </si>
  <si>
    <t>4.4</t>
  </si>
  <si>
    <t>Устройство монолитных стен лифтового узла в осях 4-8/Е-Ж с отм. -0.120 до отм. +71,920</t>
  </si>
  <si>
    <t>4.4.1</t>
  </si>
  <si>
    <t>4.4.2</t>
  </si>
  <si>
    <t>4.4.3</t>
  </si>
  <si>
    <t>4.5</t>
  </si>
  <si>
    <t>Устройство монолитных стен лифтовой шахты в осях 4-6/К-Л с отм. -0.120 до отм. +71,920</t>
  </si>
  <si>
    <t>4.5.1</t>
  </si>
  <si>
    <t>4.5.2</t>
  </si>
  <si>
    <t>4.5.3</t>
  </si>
  <si>
    <t>4.6</t>
  </si>
  <si>
    <t>Устройство монолитных стен лестницы в осях 4-6/М-П с отм. -0.120 до отм. +71,920</t>
  </si>
  <si>
    <t>4.6.1</t>
  </si>
  <si>
    <t>4.6.2</t>
  </si>
  <si>
    <t>4.6.3</t>
  </si>
  <si>
    <t>4.7</t>
  </si>
  <si>
    <t>Устройство монолитных ж/б лестничных площадок из бетона в осях 4-6/М-П</t>
  </si>
  <si>
    <t>4.7.1</t>
  </si>
  <si>
    <t>4.7.2</t>
  </si>
  <si>
    <t>Арматура 10 А500С</t>
  </si>
  <si>
    <t>4.8</t>
  </si>
  <si>
    <t>Изготовление сеток, каркаса колонн и плит перекрытий</t>
  </si>
  <si>
    <t>4.8.1</t>
  </si>
  <si>
    <t>Изготовление каркаса плит перекрытий КР1</t>
  </si>
  <si>
    <t>4.8.2</t>
  </si>
  <si>
    <t>Изготовление каркаса плит перекрытий КР2</t>
  </si>
  <si>
    <t>4.8.3</t>
  </si>
  <si>
    <t>Изготовление каркаса колонн объемных l=1000,1200,1500,1800,2000,3000,3500мм</t>
  </si>
  <si>
    <t>4.8.4</t>
  </si>
  <si>
    <t>Изготовление сеток колонн С1</t>
  </si>
  <si>
    <t>4.8.5</t>
  </si>
  <si>
    <t>Изготовление сеток колонн С2</t>
  </si>
  <si>
    <t>4.8.6</t>
  </si>
  <si>
    <t>Изготовление сеток колонн С3</t>
  </si>
  <si>
    <t>5</t>
  </si>
  <si>
    <t>Устройство лестничных маршей ИМЛ 30.12.15-4</t>
  </si>
  <si>
    <t>5.1.1</t>
  </si>
  <si>
    <t>Лестничный марш ИМЛ 30.12.15-5</t>
  </si>
  <si>
    <t>5.1.2</t>
  </si>
  <si>
    <t>Уголок 50х5 (Упор У-1)</t>
  </si>
  <si>
    <t>Клиновой анкер  Ø12мм</t>
  </si>
  <si>
    <t>Ограждение лестничных маршей h=0,9 м (ГОСТ 25772-83)</t>
  </si>
  <si>
    <t>5.1.</t>
  </si>
  <si>
    <t>Устройство входной группы в осях 1/М-Н, 1/В-Д, 12/М-Н, 12/Д-Л, А/2-11</t>
  </si>
  <si>
    <t>БетонВ30 F200 W8</t>
  </si>
  <si>
    <t>БетонВ7,5 F50 W4</t>
  </si>
  <si>
    <t>Арматура 8 А240 (Фиксатор П-1)</t>
  </si>
  <si>
    <t xml:space="preserve">Утеплитель - экструдированный пенополистерол </t>
  </si>
  <si>
    <t>Оклеечная гидроизоляция Технониколь ЭПП</t>
  </si>
  <si>
    <t>5.2</t>
  </si>
  <si>
    <t>Устройство входной группы в осях 1/Л-Ж</t>
  </si>
  <si>
    <t>5.2.1</t>
  </si>
  <si>
    <t>5.2.2</t>
  </si>
  <si>
    <t>Арматура 8 А240 (Фиксатор П-2)</t>
  </si>
  <si>
    <t>Раздел 3. Устройство монолитного ж/б каркаса ниже отм. 0.000</t>
  </si>
  <si>
    <t>Раздел 4.  Устройство монолитного ж/б каркаса выше отм. 0.000</t>
  </si>
  <si>
    <t>Раздел 5.  Устройство входных групп</t>
  </si>
  <si>
    <t>4.9</t>
  </si>
  <si>
    <t>4.10</t>
  </si>
  <si>
    <t>4.11</t>
  </si>
  <si>
    <t>4.12</t>
  </si>
  <si>
    <t>4.13</t>
  </si>
  <si>
    <t>Устройство Опорных стен 11,62 м3</t>
  </si>
  <si>
    <t>Устройство Опорных стен 2,82 м3</t>
  </si>
  <si>
    <t xml:space="preserve">заливка бетона F200 </t>
  </si>
  <si>
    <t xml:space="preserve">заливка бетона F50 </t>
  </si>
  <si>
    <t>Площадка 1</t>
  </si>
  <si>
    <t>Площадка 2</t>
  </si>
  <si>
    <t>заливка бетона F50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</si>
</sst>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u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0" xfId="1"/>
    <xf numFmtId="4" fontId="4" fillId="3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/>
    </xf>
    <xf numFmtId="0" fontId="1" fillId="4" borderId="1" xfId="1" applyFill="1" applyBorder="1"/>
    <xf numFmtId="49" fontId="3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center" wrapText="1"/>
    </xf>
    <xf numFmtId="2" fontId="3" fillId="5" borderId="2" xfId="1" applyNumberFormat="1" applyFont="1" applyFill="1" applyBorder="1" applyAlignment="1">
      <alignment horizontal="center" vertical="center" wrapText="1"/>
    </xf>
    <xf numFmtId="43" fontId="2" fillId="5" borderId="1" xfId="2" applyNumberFormat="1" applyFont="1" applyFill="1" applyBorder="1" applyAlignment="1">
      <alignment horizontal="center" vertical="center"/>
    </xf>
    <xf numFmtId="0" fontId="2" fillId="0" borderId="0" xfId="1" applyFont="1"/>
    <xf numFmtId="49" fontId="3" fillId="2" borderId="1" xfId="1" applyNumberFormat="1" applyFont="1" applyFill="1" applyBorder="1" applyAlignment="1">
      <alignment horizontal="center" vertical="center" wrapText="1"/>
    </xf>
    <xf numFmtId="2" fontId="5" fillId="2" borderId="2" xfId="1" applyNumberFormat="1" applyFont="1" applyFill="1" applyBorder="1" applyAlignment="1">
      <alignment horizontal="center" vertical="center" wrapText="1"/>
    </xf>
    <xf numFmtId="43" fontId="1" fillId="0" borderId="1" xfId="2" applyNumberFormat="1" applyFont="1" applyBorder="1" applyAlignment="1">
      <alignment horizontal="center" vertical="center"/>
    </xf>
    <xf numFmtId="49" fontId="6" fillId="0" borderId="0" xfId="1" applyNumberFormat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4" fontId="3" fillId="2" borderId="2" xfId="1" applyNumberFormat="1" applyFont="1" applyFill="1" applyBorder="1" applyAlignment="1">
      <alignment horizontal="center" vertical="center" wrapText="1"/>
    </xf>
    <xf numFmtId="43" fontId="1" fillId="5" borderId="1" xfId="2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4" fontId="5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12" fillId="2" borderId="2" xfId="1" applyNumberFormat="1" applyFont="1" applyFill="1" applyBorder="1" applyAlignment="1">
      <alignment horizontal="center" vertical="center"/>
    </xf>
    <xf numFmtId="43" fontId="5" fillId="2" borderId="1" xfId="2" applyNumberFormat="1" applyFont="1" applyFill="1" applyBorder="1" applyAlignment="1">
      <alignment horizontal="center" vertical="center" wrapText="1"/>
    </xf>
    <xf numFmtId="2" fontId="12" fillId="2" borderId="2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2" fontId="5" fillId="2" borderId="5" xfId="1" applyNumberFormat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vertical="center" wrapText="1"/>
    </xf>
    <xf numFmtId="2" fontId="3" fillId="2" borderId="5" xfId="1" applyNumberFormat="1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3" fontId="14" fillId="0" borderId="1" xfId="2" applyNumberFormat="1" applyFont="1" applyBorder="1" applyAlignment="1">
      <alignment horizontal="center" vertical="center"/>
    </xf>
    <xf numFmtId="43" fontId="1" fillId="0" borderId="1" xfId="2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 wrapText="1"/>
    </xf>
    <xf numFmtId="43" fontId="6" fillId="5" borderId="1" xfId="2" applyNumberFormat="1" applyFont="1" applyFill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vertical="center" wrapText="1"/>
    </xf>
    <xf numFmtId="2" fontId="5" fillId="2" borderId="2" xfId="1" applyNumberFormat="1" applyFont="1" applyFill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 vertical="center" wrapText="1"/>
    </xf>
    <xf numFmtId="4" fontId="8" fillId="2" borderId="1" xfId="1" applyNumberFormat="1" applyFont="1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horizontal="center" vertical="center" wrapText="1"/>
    </xf>
    <xf numFmtId="43" fontId="15" fillId="5" borderId="1" xfId="2" applyNumberFormat="1" applyFont="1" applyFill="1" applyBorder="1" applyAlignment="1">
      <alignment horizontal="center" vertical="center"/>
    </xf>
    <xf numFmtId="43" fontId="16" fillId="5" borderId="1" xfId="2" applyNumberFormat="1" applyFont="1" applyFill="1" applyBorder="1" applyAlignment="1">
      <alignment horizontal="center" vertical="center"/>
    </xf>
    <xf numFmtId="43" fontId="1" fillId="5" borderId="1" xfId="2" applyNumberFormat="1" applyFont="1" applyFill="1" applyBorder="1"/>
    <xf numFmtId="1" fontId="3" fillId="2" borderId="1" xfId="1" applyNumberFormat="1" applyFont="1" applyFill="1" applyBorder="1" applyAlignment="1">
      <alignment horizontal="center" vertical="center" wrapText="1"/>
    </xf>
    <xf numFmtId="43" fontId="15" fillId="0" borderId="1" xfId="2" applyNumberFormat="1" applyFont="1" applyBorder="1" applyAlignment="1">
      <alignment horizontal="center" vertical="center"/>
    </xf>
    <xf numFmtId="43" fontId="4" fillId="0" borderId="1" xfId="2" applyNumberFormat="1" applyFont="1" applyBorder="1" applyAlignment="1">
      <alignment horizontal="center" vertical="center"/>
    </xf>
    <xf numFmtId="43" fontId="2" fillId="0" borderId="1" xfId="2" applyNumberFormat="1" applyFont="1" applyBorder="1"/>
    <xf numFmtId="1" fontId="5" fillId="2" borderId="1" xfId="1" applyNumberFormat="1" applyFont="1" applyFill="1" applyBorder="1" applyAlignment="1">
      <alignment horizontal="center" vertical="center" wrapText="1"/>
    </xf>
    <xf numFmtId="43" fontId="9" fillId="0" borderId="1" xfId="2" applyNumberFormat="1" applyFont="1" applyBorder="1" applyAlignment="1">
      <alignment horizontal="center" vertical="center"/>
    </xf>
    <xf numFmtId="43" fontId="16" fillId="0" borderId="1" xfId="2" applyNumberFormat="1" applyFont="1" applyBorder="1" applyAlignment="1">
      <alignment horizontal="center" vertical="center"/>
    </xf>
    <xf numFmtId="43" fontId="1" fillId="0" borderId="1" xfId="2" applyNumberFormat="1" applyFont="1" applyBorder="1"/>
    <xf numFmtId="164" fontId="5" fillId="2" borderId="1" xfId="1" applyNumberFormat="1" applyFont="1" applyFill="1" applyBorder="1" applyAlignment="1">
      <alignment horizontal="center" vertical="center" wrapText="1"/>
    </xf>
    <xf numFmtId="0" fontId="1" fillId="0" borderId="0" xfId="1" applyFill="1"/>
    <xf numFmtId="0" fontId="17" fillId="5" borderId="1" xfId="1" applyFont="1" applyFill="1" applyBorder="1" applyAlignment="1">
      <alignment horizontal="center" vertical="center" wrapText="1"/>
    </xf>
    <xf numFmtId="164" fontId="17" fillId="5" borderId="2" xfId="1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righ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right" vertical="center" wrapText="1"/>
    </xf>
    <xf numFmtId="0" fontId="5" fillId="6" borderId="1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horizontal="right" vertical="center" wrapText="1"/>
    </xf>
    <xf numFmtId="0" fontId="5" fillId="6" borderId="4" xfId="1" applyFont="1" applyFill="1" applyBorder="1" applyAlignment="1">
      <alignment vertical="center" wrapText="1"/>
    </xf>
    <xf numFmtId="0" fontId="5" fillId="6" borderId="4" xfId="1" applyFont="1" applyFill="1" applyBorder="1" applyAlignment="1">
      <alignment horizontal="left" vertical="center" wrapText="1"/>
    </xf>
    <xf numFmtId="0" fontId="13" fillId="6" borderId="4" xfId="1" applyFont="1" applyFill="1" applyBorder="1" applyAlignment="1">
      <alignment horizontal="left" vertical="center" wrapText="1"/>
    </xf>
    <xf numFmtId="4" fontId="5" fillId="2" borderId="2" xfId="1" applyNumberFormat="1" applyFont="1" applyFill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6" borderId="1" xfId="1" applyFont="1" applyFill="1" applyBorder="1" applyAlignment="1">
      <alignment horizontal="left" vertical="center" wrapText="1"/>
    </xf>
    <xf numFmtId="0" fontId="18" fillId="6" borderId="1" xfId="1" applyFont="1" applyFill="1" applyBorder="1" applyAlignment="1">
      <alignment horizontal="left" vertical="center" wrapText="1"/>
    </xf>
    <xf numFmtId="4" fontId="19" fillId="2" borderId="2" xfId="1" applyNumberFormat="1" applyFont="1" applyFill="1" applyBorder="1" applyAlignment="1">
      <alignment horizontal="left" vertical="center" wrapText="1"/>
    </xf>
    <xf numFmtId="4" fontId="19" fillId="2" borderId="1" xfId="1" applyNumberFormat="1" applyFont="1" applyFill="1" applyBorder="1" applyAlignment="1">
      <alignment horizontal="left" vertical="center" wrapText="1"/>
    </xf>
    <xf numFmtId="49" fontId="17" fillId="5" borderId="1" xfId="1" applyNumberFormat="1" applyFont="1" applyFill="1" applyBorder="1" applyAlignment="1">
      <alignment horizontal="center" vertical="center" wrapText="1"/>
    </xf>
    <xf numFmtId="49" fontId="17" fillId="2" borderId="1" xfId="1" applyNumberFormat="1" applyFont="1" applyFill="1" applyBorder="1" applyAlignment="1">
      <alignment horizontal="center" vertical="center" wrapText="1"/>
    </xf>
    <xf numFmtId="49" fontId="18" fillId="2" borderId="1" xfId="1" applyNumberFormat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right" vertical="center" wrapText="1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abSelected="1" topLeftCell="A240" workbookViewId="0">
      <selection activeCell="E256" sqref="E256"/>
    </sheetView>
  </sheetViews>
  <sheetFormatPr defaultRowHeight="15.05" x14ac:dyDescent="0.3"/>
  <cols>
    <col min="1" max="1" width="8.88671875" style="23"/>
    <col min="2" max="2" width="63.109375" style="6" customWidth="1"/>
    <col min="3" max="3" width="8.88671875" style="24"/>
    <col min="4" max="4" width="14.109375" style="24" customWidth="1"/>
    <col min="5" max="5" width="13.109375" style="25" bestFit="1" customWidth="1"/>
    <col min="6" max="6" width="14.5546875" style="25" bestFit="1" customWidth="1"/>
    <col min="7" max="7" width="17.33203125" style="6" customWidth="1"/>
    <col min="8" max="8" width="16.88671875" style="6" customWidth="1"/>
    <col min="9" max="9" width="15.88671875" style="6" customWidth="1"/>
    <col min="10" max="252" width="8.88671875" style="6"/>
    <col min="253" max="253" width="63.109375" style="6" customWidth="1"/>
    <col min="254" max="254" width="8.88671875" style="6"/>
    <col min="255" max="255" width="14.109375" style="6" customWidth="1"/>
    <col min="256" max="256" width="12.109375" style="6" customWidth="1"/>
    <col min="257" max="257" width="12.44140625" style="6" customWidth="1"/>
    <col min="258" max="258" width="17.33203125" style="6" customWidth="1"/>
    <col min="259" max="259" width="16.88671875" style="6" customWidth="1"/>
    <col min="260" max="260" width="15.88671875" style="6" customWidth="1"/>
    <col min="261" max="508" width="8.88671875" style="6"/>
    <col min="509" max="509" width="63.109375" style="6" customWidth="1"/>
    <col min="510" max="510" width="8.88671875" style="6"/>
    <col min="511" max="511" width="14.109375" style="6" customWidth="1"/>
    <col min="512" max="512" width="12.109375" style="6" customWidth="1"/>
    <col min="513" max="513" width="12.44140625" style="6" customWidth="1"/>
    <col min="514" max="514" width="17.33203125" style="6" customWidth="1"/>
    <col min="515" max="515" width="16.88671875" style="6" customWidth="1"/>
    <col min="516" max="516" width="15.88671875" style="6" customWidth="1"/>
    <col min="517" max="764" width="8.88671875" style="6"/>
    <col min="765" max="765" width="63.109375" style="6" customWidth="1"/>
    <col min="766" max="766" width="8.88671875" style="6"/>
    <col min="767" max="767" width="14.109375" style="6" customWidth="1"/>
    <col min="768" max="768" width="12.109375" style="6" customWidth="1"/>
    <col min="769" max="769" width="12.44140625" style="6" customWidth="1"/>
    <col min="770" max="770" width="17.33203125" style="6" customWidth="1"/>
    <col min="771" max="771" width="16.88671875" style="6" customWidth="1"/>
    <col min="772" max="772" width="15.88671875" style="6" customWidth="1"/>
    <col min="773" max="1020" width="8.88671875" style="6"/>
    <col min="1021" max="1021" width="63.109375" style="6" customWidth="1"/>
    <col min="1022" max="1022" width="8.88671875" style="6"/>
    <col min="1023" max="1023" width="14.109375" style="6" customWidth="1"/>
    <col min="1024" max="1024" width="12.109375" style="6" customWidth="1"/>
    <col min="1025" max="1025" width="12.44140625" style="6" customWidth="1"/>
    <col min="1026" max="1026" width="17.33203125" style="6" customWidth="1"/>
    <col min="1027" max="1027" width="16.88671875" style="6" customWidth="1"/>
    <col min="1028" max="1028" width="15.88671875" style="6" customWidth="1"/>
    <col min="1029" max="1276" width="8.88671875" style="6"/>
    <col min="1277" max="1277" width="63.109375" style="6" customWidth="1"/>
    <col min="1278" max="1278" width="8.88671875" style="6"/>
    <col min="1279" max="1279" width="14.109375" style="6" customWidth="1"/>
    <col min="1280" max="1280" width="12.109375" style="6" customWidth="1"/>
    <col min="1281" max="1281" width="12.44140625" style="6" customWidth="1"/>
    <col min="1282" max="1282" width="17.33203125" style="6" customWidth="1"/>
    <col min="1283" max="1283" width="16.88671875" style="6" customWidth="1"/>
    <col min="1284" max="1284" width="15.88671875" style="6" customWidth="1"/>
    <col min="1285" max="1532" width="8.88671875" style="6"/>
    <col min="1533" max="1533" width="63.109375" style="6" customWidth="1"/>
    <col min="1534" max="1534" width="8.88671875" style="6"/>
    <col min="1535" max="1535" width="14.109375" style="6" customWidth="1"/>
    <col min="1536" max="1536" width="12.109375" style="6" customWidth="1"/>
    <col min="1537" max="1537" width="12.44140625" style="6" customWidth="1"/>
    <col min="1538" max="1538" width="17.33203125" style="6" customWidth="1"/>
    <col min="1539" max="1539" width="16.88671875" style="6" customWidth="1"/>
    <col min="1540" max="1540" width="15.88671875" style="6" customWidth="1"/>
    <col min="1541" max="1788" width="8.88671875" style="6"/>
    <col min="1789" max="1789" width="63.109375" style="6" customWidth="1"/>
    <col min="1790" max="1790" width="8.88671875" style="6"/>
    <col min="1791" max="1791" width="14.109375" style="6" customWidth="1"/>
    <col min="1792" max="1792" width="12.109375" style="6" customWidth="1"/>
    <col min="1793" max="1793" width="12.44140625" style="6" customWidth="1"/>
    <col min="1794" max="1794" width="17.33203125" style="6" customWidth="1"/>
    <col min="1795" max="1795" width="16.88671875" style="6" customWidth="1"/>
    <col min="1796" max="1796" width="15.88671875" style="6" customWidth="1"/>
    <col min="1797" max="2044" width="8.88671875" style="6"/>
    <col min="2045" max="2045" width="63.109375" style="6" customWidth="1"/>
    <col min="2046" max="2046" width="8.88671875" style="6"/>
    <col min="2047" max="2047" width="14.109375" style="6" customWidth="1"/>
    <col min="2048" max="2048" width="12.109375" style="6" customWidth="1"/>
    <col min="2049" max="2049" width="12.44140625" style="6" customWidth="1"/>
    <col min="2050" max="2050" width="17.33203125" style="6" customWidth="1"/>
    <col min="2051" max="2051" width="16.88671875" style="6" customWidth="1"/>
    <col min="2052" max="2052" width="15.88671875" style="6" customWidth="1"/>
    <col min="2053" max="2300" width="8.88671875" style="6"/>
    <col min="2301" max="2301" width="63.109375" style="6" customWidth="1"/>
    <col min="2302" max="2302" width="8.88671875" style="6"/>
    <col min="2303" max="2303" width="14.109375" style="6" customWidth="1"/>
    <col min="2304" max="2304" width="12.109375" style="6" customWidth="1"/>
    <col min="2305" max="2305" width="12.44140625" style="6" customWidth="1"/>
    <col min="2306" max="2306" width="17.33203125" style="6" customWidth="1"/>
    <col min="2307" max="2307" width="16.88671875" style="6" customWidth="1"/>
    <col min="2308" max="2308" width="15.88671875" style="6" customWidth="1"/>
    <col min="2309" max="2556" width="8.88671875" style="6"/>
    <col min="2557" max="2557" width="63.109375" style="6" customWidth="1"/>
    <col min="2558" max="2558" width="8.88671875" style="6"/>
    <col min="2559" max="2559" width="14.109375" style="6" customWidth="1"/>
    <col min="2560" max="2560" width="12.109375" style="6" customWidth="1"/>
    <col min="2561" max="2561" width="12.44140625" style="6" customWidth="1"/>
    <col min="2562" max="2562" width="17.33203125" style="6" customWidth="1"/>
    <col min="2563" max="2563" width="16.88671875" style="6" customWidth="1"/>
    <col min="2564" max="2564" width="15.88671875" style="6" customWidth="1"/>
    <col min="2565" max="2812" width="8.88671875" style="6"/>
    <col min="2813" max="2813" width="63.109375" style="6" customWidth="1"/>
    <col min="2814" max="2814" width="8.88671875" style="6"/>
    <col min="2815" max="2815" width="14.109375" style="6" customWidth="1"/>
    <col min="2816" max="2816" width="12.109375" style="6" customWidth="1"/>
    <col min="2817" max="2817" width="12.44140625" style="6" customWidth="1"/>
    <col min="2818" max="2818" width="17.33203125" style="6" customWidth="1"/>
    <col min="2819" max="2819" width="16.88671875" style="6" customWidth="1"/>
    <col min="2820" max="2820" width="15.88671875" style="6" customWidth="1"/>
    <col min="2821" max="3068" width="8.88671875" style="6"/>
    <col min="3069" max="3069" width="63.109375" style="6" customWidth="1"/>
    <col min="3070" max="3070" width="8.88671875" style="6"/>
    <col min="3071" max="3071" width="14.109375" style="6" customWidth="1"/>
    <col min="3072" max="3072" width="12.109375" style="6" customWidth="1"/>
    <col min="3073" max="3073" width="12.44140625" style="6" customWidth="1"/>
    <col min="3074" max="3074" width="17.33203125" style="6" customWidth="1"/>
    <col min="3075" max="3075" width="16.88671875" style="6" customWidth="1"/>
    <col min="3076" max="3076" width="15.88671875" style="6" customWidth="1"/>
    <col min="3077" max="3324" width="8.88671875" style="6"/>
    <col min="3325" max="3325" width="63.109375" style="6" customWidth="1"/>
    <col min="3326" max="3326" width="8.88671875" style="6"/>
    <col min="3327" max="3327" width="14.109375" style="6" customWidth="1"/>
    <col min="3328" max="3328" width="12.109375" style="6" customWidth="1"/>
    <col min="3329" max="3329" width="12.44140625" style="6" customWidth="1"/>
    <col min="3330" max="3330" width="17.33203125" style="6" customWidth="1"/>
    <col min="3331" max="3331" width="16.88671875" style="6" customWidth="1"/>
    <col min="3332" max="3332" width="15.88671875" style="6" customWidth="1"/>
    <col min="3333" max="3580" width="8.88671875" style="6"/>
    <col min="3581" max="3581" width="63.109375" style="6" customWidth="1"/>
    <col min="3582" max="3582" width="8.88671875" style="6"/>
    <col min="3583" max="3583" width="14.109375" style="6" customWidth="1"/>
    <col min="3584" max="3584" width="12.109375" style="6" customWidth="1"/>
    <col min="3585" max="3585" width="12.44140625" style="6" customWidth="1"/>
    <col min="3586" max="3586" width="17.33203125" style="6" customWidth="1"/>
    <col min="3587" max="3587" width="16.88671875" style="6" customWidth="1"/>
    <col min="3588" max="3588" width="15.88671875" style="6" customWidth="1"/>
    <col min="3589" max="3836" width="8.88671875" style="6"/>
    <col min="3837" max="3837" width="63.109375" style="6" customWidth="1"/>
    <col min="3838" max="3838" width="8.88671875" style="6"/>
    <col min="3839" max="3839" width="14.109375" style="6" customWidth="1"/>
    <col min="3840" max="3840" width="12.109375" style="6" customWidth="1"/>
    <col min="3841" max="3841" width="12.44140625" style="6" customWidth="1"/>
    <col min="3842" max="3842" width="17.33203125" style="6" customWidth="1"/>
    <col min="3843" max="3843" width="16.88671875" style="6" customWidth="1"/>
    <col min="3844" max="3844" width="15.88671875" style="6" customWidth="1"/>
    <col min="3845" max="4092" width="8.88671875" style="6"/>
    <col min="4093" max="4093" width="63.109375" style="6" customWidth="1"/>
    <col min="4094" max="4094" width="8.88671875" style="6"/>
    <col min="4095" max="4095" width="14.109375" style="6" customWidth="1"/>
    <col min="4096" max="4096" width="12.109375" style="6" customWidth="1"/>
    <col min="4097" max="4097" width="12.44140625" style="6" customWidth="1"/>
    <col min="4098" max="4098" width="17.33203125" style="6" customWidth="1"/>
    <col min="4099" max="4099" width="16.88671875" style="6" customWidth="1"/>
    <col min="4100" max="4100" width="15.88671875" style="6" customWidth="1"/>
    <col min="4101" max="4348" width="8.88671875" style="6"/>
    <col min="4349" max="4349" width="63.109375" style="6" customWidth="1"/>
    <col min="4350" max="4350" width="8.88671875" style="6"/>
    <col min="4351" max="4351" width="14.109375" style="6" customWidth="1"/>
    <col min="4352" max="4352" width="12.109375" style="6" customWidth="1"/>
    <col min="4353" max="4353" width="12.44140625" style="6" customWidth="1"/>
    <col min="4354" max="4354" width="17.33203125" style="6" customWidth="1"/>
    <col min="4355" max="4355" width="16.88671875" style="6" customWidth="1"/>
    <col min="4356" max="4356" width="15.88671875" style="6" customWidth="1"/>
    <col min="4357" max="4604" width="8.88671875" style="6"/>
    <col min="4605" max="4605" width="63.109375" style="6" customWidth="1"/>
    <col min="4606" max="4606" width="8.88671875" style="6"/>
    <col min="4607" max="4607" width="14.109375" style="6" customWidth="1"/>
    <col min="4608" max="4608" width="12.109375" style="6" customWidth="1"/>
    <col min="4609" max="4609" width="12.44140625" style="6" customWidth="1"/>
    <col min="4610" max="4610" width="17.33203125" style="6" customWidth="1"/>
    <col min="4611" max="4611" width="16.88671875" style="6" customWidth="1"/>
    <col min="4612" max="4612" width="15.88671875" style="6" customWidth="1"/>
    <col min="4613" max="4860" width="8.88671875" style="6"/>
    <col min="4861" max="4861" width="63.109375" style="6" customWidth="1"/>
    <col min="4862" max="4862" width="8.88671875" style="6"/>
    <col min="4863" max="4863" width="14.109375" style="6" customWidth="1"/>
    <col min="4864" max="4864" width="12.109375" style="6" customWidth="1"/>
    <col min="4865" max="4865" width="12.44140625" style="6" customWidth="1"/>
    <col min="4866" max="4866" width="17.33203125" style="6" customWidth="1"/>
    <col min="4867" max="4867" width="16.88671875" style="6" customWidth="1"/>
    <col min="4868" max="4868" width="15.88671875" style="6" customWidth="1"/>
    <col min="4869" max="5116" width="8.88671875" style="6"/>
    <col min="5117" max="5117" width="63.109375" style="6" customWidth="1"/>
    <col min="5118" max="5118" width="8.88671875" style="6"/>
    <col min="5119" max="5119" width="14.109375" style="6" customWidth="1"/>
    <col min="5120" max="5120" width="12.109375" style="6" customWidth="1"/>
    <col min="5121" max="5121" width="12.44140625" style="6" customWidth="1"/>
    <col min="5122" max="5122" width="17.33203125" style="6" customWidth="1"/>
    <col min="5123" max="5123" width="16.88671875" style="6" customWidth="1"/>
    <col min="5124" max="5124" width="15.88671875" style="6" customWidth="1"/>
    <col min="5125" max="5372" width="8.88671875" style="6"/>
    <col min="5373" max="5373" width="63.109375" style="6" customWidth="1"/>
    <col min="5374" max="5374" width="8.88671875" style="6"/>
    <col min="5375" max="5375" width="14.109375" style="6" customWidth="1"/>
    <col min="5376" max="5376" width="12.109375" style="6" customWidth="1"/>
    <col min="5377" max="5377" width="12.44140625" style="6" customWidth="1"/>
    <col min="5378" max="5378" width="17.33203125" style="6" customWidth="1"/>
    <col min="5379" max="5379" width="16.88671875" style="6" customWidth="1"/>
    <col min="5380" max="5380" width="15.88671875" style="6" customWidth="1"/>
    <col min="5381" max="5628" width="8.88671875" style="6"/>
    <col min="5629" max="5629" width="63.109375" style="6" customWidth="1"/>
    <col min="5630" max="5630" width="8.88671875" style="6"/>
    <col min="5631" max="5631" width="14.109375" style="6" customWidth="1"/>
    <col min="5632" max="5632" width="12.109375" style="6" customWidth="1"/>
    <col min="5633" max="5633" width="12.44140625" style="6" customWidth="1"/>
    <col min="5634" max="5634" width="17.33203125" style="6" customWidth="1"/>
    <col min="5635" max="5635" width="16.88671875" style="6" customWidth="1"/>
    <col min="5636" max="5636" width="15.88671875" style="6" customWidth="1"/>
    <col min="5637" max="5884" width="8.88671875" style="6"/>
    <col min="5885" max="5885" width="63.109375" style="6" customWidth="1"/>
    <col min="5886" max="5886" width="8.88671875" style="6"/>
    <col min="5887" max="5887" width="14.109375" style="6" customWidth="1"/>
    <col min="5888" max="5888" width="12.109375" style="6" customWidth="1"/>
    <col min="5889" max="5889" width="12.44140625" style="6" customWidth="1"/>
    <col min="5890" max="5890" width="17.33203125" style="6" customWidth="1"/>
    <col min="5891" max="5891" width="16.88671875" style="6" customWidth="1"/>
    <col min="5892" max="5892" width="15.88671875" style="6" customWidth="1"/>
    <col min="5893" max="6140" width="8.88671875" style="6"/>
    <col min="6141" max="6141" width="63.109375" style="6" customWidth="1"/>
    <col min="6142" max="6142" width="8.88671875" style="6"/>
    <col min="6143" max="6143" width="14.109375" style="6" customWidth="1"/>
    <col min="6144" max="6144" width="12.109375" style="6" customWidth="1"/>
    <col min="6145" max="6145" width="12.44140625" style="6" customWidth="1"/>
    <col min="6146" max="6146" width="17.33203125" style="6" customWidth="1"/>
    <col min="6147" max="6147" width="16.88671875" style="6" customWidth="1"/>
    <col min="6148" max="6148" width="15.88671875" style="6" customWidth="1"/>
    <col min="6149" max="6396" width="8.88671875" style="6"/>
    <col min="6397" max="6397" width="63.109375" style="6" customWidth="1"/>
    <col min="6398" max="6398" width="8.88671875" style="6"/>
    <col min="6399" max="6399" width="14.109375" style="6" customWidth="1"/>
    <col min="6400" max="6400" width="12.109375" style="6" customWidth="1"/>
    <col min="6401" max="6401" width="12.44140625" style="6" customWidth="1"/>
    <col min="6402" max="6402" width="17.33203125" style="6" customWidth="1"/>
    <col min="6403" max="6403" width="16.88671875" style="6" customWidth="1"/>
    <col min="6404" max="6404" width="15.88671875" style="6" customWidth="1"/>
    <col min="6405" max="6652" width="8.88671875" style="6"/>
    <col min="6653" max="6653" width="63.109375" style="6" customWidth="1"/>
    <col min="6654" max="6654" width="8.88671875" style="6"/>
    <col min="6655" max="6655" width="14.109375" style="6" customWidth="1"/>
    <col min="6656" max="6656" width="12.109375" style="6" customWidth="1"/>
    <col min="6657" max="6657" width="12.44140625" style="6" customWidth="1"/>
    <col min="6658" max="6658" width="17.33203125" style="6" customWidth="1"/>
    <col min="6659" max="6659" width="16.88671875" style="6" customWidth="1"/>
    <col min="6660" max="6660" width="15.88671875" style="6" customWidth="1"/>
    <col min="6661" max="6908" width="8.88671875" style="6"/>
    <col min="6909" max="6909" width="63.109375" style="6" customWidth="1"/>
    <col min="6910" max="6910" width="8.88671875" style="6"/>
    <col min="6911" max="6911" width="14.109375" style="6" customWidth="1"/>
    <col min="6912" max="6912" width="12.109375" style="6" customWidth="1"/>
    <col min="6913" max="6913" width="12.44140625" style="6" customWidth="1"/>
    <col min="6914" max="6914" width="17.33203125" style="6" customWidth="1"/>
    <col min="6915" max="6915" width="16.88671875" style="6" customWidth="1"/>
    <col min="6916" max="6916" width="15.88671875" style="6" customWidth="1"/>
    <col min="6917" max="7164" width="8.88671875" style="6"/>
    <col min="7165" max="7165" width="63.109375" style="6" customWidth="1"/>
    <col min="7166" max="7166" width="8.88671875" style="6"/>
    <col min="7167" max="7167" width="14.109375" style="6" customWidth="1"/>
    <col min="7168" max="7168" width="12.109375" style="6" customWidth="1"/>
    <col min="7169" max="7169" width="12.44140625" style="6" customWidth="1"/>
    <col min="7170" max="7170" width="17.33203125" style="6" customWidth="1"/>
    <col min="7171" max="7171" width="16.88671875" style="6" customWidth="1"/>
    <col min="7172" max="7172" width="15.88671875" style="6" customWidth="1"/>
    <col min="7173" max="7420" width="8.88671875" style="6"/>
    <col min="7421" max="7421" width="63.109375" style="6" customWidth="1"/>
    <col min="7422" max="7422" width="8.88671875" style="6"/>
    <col min="7423" max="7423" width="14.109375" style="6" customWidth="1"/>
    <col min="7424" max="7424" width="12.109375" style="6" customWidth="1"/>
    <col min="7425" max="7425" width="12.44140625" style="6" customWidth="1"/>
    <col min="7426" max="7426" width="17.33203125" style="6" customWidth="1"/>
    <col min="7427" max="7427" width="16.88671875" style="6" customWidth="1"/>
    <col min="7428" max="7428" width="15.88671875" style="6" customWidth="1"/>
    <col min="7429" max="7676" width="8.88671875" style="6"/>
    <col min="7677" max="7677" width="63.109375" style="6" customWidth="1"/>
    <col min="7678" max="7678" width="8.88671875" style="6"/>
    <col min="7679" max="7679" width="14.109375" style="6" customWidth="1"/>
    <col min="7680" max="7680" width="12.109375" style="6" customWidth="1"/>
    <col min="7681" max="7681" width="12.44140625" style="6" customWidth="1"/>
    <col min="7682" max="7682" width="17.33203125" style="6" customWidth="1"/>
    <col min="7683" max="7683" width="16.88671875" style="6" customWidth="1"/>
    <col min="7684" max="7684" width="15.88671875" style="6" customWidth="1"/>
    <col min="7685" max="7932" width="8.88671875" style="6"/>
    <col min="7933" max="7933" width="63.109375" style="6" customWidth="1"/>
    <col min="7934" max="7934" width="8.88671875" style="6"/>
    <col min="7935" max="7935" width="14.109375" style="6" customWidth="1"/>
    <col min="7936" max="7936" width="12.109375" style="6" customWidth="1"/>
    <col min="7937" max="7937" width="12.44140625" style="6" customWidth="1"/>
    <col min="7938" max="7938" width="17.33203125" style="6" customWidth="1"/>
    <col min="7939" max="7939" width="16.88671875" style="6" customWidth="1"/>
    <col min="7940" max="7940" width="15.88671875" style="6" customWidth="1"/>
    <col min="7941" max="8188" width="8.88671875" style="6"/>
    <col min="8189" max="8189" width="63.109375" style="6" customWidth="1"/>
    <col min="8190" max="8190" width="8.88671875" style="6"/>
    <col min="8191" max="8191" width="14.109375" style="6" customWidth="1"/>
    <col min="8192" max="8192" width="12.109375" style="6" customWidth="1"/>
    <col min="8193" max="8193" width="12.44140625" style="6" customWidth="1"/>
    <col min="8194" max="8194" width="17.33203125" style="6" customWidth="1"/>
    <col min="8195" max="8195" width="16.88671875" style="6" customWidth="1"/>
    <col min="8196" max="8196" width="15.88671875" style="6" customWidth="1"/>
    <col min="8197" max="8444" width="8.88671875" style="6"/>
    <col min="8445" max="8445" width="63.109375" style="6" customWidth="1"/>
    <col min="8446" max="8446" width="8.88671875" style="6"/>
    <col min="8447" max="8447" width="14.109375" style="6" customWidth="1"/>
    <col min="8448" max="8448" width="12.109375" style="6" customWidth="1"/>
    <col min="8449" max="8449" width="12.44140625" style="6" customWidth="1"/>
    <col min="8450" max="8450" width="17.33203125" style="6" customWidth="1"/>
    <col min="8451" max="8451" width="16.88671875" style="6" customWidth="1"/>
    <col min="8452" max="8452" width="15.88671875" style="6" customWidth="1"/>
    <col min="8453" max="8700" width="8.88671875" style="6"/>
    <col min="8701" max="8701" width="63.109375" style="6" customWidth="1"/>
    <col min="8702" max="8702" width="8.88671875" style="6"/>
    <col min="8703" max="8703" width="14.109375" style="6" customWidth="1"/>
    <col min="8704" max="8704" width="12.109375" style="6" customWidth="1"/>
    <col min="8705" max="8705" width="12.44140625" style="6" customWidth="1"/>
    <col min="8706" max="8706" width="17.33203125" style="6" customWidth="1"/>
    <col min="8707" max="8707" width="16.88671875" style="6" customWidth="1"/>
    <col min="8708" max="8708" width="15.88671875" style="6" customWidth="1"/>
    <col min="8709" max="8956" width="8.88671875" style="6"/>
    <col min="8957" max="8957" width="63.109375" style="6" customWidth="1"/>
    <col min="8958" max="8958" width="8.88671875" style="6"/>
    <col min="8959" max="8959" width="14.109375" style="6" customWidth="1"/>
    <col min="8960" max="8960" width="12.109375" style="6" customWidth="1"/>
    <col min="8961" max="8961" width="12.44140625" style="6" customWidth="1"/>
    <col min="8962" max="8962" width="17.33203125" style="6" customWidth="1"/>
    <col min="8963" max="8963" width="16.88671875" style="6" customWidth="1"/>
    <col min="8964" max="8964" width="15.88671875" style="6" customWidth="1"/>
    <col min="8965" max="9212" width="8.88671875" style="6"/>
    <col min="9213" max="9213" width="63.109375" style="6" customWidth="1"/>
    <col min="9214" max="9214" width="8.88671875" style="6"/>
    <col min="9215" max="9215" width="14.109375" style="6" customWidth="1"/>
    <col min="9216" max="9216" width="12.109375" style="6" customWidth="1"/>
    <col min="9217" max="9217" width="12.44140625" style="6" customWidth="1"/>
    <col min="9218" max="9218" width="17.33203125" style="6" customWidth="1"/>
    <col min="9219" max="9219" width="16.88671875" style="6" customWidth="1"/>
    <col min="9220" max="9220" width="15.88671875" style="6" customWidth="1"/>
    <col min="9221" max="9468" width="8.88671875" style="6"/>
    <col min="9469" max="9469" width="63.109375" style="6" customWidth="1"/>
    <col min="9470" max="9470" width="8.88671875" style="6"/>
    <col min="9471" max="9471" width="14.109375" style="6" customWidth="1"/>
    <col min="9472" max="9472" width="12.109375" style="6" customWidth="1"/>
    <col min="9473" max="9473" width="12.44140625" style="6" customWidth="1"/>
    <col min="9474" max="9474" width="17.33203125" style="6" customWidth="1"/>
    <col min="9475" max="9475" width="16.88671875" style="6" customWidth="1"/>
    <col min="9476" max="9476" width="15.88671875" style="6" customWidth="1"/>
    <col min="9477" max="9724" width="8.88671875" style="6"/>
    <col min="9725" max="9725" width="63.109375" style="6" customWidth="1"/>
    <col min="9726" max="9726" width="8.88671875" style="6"/>
    <col min="9727" max="9727" width="14.109375" style="6" customWidth="1"/>
    <col min="9728" max="9728" width="12.109375" style="6" customWidth="1"/>
    <col min="9729" max="9729" width="12.44140625" style="6" customWidth="1"/>
    <col min="9730" max="9730" width="17.33203125" style="6" customWidth="1"/>
    <col min="9731" max="9731" width="16.88671875" style="6" customWidth="1"/>
    <col min="9732" max="9732" width="15.88671875" style="6" customWidth="1"/>
    <col min="9733" max="9980" width="8.88671875" style="6"/>
    <col min="9981" max="9981" width="63.109375" style="6" customWidth="1"/>
    <col min="9982" max="9982" width="8.88671875" style="6"/>
    <col min="9983" max="9983" width="14.109375" style="6" customWidth="1"/>
    <col min="9984" max="9984" width="12.109375" style="6" customWidth="1"/>
    <col min="9985" max="9985" width="12.44140625" style="6" customWidth="1"/>
    <col min="9986" max="9986" width="17.33203125" style="6" customWidth="1"/>
    <col min="9987" max="9987" width="16.88671875" style="6" customWidth="1"/>
    <col min="9988" max="9988" width="15.88671875" style="6" customWidth="1"/>
    <col min="9989" max="10236" width="8.88671875" style="6"/>
    <col min="10237" max="10237" width="63.109375" style="6" customWidth="1"/>
    <col min="10238" max="10238" width="8.88671875" style="6"/>
    <col min="10239" max="10239" width="14.109375" style="6" customWidth="1"/>
    <col min="10240" max="10240" width="12.109375" style="6" customWidth="1"/>
    <col min="10241" max="10241" width="12.44140625" style="6" customWidth="1"/>
    <col min="10242" max="10242" width="17.33203125" style="6" customWidth="1"/>
    <col min="10243" max="10243" width="16.88671875" style="6" customWidth="1"/>
    <col min="10244" max="10244" width="15.88671875" style="6" customWidth="1"/>
    <col min="10245" max="10492" width="8.88671875" style="6"/>
    <col min="10493" max="10493" width="63.109375" style="6" customWidth="1"/>
    <col min="10494" max="10494" width="8.88671875" style="6"/>
    <col min="10495" max="10495" width="14.109375" style="6" customWidth="1"/>
    <col min="10496" max="10496" width="12.109375" style="6" customWidth="1"/>
    <col min="10497" max="10497" width="12.44140625" style="6" customWidth="1"/>
    <col min="10498" max="10498" width="17.33203125" style="6" customWidth="1"/>
    <col min="10499" max="10499" width="16.88671875" style="6" customWidth="1"/>
    <col min="10500" max="10500" width="15.88671875" style="6" customWidth="1"/>
    <col min="10501" max="10748" width="8.88671875" style="6"/>
    <col min="10749" max="10749" width="63.109375" style="6" customWidth="1"/>
    <col min="10750" max="10750" width="8.88671875" style="6"/>
    <col min="10751" max="10751" width="14.109375" style="6" customWidth="1"/>
    <col min="10752" max="10752" width="12.109375" style="6" customWidth="1"/>
    <col min="10753" max="10753" width="12.44140625" style="6" customWidth="1"/>
    <col min="10754" max="10754" width="17.33203125" style="6" customWidth="1"/>
    <col min="10755" max="10755" width="16.88671875" style="6" customWidth="1"/>
    <col min="10756" max="10756" width="15.88671875" style="6" customWidth="1"/>
    <col min="10757" max="11004" width="8.88671875" style="6"/>
    <col min="11005" max="11005" width="63.109375" style="6" customWidth="1"/>
    <col min="11006" max="11006" width="8.88671875" style="6"/>
    <col min="11007" max="11007" width="14.109375" style="6" customWidth="1"/>
    <col min="11008" max="11008" width="12.109375" style="6" customWidth="1"/>
    <col min="11009" max="11009" width="12.44140625" style="6" customWidth="1"/>
    <col min="11010" max="11010" width="17.33203125" style="6" customWidth="1"/>
    <col min="11011" max="11011" width="16.88671875" style="6" customWidth="1"/>
    <col min="11012" max="11012" width="15.88671875" style="6" customWidth="1"/>
    <col min="11013" max="11260" width="8.88671875" style="6"/>
    <col min="11261" max="11261" width="63.109375" style="6" customWidth="1"/>
    <col min="11262" max="11262" width="8.88671875" style="6"/>
    <col min="11263" max="11263" width="14.109375" style="6" customWidth="1"/>
    <col min="11264" max="11264" width="12.109375" style="6" customWidth="1"/>
    <col min="11265" max="11265" width="12.44140625" style="6" customWidth="1"/>
    <col min="11266" max="11266" width="17.33203125" style="6" customWidth="1"/>
    <col min="11267" max="11267" width="16.88671875" style="6" customWidth="1"/>
    <col min="11268" max="11268" width="15.88671875" style="6" customWidth="1"/>
    <col min="11269" max="11516" width="8.88671875" style="6"/>
    <col min="11517" max="11517" width="63.109375" style="6" customWidth="1"/>
    <col min="11518" max="11518" width="8.88671875" style="6"/>
    <col min="11519" max="11519" width="14.109375" style="6" customWidth="1"/>
    <col min="11520" max="11520" width="12.109375" style="6" customWidth="1"/>
    <col min="11521" max="11521" width="12.44140625" style="6" customWidth="1"/>
    <col min="11522" max="11522" width="17.33203125" style="6" customWidth="1"/>
    <col min="11523" max="11523" width="16.88671875" style="6" customWidth="1"/>
    <col min="11524" max="11524" width="15.88671875" style="6" customWidth="1"/>
    <col min="11525" max="11772" width="8.88671875" style="6"/>
    <col min="11773" max="11773" width="63.109375" style="6" customWidth="1"/>
    <col min="11774" max="11774" width="8.88671875" style="6"/>
    <col min="11775" max="11775" width="14.109375" style="6" customWidth="1"/>
    <col min="11776" max="11776" width="12.109375" style="6" customWidth="1"/>
    <col min="11777" max="11777" width="12.44140625" style="6" customWidth="1"/>
    <col min="11778" max="11778" width="17.33203125" style="6" customWidth="1"/>
    <col min="11779" max="11779" width="16.88671875" style="6" customWidth="1"/>
    <col min="11780" max="11780" width="15.88671875" style="6" customWidth="1"/>
    <col min="11781" max="12028" width="8.88671875" style="6"/>
    <col min="12029" max="12029" width="63.109375" style="6" customWidth="1"/>
    <col min="12030" max="12030" width="8.88671875" style="6"/>
    <col min="12031" max="12031" width="14.109375" style="6" customWidth="1"/>
    <col min="12032" max="12032" width="12.109375" style="6" customWidth="1"/>
    <col min="12033" max="12033" width="12.44140625" style="6" customWidth="1"/>
    <col min="12034" max="12034" width="17.33203125" style="6" customWidth="1"/>
    <col min="12035" max="12035" width="16.88671875" style="6" customWidth="1"/>
    <col min="12036" max="12036" width="15.88671875" style="6" customWidth="1"/>
    <col min="12037" max="12284" width="8.88671875" style="6"/>
    <col min="12285" max="12285" width="63.109375" style="6" customWidth="1"/>
    <col min="12286" max="12286" width="8.88671875" style="6"/>
    <col min="12287" max="12287" width="14.109375" style="6" customWidth="1"/>
    <col min="12288" max="12288" width="12.109375" style="6" customWidth="1"/>
    <col min="12289" max="12289" width="12.44140625" style="6" customWidth="1"/>
    <col min="12290" max="12290" width="17.33203125" style="6" customWidth="1"/>
    <col min="12291" max="12291" width="16.88671875" style="6" customWidth="1"/>
    <col min="12292" max="12292" width="15.88671875" style="6" customWidth="1"/>
    <col min="12293" max="12540" width="8.88671875" style="6"/>
    <col min="12541" max="12541" width="63.109375" style="6" customWidth="1"/>
    <col min="12542" max="12542" width="8.88671875" style="6"/>
    <col min="12543" max="12543" width="14.109375" style="6" customWidth="1"/>
    <col min="12544" max="12544" width="12.109375" style="6" customWidth="1"/>
    <col min="12545" max="12545" width="12.44140625" style="6" customWidth="1"/>
    <col min="12546" max="12546" width="17.33203125" style="6" customWidth="1"/>
    <col min="12547" max="12547" width="16.88671875" style="6" customWidth="1"/>
    <col min="12548" max="12548" width="15.88671875" style="6" customWidth="1"/>
    <col min="12549" max="12796" width="8.88671875" style="6"/>
    <col min="12797" max="12797" width="63.109375" style="6" customWidth="1"/>
    <col min="12798" max="12798" width="8.88671875" style="6"/>
    <col min="12799" max="12799" width="14.109375" style="6" customWidth="1"/>
    <col min="12800" max="12800" width="12.109375" style="6" customWidth="1"/>
    <col min="12801" max="12801" width="12.44140625" style="6" customWidth="1"/>
    <col min="12802" max="12802" width="17.33203125" style="6" customWidth="1"/>
    <col min="12803" max="12803" width="16.88671875" style="6" customWidth="1"/>
    <col min="12804" max="12804" width="15.88671875" style="6" customWidth="1"/>
    <col min="12805" max="13052" width="8.88671875" style="6"/>
    <col min="13053" max="13053" width="63.109375" style="6" customWidth="1"/>
    <col min="13054" max="13054" width="8.88671875" style="6"/>
    <col min="13055" max="13055" width="14.109375" style="6" customWidth="1"/>
    <col min="13056" max="13056" width="12.109375" style="6" customWidth="1"/>
    <col min="13057" max="13057" width="12.44140625" style="6" customWidth="1"/>
    <col min="13058" max="13058" width="17.33203125" style="6" customWidth="1"/>
    <col min="13059" max="13059" width="16.88671875" style="6" customWidth="1"/>
    <col min="13060" max="13060" width="15.88671875" style="6" customWidth="1"/>
    <col min="13061" max="13308" width="8.88671875" style="6"/>
    <col min="13309" max="13309" width="63.109375" style="6" customWidth="1"/>
    <col min="13310" max="13310" width="8.88671875" style="6"/>
    <col min="13311" max="13311" width="14.109375" style="6" customWidth="1"/>
    <col min="13312" max="13312" width="12.109375" style="6" customWidth="1"/>
    <col min="13313" max="13313" width="12.44140625" style="6" customWidth="1"/>
    <col min="13314" max="13314" width="17.33203125" style="6" customWidth="1"/>
    <col min="13315" max="13315" width="16.88671875" style="6" customWidth="1"/>
    <col min="13316" max="13316" width="15.88671875" style="6" customWidth="1"/>
    <col min="13317" max="13564" width="8.88671875" style="6"/>
    <col min="13565" max="13565" width="63.109375" style="6" customWidth="1"/>
    <col min="13566" max="13566" width="8.88671875" style="6"/>
    <col min="13567" max="13567" width="14.109375" style="6" customWidth="1"/>
    <col min="13568" max="13568" width="12.109375" style="6" customWidth="1"/>
    <col min="13569" max="13569" width="12.44140625" style="6" customWidth="1"/>
    <col min="13570" max="13570" width="17.33203125" style="6" customWidth="1"/>
    <col min="13571" max="13571" width="16.88671875" style="6" customWidth="1"/>
    <col min="13572" max="13572" width="15.88671875" style="6" customWidth="1"/>
    <col min="13573" max="13820" width="8.88671875" style="6"/>
    <col min="13821" max="13821" width="63.109375" style="6" customWidth="1"/>
    <col min="13822" max="13822" width="8.88671875" style="6"/>
    <col min="13823" max="13823" width="14.109375" style="6" customWidth="1"/>
    <col min="13824" max="13824" width="12.109375" style="6" customWidth="1"/>
    <col min="13825" max="13825" width="12.44140625" style="6" customWidth="1"/>
    <col min="13826" max="13826" width="17.33203125" style="6" customWidth="1"/>
    <col min="13827" max="13827" width="16.88671875" style="6" customWidth="1"/>
    <col min="13828" max="13828" width="15.88671875" style="6" customWidth="1"/>
    <col min="13829" max="14076" width="8.88671875" style="6"/>
    <col min="14077" max="14077" width="63.109375" style="6" customWidth="1"/>
    <col min="14078" max="14078" width="8.88671875" style="6"/>
    <col min="14079" max="14079" width="14.109375" style="6" customWidth="1"/>
    <col min="14080" max="14080" width="12.109375" style="6" customWidth="1"/>
    <col min="14081" max="14081" width="12.44140625" style="6" customWidth="1"/>
    <col min="14082" max="14082" width="17.33203125" style="6" customWidth="1"/>
    <col min="14083" max="14083" width="16.88671875" style="6" customWidth="1"/>
    <col min="14084" max="14084" width="15.88671875" style="6" customWidth="1"/>
    <col min="14085" max="14332" width="8.88671875" style="6"/>
    <col min="14333" max="14333" width="63.109375" style="6" customWidth="1"/>
    <col min="14334" max="14334" width="8.88671875" style="6"/>
    <col min="14335" max="14335" width="14.109375" style="6" customWidth="1"/>
    <col min="14336" max="14336" width="12.109375" style="6" customWidth="1"/>
    <col min="14337" max="14337" width="12.44140625" style="6" customWidth="1"/>
    <col min="14338" max="14338" width="17.33203125" style="6" customWidth="1"/>
    <col min="14339" max="14339" width="16.88671875" style="6" customWidth="1"/>
    <col min="14340" max="14340" width="15.88671875" style="6" customWidth="1"/>
    <col min="14341" max="14588" width="8.88671875" style="6"/>
    <col min="14589" max="14589" width="63.109375" style="6" customWidth="1"/>
    <col min="14590" max="14590" width="8.88671875" style="6"/>
    <col min="14591" max="14591" width="14.109375" style="6" customWidth="1"/>
    <col min="14592" max="14592" width="12.109375" style="6" customWidth="1"/>
    <col min="14593" max="14593" width="12.44140625" style="6" customWidth="1"/>
    <col min="14594" max="14594" width="17.33203125" style="6" customWidth="1"/>
    <col min="14595" max="14595" width="16.88671875" style="6" customWidth="1"/>
    <col min="14596" max="14596" width="15.88671875" style="6" customWidth="1"/>
    <col min="14597" max="14844" width="8.88671875" style="6"/>
    <col min="14845" max="14845" width="63.109375" style="6" customWidth="1"/>
    <col min="14846" max="14846" width="8.88671875" style="6"/>
    <col min="14847" max="14847" width="14.109375" style="6" customWidth="1"/>
    <col min="14848" max="14848" width="12.109375" style="6" customWidth="1"/>
    <col min="14849" max="14849" width="12.44140625" style="6" customWidth="1"/>
    <col min="14850" max="14850" width="17.33203125" style="6" customWidth="1"/>
    <col min="14851" max="14851" width="16.88671875" style="6" customWidth="1"/>
    <col min="14852" max="14852" width="15.88671875" style="6" customWidth="1"/>
    <col min="14853" max="15100" width="8.88671875" style="6"/>
    <col min="15101" max="15101" width="63.109375" style="6" customWidth="1"/>
    <col min="15102" max="15102" width="8.88671875" style="6"/>
    <col min="15103" max="15103" width="14.109375" style="6" customWidth="1"/>
    <col min="15104" max="15104" width="12.109375" style="6" customWidth="1"/>
    <col min="15105" max="15105" width="12.44140625" style="6" customWidth="1"/>
    <col min="15106" max="15106" width="17.33203125" style="6" customWidth="1"/>
    <col min="15107" max="15107" width="16.88671875" style="6" customWidth="1"/>
    <col min="15108" max="15108" width="15.88671875" style="6" customWidth="1"/>
    <col min="15109" max="15356" width="8.88671875" style="6"/>
    <col min="15357" max="15357" width="63.109375" style="6" customWidth="1"/>
    <col min="15358" max="15358" width="8.88671875" style="6"/>
    <col min="15359" max="15359" width="14.109375" style="6" customWidth="1"/>
    <col min="15360" max="15360" width="12.109375" style="6" customWidth="1"/>
    <col min="15361" max="15361" width="12.44140625" style="6" customWidth="1"/>
    <col min="15362" max="15362" width="17.33203125" style="6" customWidth="1"/>
    <col min="15363" max="15363" width="16.88671875" style="6" customWidth="1"/>
    <col min="15364" max="15364" width="15.88671875" style="6" customWidth="1"/>
    <col min="15365" max="15612" width="8.88671875" style="6"/>
    <col min="15613" max="15613" width="63.109375" style="6" customWidth="1"/>
    <col min="15614" max="15614" width="8.88671875" style="6"/>
    <col min="15615" max="15615" width="14.109375" style="6" customWidth="1"/>
    <col min="15616" max="15616" width="12.109375" style="6" customWidth="1"/>
    <col min="15617" max="15617" width="12.44140625" style="6" customWidth="1"/>
    <col min="15618" max="15618" width="17.33203125" style="6" customWidth="1"/>
    <col min="15619" max="15619" width="16.88671875" style="6" customWidth="1"/>
    <col min="15620" max="15620" width="15.88671875" style="6" customWidth="1"/>
    <col min="15621" max="15868" width="8.88671875" style="6"/>
    <col min="15869" max="15869" width="63.109375" style="6" customWidth="1"/>
    <col min="15870" max="15870" width="8.88671875" style="6"/>
    <col min="15871" max="15871" width="14.109375" style="6" customWidth="1"/>
    <col min="15872" max="15872" width="12.109375" style="6" customWidth="1"/>
    <col min="15873" max="15873" width="12.44140625" style="6" customWidth="1"/>
    <col min="15874" max="15874" width="17.33203125" style="6" customWidth="1"/>
    <col min="15875" max="15875" width="16.88671875" style="6" customWidth="1"/>
    <col min="15876" max="15876" width="15.88671875" style="6" customWidth="1"/>
    <col min="15877" max="16124" width="8.88671875" style="6"/>
    <col min="16125" max="16125" width="63.109375" style="6" customWidth="1"/>
    <col min="16126" max="16126" width="8.88671875" style="6"/>
    <col min="16127" max="16127" width="14.109375" style="6" customWidth="1"/>
    <col min="16128" max="16128" width="12.109375" style="6" customWidth="1"/>
    <col min="16129" max="16129" width="12.44140625" style="6" customWidth="1"/>
    <col min="16130" max="16130" width="17.33203125" style="6" customWidth="1"/>
    <col min="16131" max="16131" width="16.88671875" style="6" customWidth="1"/>
    <col min="16132" max="16132" width="15.88671875" style="6" customWidth="1"/>
    <col min="16133" max="16384" width="8.88671875" style="6"/>
  </cols>
  <sheetData>
    <row r="1" spans="1:1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/>
      <c r="G1" s="5" t="s">
        <v>5</v>
      </c>
      <c r="H1" s="5"/>
      <c r="I1" s="5" t="s">
        <v>6</v>
      </c>
      <c r="J1" s="26" t="s">
        <v>12</v>
      </c>
      <c r="K1" s="27"/>
      <c r="L1" s="27"/>
      <c r="M1" s="27"/>
      <c r="N1" s="27" t="s">
        <v>13</v>
      </c>
      <c r="O1" s="27"/>
    </row>
    <row r="2" spans="1:15" ht="39.450000000000003" x14ac:dyDescent="0.3">
      <c r="A2" s="1"/>
      <c r="B2" s="2"/>
      <c r="C2" s="3"/>
      <c r="D2" s="4"/>
      <c r="E2" s="7" t="s">
        <v>7</v>
      </c>
      <c r="F2" s="7" t="s">
        <v>8</v>
      </c>
      <c r="G2" s="7" t="s">
        <v>7</v>
      </c>
      <c r="H2" s="7" t="s">
        <v>9</v>
      </c>
      <c r="I2" s="5"/>
      <c r="J2" s="7" t="s">
        <v>14</v>
      </c>
      <c r="K2" s="7" t="s">
        <v>15</v>
      </c>
      <c r="L2" s="7" t="s">
        <v>16</v>
      </c>
      <c r="M2" s="7" t="s">
        <v>17</v>
      </c>
      <c r="N2" s="28" t="s">
        <v>18</v>
      </c>
      <c r="O2" s="28" t="s">
        <v>19</v>
      </c>
    </row>
    <row r="3" spans="1:15" x14ac:dyDescent="0.3">
      <c r="A3" s="8"/>
      <c r="B3" s="9" t="s">
        <v>10</v>
      </c>
      <c r="C3" s="10"/>
      <c r="D3" s="11"/>
      <c r="E3" s="12"/>
      <c r="F3" s="12"/>
      <c r="G3" s="13"/>
      <c r="H3" s="13"/>
      <c r="I3" s="13"/>
    </row>
    <row r="4" spans="1:15" x14ac:dyDescent="0.3">
      <c r="A4" s="14" t="s">
        <v>20</v>
      </c>
      <c r="B4" s="15" t="s">
        <v>242</v>
      </c>
      <c r="C4" s="16" t="s">
        <v>21</v>
      </c>
      <c r="D4" s="17">
        <f>SUM(D7,D30,D42,D53,D64,D72,D102,D110,D122,D135,D184,D193,D202,D211,D232,D250)</f>
        <v>6368.9698000000008</v>
      </c>
      <c r="E4" s="30">
        <f>PRODUCT(G4,1/D4)</f>
        <v>2755.1959308500191</v>
      </c>
      <c r="F4" s="30">
        <f>PRODUCT(H4,1/D4)</f>
        <v>10088.815152110283</v>
      </c>
      <c r="G4" s="18">
        <f>SUM(G5:G267)</f>
        <v>17547759.676666662</v>
      </c>
      <c r="H4" s="18">
        <f>SUM(H5:H267)</f>
        <v>64255359.021572806</v>
      </c>
      <c r="I4" s="18">
        <f>SUM(I5:I267)</f>
        <v>81803118.69823952</v>
      </c>
    </row>
    <row r="5" spans="1:15" s="19" customFormat="1" ht="28.8" x14ac:dyDescent="0.3">
      <c r="A5" s="20" t="s">
        <v>22</v>
      </c>
      <c r="B5" s="31" t="s">
        <v>23</v>
      </c>
      <c r="C5" s="32" t="s">
        <v>21</v>
      </c>
      <c r="D5" s="33">
        <v>82.6</v>
      </c>
      <c r="E5" s="34">
        <v>1560</v>
      </c>
      <c r="F5" s="34"/>
      <c r="G5" s="34">
        <f>D5*E5</f>
        <v>128855.99999999999</v>
      </c>
      <c r="H5" s="34">
        <f>D5*F5</f>
        <v>0</v>
      </c>
      <c r="I5" s="34">
        <f>G5+H5</f>
        <v>128855.99999999999</v>
      </c>
    </row>
    <row r="6" spans="1:15" x14ac:dyDescent="0.3">
      <c r="A6" s="20"/>
      <c r="B6" s="90" t="s">
        <v>24</v>
      </c>
      <c r="C6" s="36" t="s">
        <v>21</v>
      </c>
      <c r="D6" s="21">
        <f>D5*1.05</f>
        <v>86.73</v>
      </c>
      <c r="E6" s="22"/>
      <c r="F6" s="22">
        <v>4300</v>
      </c>
      <c r="G6" s="22">
        <f t="shared" ref="G6:G69" si="0">D6*E6</f>
        <v>0</v>
      </c>
      <c r="H6" s="22">
        <f t="shared" ref="H6:H69" si="1">D6*F6</f>
        <v>372939</v>
      </c>
      <c r="I6" s="22">
        <f t="shared" ref="I6:I69" si="2">G6+H6</f>
        <v>372939</v>
      </c>
    </row>
    <row r="7" spans="1:15" s="19" customFormat="1" x14ac:dyDescent="0.3">
      <c r="A7" s="20" t="s">
        <v>25</v>
      </c>
      <c r="B7" s="31" t="s">
        <v>26</v>
      </c>
      <c r="C7" s="32" t="s">
        <v>21</v>
      </c>
      <c r="D7" s="33">
        <v>860.6</v>
      </c>
      <c r="E7" s="34">
        <v>1560</v>
      </c>
      <c r="F7" s="34"/>
      <c r="G7" s="34">
        <f t="shared" si="0"/>
        <v>1342536</v>
      </c>
      <c r="H7" s="34">
        <f t="shared" si="1"/>
        <v>0</v>
      </c>
      <c r="I7" s="34">
        <f t="shared" si="2"/>
        <v>1342536</v>
      </c>
    </row>
    <row r="8" spans="1:15" x14ac:dyDescent="0.3">
      <c r="A8" s="37" t="s">
        <v>27</v>
      </c>
      <c r="B8" s="90" t="s">
        <v>28</v>
      </c>
      <c r="C8" s="36" t="s">
        <v>21</v>
      </c>
      <c r="D8" s="21">
        <f>D7*1.05</f>
        <v>903.63000000000011</v>
      </c>
      <c r="E8" s="22"/>
      <c r="F8" s="22">
        <v>5450</v>
      </c>
      <c r="G8" s="22">
        <f t="shared" si="0"/>
        <v>0</v>
      </c>
      <c r="H8" s="22">
        <f t="shared" si="1"/>
        <v>4924783.5000000009</v>
      </c>
      <c r="I8" s="22">
        <f t="shared" si="2"/>
        <v>4924783.5000000009</v>
      </c>
    </row>
    <row r="9" spans="1:15" x14ac:dyDescent="0.3">
      <c r="A9" s="37" t="s">
        <v>29</v>
      </c>
      <c r="B9" s="90" t="s">
        <v>30</v>
      </c>
      <c r="C9" s="36" t="s">
        <v>11</v>
      </c>
      <c r="D9" s="21">
        <v>5996</v>
      </c>
      <c r="E9" s="22"/>
      <c r="F9" s="22">
        <v>13</v>
      </c>
      <c r="G9" s="22">
        <f t="shared" si="0"/>
        <v>0</v>
      </c>
      <c r="H9" s="22">
        <f t="shared" si="1"/>
        <v>77948</v>
      </c>
      <c r="I9" s="22">
        <f t="shared" si="2"/>
        <v>77948</v>
      </c>
    </row>
    <row r="10" spans="1:15" x14ac:dyDescent="0.3">
      <c r="A10" s="37" t="s">
        <v>31</v>
      </c>
      <c r="B10" s="89" t="s">
        <v>32</v>
      </c>
      <c r="C10" s="36"/>
      <c r="D10" s="21"/>
      <c r="E10" s="22"/>
      <c r="F10" s="22"/>
      <c r="G10" s="22"/>
      <c r="H10" s="22"/>
      <c r="I10" s="22"/>
    </row>
    <row r="11" spans="1:15" x14ac:dyDescent="0.3">
      <c r="A11" s="20"/>
      <c r="B11" s="90" t="s">
        <v>33</v>
      </c>
      <c r="C11" s="36" t="s">
        <v>34</v>
      </c>
      <c r="D11" s="21">
        <f>(33740+25029.8)/1000</f>
        <v>58.769800000000004</v>
      </c>
      <c r="E11" s="22"/>
      <c r="F11" s="22">
        <v>35100</v>
      </c>
      <c r="G11" s="22">
        <f t="shared" si="0"/>
        <v>0</v>
      </c>
      <c r="H11" s="22">
        <f t="shared" si="1"/>
        <v>2062819.9800000002</v>
      </c>
      <c r="I11" s="22">
        <f t="shared" si="2"/>
        <v>2062819.9800000002</v>
      </c>
    </row>
    <row r="12" spans="1:15" x14ac:dyDescent="0.3">
      <c r="A12" s="20"/>
      <c r="B12" s="90" t="s">
        <v>35</v>
      </c>
      <c r="C12" s="36" t="s">
        <v>34</v>
      </c>
      <c r="D12" s="21">
        <f>2860.8/1000</f>
        <v>2.8608000000000002</v>
      </c>
      <c r="E12" s="22"/>
      <c r="F12" s="22">
        <v>35800</v>
      </c>
      <c r="G12" s="22">
        <f t="shared" si="0"/>
        <v>0</v>
      </c>
      <c r="H12" s="22">
        <f t="shared" si="1"/>
        <v>102416.64000000001</v>
      </c>
      <c r="I12" s="22">
        <f t="shared" si="2"/>
        <v>102416.64000000001</v>
      </c>
    </row>
    <row r="13" spans="1:15" x14ac:dyDescent="0.3">
      <c r="A13" s="20"/>
      <c r="B13" s="90" t="s">
        <v>36</v>
      </c>
      <c r="C13" s="36" t="s">
        <v>34</v>
      </c>
      <c r="D13" s="21">
        <f>(3283.1+230.4)/1000</f>
        <v>3.5135000000000001</v>
      </c>
      <c r="E13" s="22"/>
      <c r="F13" s="22">
        <v>33500</v>
      </c>
      <c r="G13" s="22">
        <f t="shared" si="0"/>
        <v>0</v>
      </c>
      <c r="H13" s="22">
        <f t="shared" si="1"/>
        <v>117702.25</v>
      </c>
      <c r="I13" s="22">
        <f t="shared" si="2"/>
        <v>117702.25</v>
      </c>
    </row>
    <row r="14" spans="1:15" x14ac:dyDescent="0.3">
      <c r="A14" s="20"/>
      <c r="B14" s="91" t="s">
        <v>37</v>
      </c>
      <c r="C14" s="36"/>
      <c r="D14" s="21"/>
      <c r="E14" s="22"/>
      <c r="F14" s="22"/>
      <c r="G14" s="22">
        <f t="shared" si="0"/>
        <v>0</v>
      </c>
      <c r="H14" s="22">
        <f t="shared" si="1"/>
        <v>0</v>
      </c>
      <c r="I14" s="22">
        <f t="shared" si="2"/>
        <v>0</v>
      </c>
    </row>
    <row r="15" spans="1:15" x14ac:dyDescent="0.3">
      <c r="A15" s="20"/>
      <c r="B15" s="90" t="s">
        <v>33</v>
      </c>
      <c r="C15" s="36" t="s">
        <v>34</v>
      </c>
      <c r="D15" s="21">
        <f>(17.2*2+17.2*4+17.2*3+86*5+51.6*2+17.2*3+68.8*3+68.8*2+86*10+86*1+94.6*1+94.6*1+94.6*1+94.6*2+17.2*6+17.2+17.2*2)/1000</f>
        <v>2.6573999999999991</v>
      </c>
      <c r="E15" s="22"/>
      <c r="F15" s="22">
        <v>35100</v>
      </c>
      <c r="G15" s="22">
        <f t="shared" si="0"/>
        <v>0</v>
      </c>
      <c r="H15" s="22">
        <f t="shared" si="1"/>
        <v>93274.739999999962</v>
      </c>
      <c r="I15" s="22">
        <f t="shared" si="2"/>
        <v>93274.739999999962</v>
      </c>
    </row>
    <row r="16" spans="1:15" x14ac:dyDescent="0.3">
      <c r="A16" s="20"/>
      <c r="B16" s="90" t="s">
        <v>38</v>
      </c>
      <c r="C16" s="36" t="s">
        <v>34</v>
      </c>
      <c r="D16" s="21">
        <f>(26*2+31.2*3+20.8*2+26*3+72.8*6+83.2+83.2*2+1.59*88*1.58+3.9*29*1.58+3.88*16*1.58)/1000</f>
        <v>1.4494580000000001</v>
      </c>
      <c r="E16" s="22"/>
      <c r="F16" s="22">
        <v>33500</v>
      </c>
      <c r="G16" s="22">
        <f t="shared" si="0"/>
        <v>0</v>
      </c>
      <c r="H16" s="22">
        <f t="shared" si="1"/>
        <v>48556.843000000008</v>
      </c>
      <c r="I16" s="22">
        <f t="shared" si="2"/>
        <v>48556.843000000008</v>
      </c>
    </row>
    <row r="17" spans="1:9" x14ac:dyDescent="0.3">
      <c r="A17" s="20"/>
      <c r="B17" s="90" t="s">
        <v>39</v>
      </c>
      <c r="C17" s="36" t="s">
        <v>34</v>
      </c>
      <c r="D17" s="21">
        <f>(1.7*2+1.62*4+2.14*3+2.66*5+1.4*2+1.42*2+1.78*3+2.14*3+2.14*2+2.6*10+2.6+3.12+3.12+3.12+3.12*2+5.32*6+6.22+6.22*2+1.43*376*0.888+0.235*144*0.888+175.82+1.43*12*0.888+1.08*2*0.888+0.19*2*0.888+347.74+3.475*463*0.888+105.14+3.455*116*0.888)/1000</f>
        <v>3.0843813999999998</v>
      </c>
      <c r="E17" s="22"/>
      <c r="F17" s="22">
        <v>34400</v>
      </c>
      <c r="G17" s="22">
        <f t="shared" si="0"/>
        <v>0</v>
      </c>
      <c r="H17" s="22">
        <f t="shared" si="1"/>
        <v>106102.72016</v>
      </c>
      <c r="I17" s="22">
        <f t="shared" si="2"/>
        <v>106102.72016</v>
      </c>
    </row>
    <row r="18" spans="1:9" x14ac:dyDescent="0.3">
      <c r="A18" s="20"/>
      <c r="B18" s="90" t="s">
        <v>40</v>
      </c>
      <c r="C18" s="36" t="s">
        <v>34</v>
      </c>
      <c r="D18" s="21">
        <f>(0.21*276*0.617+0.16*78*0.617)/1000</f>
        <v>4.3461479999999997E-2</v>
      </c>
      <c r="E18" s="22"/>
      <c r="F18" s="22">
        <v>35000</v>
      </c>
      <c r="G18" s="22">
        <f t="shared" si="0"/>
        <v>0</v>
      </c>
      <c r="H18" s="22">
        <f t="shared" si="1"/>
        <v>1521.1517999999999</v>
      </c>
      <c r="I18" s="22">
        <f t="shared" si="2"/>
        <v>1521.1517999999999</v>
      </c>
    </row>
    <row r="19" spans="1:9" x14ac:dyDescent="0.3">
      <c r="A19" s="20"/>
      <c r="B19" s="90" t="s">
        <v>41</v>
      </c>
      <c r="C19" s="36" t="s">
        <v>34</v>
      </c>
      <c r="D19" s="21">
        <f>(0.16*2+0.16*4)/1000</f>
        <v>9.5999999999999992E-4</v>
      </c>
      <c r="E19" s="22"/>
      <c r="F19" s="22">
        <v>39400</v>
      </c>
      <c r="G19" s="22">
        <f t="shared" si="0"/>
        <v>0</v>
      </c>
      <c r="H19" s="22">
        <f t="shared" si="1"/>
        <v>37.823999999999998</v>
      </c>
      <c r="I19" s="22">
        <f t="shared" si="2"/>
        <v>37.823999999999998</v>
      </c>
    </row>
    <row r="20" spans="1:9" x14ac:dyDescent="0.3">
      <c r="A20" s="20"/>
      <c r="B20" s="90" t="s">
        <v>42</v>
      </c>
      <c r="C20" s="36" t="s">
        <v>34</v>
      </c>
      <c r="D20" s="21">
        <f>(0.24*3+0.24*5+0.24*2+0.16*3+0.24*3+0.24*2+0.16*10+0.24+0.24+0.24+0.24+0.24*2+0.32*6+0.4+0.32*2)/1000</f>
        <v>1.0080000000000002E-2</v>
      </c>
      <c r="E20" s="22"/>
      <c r="F20" s="22">
        <v>40000</v>
      </c>
      <c r="G20" s="22">
        <f t="shared" si="0"/>
        <v>0</v>
      </c>
      <c r="H20" s="22">
        <f t="shared" si="1"/>
        <v>403.2000000000001</v>
      </c>
      <c r="I20" s="22">
        <f t="shared" si="2"/>
        <v>403.2000000000001</v>
      </c>
    </row>
    <row r="21" spans="1:9" x14ac:dyDescent="0.3">
      <c r="A21" s="37" t="s">
        <v>43</v>
      </c>
      <c r="B21" s="90" t="s">
        <v>44</v>
      </c>
      <c r="C21" s="36" t="s">
        <v>34</v>
      </c>
      <c r="D21" s="21">
        <f>D10*0.02</f>
        <v>0</v>
      </c>
      <c r="E21" s="22"/>
      <c r="F21" s="22">
        <v>53104</v>
      </c>
      <c r="G21" s="22">
        <f t="shared" si="0"/>
        <v>0</v>
      </c>
      <c r="H21" s="22">
        <f t="shared" si="1"/>
        <v>0</v>
      </c>
      <c r="I21" s="22">
        <f t="shared" si="2"/>
        <v>0</v>
      </c>
    </row>
    <row r="22" spans="1:9" s="19" customFormat="1" ht="28.8" x14ac:dyDescent="0.3">
      <c r="A22" s="20" t="s">
        <v>45</v>
      </c>
      <c r="B22" s="31" t="s">
        <v>46</v>
      </c>
      <c r="C22" s="38" t="s">
        <v>47</v>
      </c>
      <c r="D22" s="33">
        <v>528</v>
      </c>
      <c r="E22" s="34">
        <v>60</v>
      </c>
      <c r="F22" s="34"/>
      <c r="G22" s="34">
        <f t="shared" si="0"/>
        <v>31680</v>
      </c>
      <c r="H22" s="34">
        <f t="shared" si="1"/>
        <v>0</v>
      </c>
      <c r="I22" s="34">
        <f t="shared" si="2"/>
        <v>31680</v>
      </c>
    </row>
    <row r="23" spans="1:9" x14ac:dyDescent="0.3">
      <c r="A23" s="37" t="s">
        <v>48</v>
      </c>
      <c r="B23" s="90" t="s">
        <v>49</v>
      </c>
      <c r="C23" s="36" t="s">
        <v>47</v>
      </c>
      <c r="D23" s="21">
        <v>1203.8399999999999</v>
      </c>
      <c r="E23" s="22"/>
      <c r="F23" s="22">
        <v>209.96</v>
      </c>
      <c r="G23" s="22">
        <f t="shared" si="0"/>
        <v>0</v>
      </c>
      <c r="H23" s="22">
        <f t="shared" si="1"/>
        <v>252758.2464</v>
      </c>
      <c r="I23" s="22">
        <f t="shared" si="2"/>
        <v>252758.2464</v>
      </c>
    </row>
    <row r="24" spans="1:9" x14ac:dyDescent="0.3">
      <c r="A24" s="37" t="s">
        <v>50</v>
      </c>
      <c r="B24" s="90" t="s">
        <v>51</v>
      </c>
      <c r="C24" s="36" t="s">
        <v>52</v>
      </c>
      <c r="D24" s="21">
        <f>184.8*1.25</f>
        <v>231</v>
      </c>
      <c r="E24" s="22"/>
      <c r="F24" s="22">
        <v>108.33</v>
      </c>
      <c r="G24" s="22">
        <f t="shared" si="0"/>
        <v>0</v>
      </c>
      <c r="H24" s="22">
        <f t="shared" si="1"/>
        <v>25024.23</v>
      </c>
      <c r="I24" s="22">
        <f t="shared" si="2"/>
        <v>25024.23</v>
      </c>
    </row>
    <row r="25" spans="1:9" s="19" customFormat="1" x14ac:dyDescent="0.3">
      <c r="A25" s="20" t="s">
        <v>53</v>
      </c>
      <c r="B25" s="31" t="s">
        <v>54</v>
      </c>
      <c r="C25" s="32" t="s">
        <v>55</v>
      </c>
      <c r="D25" s="33">
        <v>159.69999999999999</v>
      </c>
      <c r="E25" s="34">
        <v>150</v>
      </c>
      <c r="F25" s="34"/>
      <c r="G25" s="34">
        <f t="shared" si="0"/>
        <v>23955</v>
      </c>
      <c r="H25" s="34">
        <f t="shared" si="1"/>
        <v>0</v>
      </c>
      <c r="I25" s="34">
        <f t="shared" si="2"/>
        <v>23955</v>
      </c>
    </row>
    <row r="26" spans="1:9" x14ac:dyDescent="0.3">
      <c r="A26" s="37" t="s">
        <v>56</v>
      </c>
      <c r="B26" s="90" t="s">
        <v>57</v>
      </c>
      <c r="C26" s="36" t="s">
        <v>55</v>
      </c>
      <c r="D26" s="21">
        <f>159.7*1.04</f>
        <v>166.08799999999999</v>
      </c>
      <c r="E26" s="22"/>
      <c r="F26" s="22">
        <v>321</v>
      </c>
      <c r="G26" s="22">
        <f t="shared" si="0"/>
        <v>0</v>
      </c>
      <c r="H26" s="22">
        <f t="shared" si="1"/>
        <v>53314.248</v>
      </c>
      <c r="I26" s="22">
        <f t="shared" si="2"/>
        <v>53314.248</v>
      </c>
    </row>
    <row r="27" spans="1:9" ht="31.3" x14ac:dyDescent="0.3">
      <c r="A27" s="37" t="s">
        <v>58</v>
      </c>
      <c r="B27" s="92" t="s">
        <v>59</v>
      </c>
      <c r="C27" s="40" t="s">
        <v>11</v>
      </c>
      <c r="D27" s="40">
        <v>160</v>
      </c>
      <c r="E27" s="22"/>
      <c r="F27" s="22">
        <v>47</v>
      </c>
      <c r="G27" s="22">
        <f>D27*E27</f>
        <v>0</v>
      </c>
      <c r="H27" s="22">
        <f>D27*F27</f>
        <v>7520</v>
      </c>
      <c r="I27" s="22">
        <f>G27+H27</f>
        <v>7520</v>
      </c>
    </row>
    <row r="28" spans="1:9" x14ac:dyDescent="0.3">
      <c r="A28" s="37" t="s">
        <v>60</v>
      </c>
      <c r="B28" s="90" t="s">
        <v>61</v>
      </c>
      <c r="C28" s="36" t="s">
        <v>52</v>
      </c>
      <c r="D28" s="21">
        <v>57.491999999999997</v>
      </c>
      <c r="E28" s="22"/>
      <c r="F28" s="22">
        <v>56</v>
      </c>
      <c r="G28" s="22">
        <f t="shared" si="0"/>
        <v>0</v>
      </c>
      <c r="H28" s="22">
        <f t="shared" si="1"/>
        <v>3219.5519999999997</v>
      </c>
      <c r="I28" s="22">
        <f t="shared" si="2"/>
        <v>3219.5519999999997</v>
      </c>
    </row>
    <row r="29" spans="1:9" hidden="1" x14ac:dyDescent="0.3">
      <c r="A29" s="37" t="s">
        <v>60</v>
      </c>
      <c r="B29" s="39" t="s">
        <v>62</v>
      </c>
      <c r="C29" s="36" t="s">
        <v>47</v>
      </c>
      <c r="D29" s="21">
        <v>36.42</v>
      </c>
      <c r="E29" s="22"/>
      <c r="F29" s="22"/>
      <c r="G29" s="22">
        <f t="shared" si="0"/>
        <v>0</v>
      </c>
      <c r="H29" s="22">
        <f t="shared" si="1"/>
        <v>0</v>
      </c>
      <c r="I29" s="22">
        <f t="shared" si="2"/>
        <v>0</v>
      </c>
    </row>
    <row r="30" spans="1:9" s="19" customFormat="1" ht="15.65" x14ac:dyDescent="0.3">
      <c r="A30" s="20" t="s">
        <v>63</v>
      </c>
      <c r="B30" s="41" t="s">
        <v>64</v>
      </c>
      <c r="C30" s="32" t="s">
        <v>21</v>
      </c>
      <c r="D30" s="33">
        <v>57.8</v>
      </c>
      <c r="E30" s="34">
        <v>2900</v>
      </c>
      <c r="F30" s="34"/>
      <c r="G30" s="34">
        <f t="shared" si="0"/>
        <v>167620</v>
      </c>
      <c r="H30" s="34">
        <f t="shared" si="1"/>
        <v>0</v>
      </c>
      <c r="I30" s="34">
        <f t="shared" si="2"/>
        <v>167620</v>
      </c>
    </row>
    <row r="31" spans="1:9" x14ac:dyDescent="0.3">
      <c r="A31" s="37" t="s">
        <v>65</v>
      </c>
      <c r="B31" s="90" t="s">
        <v>66</v>
      </c>
      <c r="C31" s="36" t="s">
        <v>21</v>
      </c>
      <c r="D31" s="21">
        <f>D30*1.05</f>
        <v>60.69</v>
      </c>
      <c r="E31" s="22"/>
      <c r="F31" s="22">
        <v>5450</v>
      </c>
      <c r="G31" s="22">
        <f t="shared" si="0"/>
        <v>0</v>
      </c>
      <c r="H31" s="22">
        <f t="shared" si="1"/>
        <v>330760.5</v>
      </c>
      <c r="I31" s="22">
        <f t="shared" si="2"/>
        <v>330760.5</v>
      </c>
    </row>
    <row r="32" spans="1:9" x14ac:dyDescent="0.3">
      <c r="A32" s="37" t="s">
        <v>67</v>
      </c>
      <c r="B32" s="94" t="s">
        <v>68</v>
      </c>
      <c r="C32" s="42" t="s">
        <v>69</v>
      </c>
      <c r="D32" s="21">
        <v>2</v>
      </c>
      <c r="E32" s="22"/>
      <c r="F32" s="22">
        <v>44700</v>
      </c>
      <c r="G32" s="22">
        <f t="shared" si="0"/>
        <v>0</v>
      </c>
      <c r="H32" s="22">
        <f t="shared" si="1"/>
        <v>89400</v>
      </c>
      <c r="I32" s="22">
        <f t="shared" si="2"/>
        <v>89400</v>
      </c>
    </row>
    <row r="33" spans="1:9" x14ac:dyDescent="0.3">
      <c r="A33" s="37" t="s">
        <v>70</v>
      </c>
      <c r="B33" s="93" t="s">
        <v>32</v>
      </c>
      <c r="C33" s="36"/>
      <c r="D33" s="21"/>
      <c r="E33" s="22"/>
      <c r="F33" s="22"/>
      <c r="G33" s="22"/>
      <c r="H33" s="22"/>
      <c r="I33" s="22"/>
    </row>
    <row r="34" spans="1:9" x14ac:dyDescent="0.3">
      <c r="A34" s="20"/>
      <c r="B34" s="94" t="s">
        <v>71</v>
      </c>
      <c r="C34" s="42" t="s">
        <v>34</v>
      </c>
      <c r="D34" s="43">
        <f>2259.6/1000*1.04</f>
        <v>2.3499840000000001</v>
      </c>
      <c r="E34" s="22"/>
      <c r="F34" s="44">
        <v>33500</v>
      </c>
      <c r="G34" s="22">
        <f t="shared" si="0"/>
        <v>0</v>
      </c>
      <c r="H34" s="22">
        <f t="shared" si="1"/>
        <v>78724.464000000007</v>
      </c>
      <c r="I34" s="22">
        <f t="shared" si="2"/>
        <v>78724.464000000007</v>
      </c>
    </row>
    <row r="35" spans="1:9" x14ac:dyDescent="0.3">
      <c r="A35" s="20"/>
      <c r="B35" s="94" t="s">
        <v>72</v>
      </c>
      <c r="C35" s="42" t="s">
        <v>34</v>
      </c>
      <c r="D35" s="45">
        <f>6941.1/1000*1.04</f>
        <v>7.2187440000000009</v>
      </c>
      <c r="E35" s="22"/>
      <c r="F35" s="44">
        <v>34400</v>
      </c>
      <c r="G35" s="22">
        <f t="shared" si="0"/>
        <v>0</v>
      </c>
      <c r="H35" s="22">
        <f t="shared" si="1"/>
        <v>248324.79360000003</v>
      </c>
      <c r="I35" s="22">
        <f t="shared" si="2"/>
        <v>248324.79360000003</v>
      </c>
    </row>
    <row r="36" spans="1:9" x14ac:dyDescent="0.3">
      <c r="A36" s="20"/>
      <c r="B36" s="94" t="s">
        <v>73</v>
      </c>
      <c r="C36" s="42" t="s">
        <v>34</v>
      </c>
      <c r="D36" s="43">
        <f>236.2/1000*1.04</f>
        <v>0.24564800000000001</v>
      </c>
      <c r="E36" s="22"/>
      <c r="F36" s="44">
        <v>39400</v>
      </c>
      <c r="G36" s="22">
        <f t="shared" si="0"/>
        <v>0</v>
      </c>
      <c r="H36" s="22">
        <f t="shared" si="1"/>
        <v>9678.5311999999994</v>
      </c>
      <c r="I36" s="22">
        <f t="shared" si="2"/>
        <v>9678.5311999999994</v>
      </c>
    </row>
    <row r="37" spans="1:9" x14ac:dyDescent="0.3">
      <c r="A37" s="20"/>
      <c r="B37" s="94" t="s">
        <v>74</v>
      </c>
      <c r="C37" s="42" t="s">
        <v>34</v>
      </c>
      <c r="D37" s="45">
        <f>350.8/1000*1.04</f>
        <v>0.36483199999999999</v>
      </c>
      <c r="E37" s="22"/>
      <c r="F37" s="44">
        <v>40000</v>
      </c>
      <c r="G37" s="22">
        <f t="shared" si="0"/>
        <v>0</v>
      </c>
      <c r="H37" s="22">
        <f t="shared" si="1"/>
        <v>14593.279999999999</v>
      </c>
      <c r="I37" s="22">
        <f t="shared" si="2"/>
        <v>14593.279999999999</v>
      </c>
    </row>
    <row r="38" spans="1:9" x14ac:dyDescent="0.3">
      <c r="A38" s="37" t="s">
        <v>75</v>
      </c>
      <c r="B38" s="90" t="s">
        <v>44</v>
      </c>
      <c r="C38" s="36" t="s">
        <v>34</v>
      </c>
      <c r="D38" s="21">
        <f>0.02*D33</f>
        <v>0</v>
      </c>
      <c r="E38" s="22"/>
      <c r="F38" s="22">
        <v>53104</v>
      </c>
      <c r="G38" s="22">
        <f t="shared" si="0"/>
        <v>0</v>
      </c>
      <c r="H38" s="22">
        <f t="shared" si="1"/>
        <v>0</v>
      </c>
      <c r="I38" s="22">
        <f t="shared" si="2"/>
        <v>0</v>
      </c>
    </row>
    <row r="39" spans="1:9" s="19" customFormat="1" x14ac:dyDescent="0.3">
      <c r="A39" s="20" t="s">
        <v>76</v>
      </c>
      <c r="B39" s="31" t="s">
        <v>77</v>
      </c>
      <c r="C39" s="38" t="s">
        <v>47</v>
      </c>
      <c r="D39" s="33">
        <f>600.8/2/2.4*2</f>
        <v>250.33333333333331</v>
      </c>
      <c r="E39" s="34">
        <v>200</v>
      </c>
      <c r="F39" s="34"/>
      <c r="G39" s="34">
        <f t="shared" si="0"/>
        <v>50066.666666666664</v>
      </c>
      <c r="H39" s="34">
        <f t="shared" si="1"/>
        <v>0</v>
      </c>
      <c r="I39" s="34">
        <f t="shared" si="2"/>
        <v>50066.666666666664</v>
      </c>
    </row>
    <row r="40" spans="1:9" x14ac:dyDescent="0.3">
      <c r="A40" s="20"/>
      <c r="B40" s="90" t="s">
        <v>78</v>
      </c>
      <c r="C40" s="46" t="s">
        <v>21</v>
      </c>
      <c r="D40" s="21">
        <f>D39*0.1*1.03</f>
        <v>25.784333333333333</v>
      </c>
      <c r="E40" s="22"/>
      <c r="F40" s="22">
        <v>4700</v>
      </c>
      <c r="G40" s="22">
        <f t="shared" si="0"/>
        <v>0</v>
      </c>
      <c r="H40" s="22">
        <f t="shared" si="1"/>
        <v>121186.36666666667</v>
      </c>
      <c r="I40" s="22">
        <f t="shared" si="2"/>
        <v>121186.36666666667</v>
      </c>
    </row>
    <row r="41" spans="1:9" x14ac:dyDescent="0.3">
      <c r="A41" s="47"/>
      <c r="B41" s="90" t="s">
        <v>79</v>
      </c>
      <c r="C41" s="46" t="s">
        <v>11</v>
      </c>
      <c r="D41" s="48">
        <v>60</v>
      </c>
      <c r="E41" s="22"/>
      <c r="F41" s="22">
        <v>305</v>
      </c>
      <c r="G41" s="22">
        <f t="shared" si="0"/>
        <v>0</v>
      </c>
      <c r="H41" s="22">
        <f t="shared" si="1"/>
        <v>18300</v>
      </c>
      <c r="I41" s="22">
        <f t="shared" si="2"/>
        <v>18300</v>
      </c>
    </row>
    <row r="42" spans="1:9" s="19" customFormat="1" ht="28.8" x14ac:dyDescent="0.3">
      <c r="A42" s="49" t="s">
        <v>80</v>
      </c>
      <c r="B42" s="31" t="s">
        <v>81</v>
      </c>
      <c r="C42" s="38" t="s">
        <v>21</v>
      </c>
      <c r="D42" s="50">
        <f>1.99*8.22</f>
        <v>16.357800000000001</v>
      </c>
      <c r="E42" s="34">
        <v>2700</v>
      </c>
      <c r="F42" s="34"/>
      <c r="G42" s="34">
        <f t="shared" si="0"/>
        <v>44166.060000000005</v>
      </c>
      <c r="H42" s="34">
        <f t="shared" si="1"/>
        <v>0</v>
      </c>
      <c r="I42" s="34">
        <f t="shared" si="2"/>
        <v>44166.060000000005</v>
      </c>
    </row>
    <row r="43" spans="1:9" ht="15.65" x14ac:dyDescent="0.3">
      <c r="A43" s="51" t="s">
        <v>82</v>
      </c>
      <c r="B43" s="94" t="s">
        <v>83</v>
      </c>
      <c r="C43" s="42" t="s">
        <v>21</v>
      </c>
      <c r="D43" s="48">
        <f>(1.99+8.22)*1.05</f>
        <v>10.720500000000001</v>
      </c>
      <c r="E43" s="22"/>
      <c r="F43" s="22">
        <v>5450</v>
      </c>
      <c r="G43" s="22">
        <f t="shared" si="0"/>
        <v>0</v>
      </c>
      <c r="H43" s="22">
        <f t="shared" si="1"/>
        <v>58426.725000000006</v>
      </c>
      <c r="I43" s="22">
        <f t="shared" si="2"/>
        <v>58426.725000000006</v>
      </c>
    </row>
    <row r="44" spans="1:9" ht="15.65" x14ac:dyDescent="0.3">
      <c r="A44" s="51" t="s">
        <v>84</v>
      </c>
      <c r="B44" s="95" t="s">
        <v>32</v>
      </c>
      <c r="C44" s="42"/>
      <c r="D44" s="50"/>
      <c r="E44" s="22"/>
      <c r="F44" s="22"/>
      <c r="G44" s="22"/>
      <c r="H44" s="22"/>
      <c r="I44" s="22"/>
    </row>
    <row r="45" spans="1:9" ht="15.65" x14ac:dyDescent="0.3">
      <c r="A45" s="51"/>
      <c r="B45" s="94" t="s">
        <v>85</v>
      </c>
      <c r="C45" s="42" t="s">
        <v>34</v>
      </c>
      <c r="D45" s="45">
        <f>3.03*40*1.58/1000*1.04</f>
        <v>0.19915583999999997</v>
      </c>
      <c r="E45" s="22"/>
      <c r="F45" s="22">
        <v>33500</v>
      </c>
      <c r="G45" s="22">
        <f t="shared" si="0"/>
        <v>0</v>
      </c>
      <c r="H45" s="22">
        <f t="shared" si="1"/>
        <v>6671.7206399999986</v>
      </c>
      <c r="I45" s="22">
        <f t="shared" si="2"/>
        <v>6671.7206399999986</v>
      </c>
    </row>
    <row r="46" spans="1:9" ht="15.65" x14ac:dyDescent="0.3">
      <c r="A46" s="51"/>
      <c r="B46" s="94" t="s">
        <v>72</v>
      </c>
      <c r="C46" s="42" t="s">
        <v>34</v>
      </c>
      <c r="D46" s="45">
        <f>(2.87*126+2.37*20)*0.888/1000*1.04</f>
        <v>0.37773815039999997</v>
      </c>
      <c r="E46" s="22"/>
      <c r="F46" s="22">
        <v>34400</v>
      </c>
      <c r="G46" s="22">
        <f t="shared" si="0"/>
        <v>0</v>
      </c>
      <c r="H46" s="22">
        <f t="shared" si="1"/>
        <v>12994.192373759999</v>
      </c>
      <c r="I46" s="22">
        <f t="shared" si="2"/>
        <v>12994.192373759999</v>
      </c>
    </row>
    <row r="47" spans="1:9" ht="15.65" x14ac:dyDescent="0.3">
      <c r="A47" s="51"/>
      <c r="B47" s="94" t="s">
        <v>73</v>
      </c>
      <c r="C47" s="42" t="s">
        <v>34</v>
      </c>
      <c r="D47" s="45">
        <f>(5.17*48+2.57*72+1.02*120+0.17*12*4+0.15*4*4+0.15*4*4)*0.395/1000*1.04</f>
        <v>0.23356444800000001</v>
      </c>
      <c r="E47" s="22"/>
      <c r="F47" s="22">
        <v>39400</v>
      </c>
      <c r="G47" s="22">
        <f t="shared" si="0"/>
        <v>0</v>
      </c>
      <c r="H47" s="22">
        <f t="shared" si="1"/>
        <v>9202.4392511999995</v>
      </c>
      <c r="I47" s="22">
        <f t="shared" si="2"/>
        <v>9202.4392511999995</v>
      </c>
    </row>
    <row r="48" spans="1:9" ht="15.65" x14ac:dyDescent="0.3">
      <c r="A48" s="51"/>
      <c r="B48" s="94" t="s">
        <v>74</v>
      </c>
      <c r="C48" s="42" t="s">
        <v>34</v>
      </c>
      <c r="D48" s="45">
        <f>(0.935*32+0.34*284)*0.395/1000*1.04</f>
        <v>5.1957983999999999E-2</v>
      </c>
      <c r="E48" s="22"/>
      <c r="F48" s="22">
        <v>40000</v>
      </c>
      <c r="G48" s="22">
        <f t="shared" si="0"/>
        <v>0</v>
      </c>
      <c r="H48" s="22">
        <f t="shared" si="1"/>
        <v>2078.31936</v>
      </c>
      <c r="I48" s="22">
        <f t="shared" si="2"/>
        <v>2078.31936</v>
      </c>
    </row>
    <row r="49" spans="1:9" ht="15.65" x14ac:dyDescent="0.3">
      <c r="A49" s="51"/>
      <c r="B49" s="94" t="s">
        <v>86</v>
      </c>
      <c r="C49" s="42" t="s">
        <v>34</v>
      </c>
      <c r="D49" s="45">
        <f>(2.23*44+2.13*48+1.105*44+1.085*48)*0.62/1000*1.04</f>
        <v>0.19412348800000001</v>
      </c>
      <c r="E49" s="22"/>
      <c r="F49" s="22">
        <v>35000</v>
      </c>
      <c r="G49" s="22">
        <f t="shared" si="0"/>
        <v>0</v>
      </c>
      <c r="H49" s="22">
        <f t="shared" si="1"/>
        <v>6794.3220800000008</v>
      </c>
      <c r="I49" s="22">
        <f t="shared" si="2"/>
        <v>6794.3220800000008</v>
      </c>
    </row>
    <row r="50" spans="1:9" ht="15.65" x14ac:dyDescent="0.3">
      <c r="A50" s="51"/>
      <c r="B50" s="94" t="s">
        <v>87</v>
      </c>
      <c r="C50" s="42" t="s">
        <v>34</v>
      </c>
      <c r="D50" s="52">
        <f>14.4*1.04/1000</f>
        <v>1.4976000000000001E-2</v>
      </c>
      <c r="E50" s="22"/>
      <c r="F50" s="22">
        <v>46300</v>
      </c>
      <c r="G50" s="22">
        <f t="shared" si="0"/>
        <v>0</v>
      </c>
      <c r="H50" s="22">
        <f t="shared" si="1"/>
        <v>693.38880000000006</v>
      </c>
      <c r="I50" s="22">
        <f t="shared" si="2"/>
        <v>693.38880000000006</v>
      </c>
    </row>
    <row r="51" spans="1:9" ht="15.65" x14ac:dyDescent="0.3">
      <c r="A51" s="51"/>
      <c r="B51" s="94" t="s">
        <v>88</v>
      </c>
      <c r="C51" s="42" t="s">
        <v>34</v>
      </c>
      <c r="D51" s="52">
        <f>52.8*1.04/1000</f>
        <v>5.4912000000000002E-2</v>
      </c>
      <c r="E51" s="22"/>
      <c r="F51" s="22">
        <v>46300</v>
      </c>
      <c r="G51" s="22">
        <f t="shared" si="0"/>
        <v>0</v>
      </c>
      <c r="H51" s="22">
        <f t="shared" si="1"/>
        <v>2542.4256</v>
      </c>
      <c r="I51" s="22">
        <f t="shared" si="2"/>
        <v>2542.4256</v>
      </c>
    </row>
    <row r="52" spans="1:9" ht="15.65" x14ac:dyDescent="0.3">
      <c r="A52" s="51" t="s">
        <v>89</v>
      </c>
      <c r="B52" s="90" t="s">
        <v>44</v>
      </c>
      <c r="C52" s="36" t="s">
        <v>34</v>
      </c>
      <c r="D52" s="21">
        <f>0.02*D44</f>
        <v>0</v>
      </c>
      <c r="E52" s="22"/>
      <c r="F52" s="22">
        <v>53104</v>
      </c>
      <c r="G52" s="22">
        <f t="shared" si="0"/>
        <v>0</v>
      </c>
      <c r="H52" s="22">
        <f t="shared" si="1"/>
        <v>0</v>
      </c>
      <c r="I52" s="22">
        <f t="shared" si="2"/>
        <v>0</v>
      </c>
    </row>
    <row r="53" spans="1:9" s="19" customFormat="1" ht="28.8" x14ac:dyDescent="0.3">
      <c r="A53" s="53" t="s">
        <v>90</v>
      </c>
      <c r="B53" s="54" t="s">
        <v>91</v>
      </c>
      <c r="C53" s="32" t="s">
        <v>21</v>
      </c>
      <c r="D53" s="50">
        <v>5.62</v>
      </c>
      <c r="E53" s="34">
        <v>2700</v>
      </c>
      <c r="F53" s="34"/>
      <c r="G53" s="34">
        <f t="shared" si="0"/>
        <v>15174</v>
      </c>
      <c r="H53" s="34">
        <f t="shared" si="1"/>
        <v>0</v>
      </c>
      <c r="I53" s="34">
        <f t="shared" si="2"/>
        <v>15174</v>
      </c>
    </row>
    <row r="54" spans="1:9" ht="15.65" x14ac:dyDescent="0.3">
      <c r="A54" s="51" t="s">
        <v>92</v>
      </c>
      <c r="B54" s="94" t="s">
        <v>83</v>
      </c>
      <c r="C54" s="42" t="s">
        <v>21</v>
      </c>
      <c r="D54" s="55">
        <f>(0.93+4.69)*1.05</f>
        <v>5.9010000000000007</v>
      </c>
      <c r="E54" s="22"/>
      <c r="F54" s="22">
        <v>5450</v>
      </c>
      <c r="G54" s="22">
        <f t="shared" si="0"/>
        <v>0</v>
      </c>
      <c r="H54" s="22">
        <f t="shared" si="1"/>
        <v>32160.450000000004</v>
      </c>
      <c r="I54" s="22">
        <f t="shared" si="2"/>
        <v>32160.450000000004</v>
      </c>
    </row>
    <row r="55" spans="1:9" ht="15.65" x14ac:dyDescent="0.3">
      <c r="A55" s="51" t="s">
        <v>93</v>
      </c>
      <c r="B55" s="96" t="s">
        <v>32</v>
      </c>
      <c r="C55" s="42"/>
      <c r="D55" s="48"/>
      <c r="E55" s="22"/>
      <c r="F55" s="22"/>
      <c r="G55" s="22"/>
      <c r="H55" s="22"/>
      <c r="I55" s="22"/>
    </row>
    <row r="56" spans="1:9" ht="15.65" x14ac:dyDescent="0.3">
      <c r="A56" s="51"/>
      <c r="B56" s="94" t="s">
        <v>85</v>
      </c>
      <c r="C56" s="42" t="s">
        <v>34</v>
      </c>
      <c r="D56" s="45">
        <f>3.03*24*1.58/1000*1.04</f>
        <v>0.119493504</v>
      </c>
      <c r="E56" s="22"/>
      <c r="F56" s="22">
        <v>33500</v>
      </c>
      <c r="G56" s="22">
        <f t="shared" si="0"/>
        <v>0</v>
      </c>
      <c r="H56" s="22">
        <f t="shared" si="1"/>
        <v>4003.0323840000001</v>
      </c>
      <c r="I56" s="22">
        <f t="shared" si="2"/>
        <v>4003.0323840000001</v>
      </c>
    </row>
    <row r="57" spans="1:9" ht="15.65" x14ac:dyDescent="0.3">
      <c r="A57" s="51"/>
      <c r="B57" s="94" t="s">
        <v>72</v>
      </c>
      <c r="C57" s="42" t="s">
        <v>34</v>
      </c>
      <c r="D57" s="45">
        <f>(2.87*70+2.37*14)*0.888/1000*1.04</f>
        <v>0.21617756160000001</v>
      </c>
      <c r="E57" s="22"/>
      <c r="F57" s="22">
        <v>34400</v>
      </c>
      <c r="G57" s="22">
        <f t="shared" si="0"/>
        <v>0</v>
      </c>
      <c r="H57" s="22">
        <f t="shared" si="1"/>
        <v>7436.5081190400006</v>
      </c>
      <c r="I57" s="22">
        <f t="shared" si="2"/>
        <v>7436.5081190400006</v>
      </c>
    </row>
    <row r="58" spans="1:9" ht="15.65" x14ac:dyDescent="0.3">
      <c r="A58" s="51"/>
      <c r="B58" s="94" t="s">
        <v>73</v>
      </c>
      <c r="C58" s="42" t="s">
        <v>34</v>
      </c>
      <c r="D58" s="45">
        <f>(3.07*48+2.12*48+1.02*96+0.17*12*2+0.15*4*2+0.15*4*2)*0.395/1000*1.04</f>
        <v>0.14522601600000001</v>
      </c>
      <c r="E58" s="22"/>
      <c r="F58" s="22">
        <v>39400</v>
      </c>
      <c r="G58" s="22">
        <f t="shared" si="0"/>
        <v>0</v>
      </c>
      <c r="H58" s="22">
        <f t="shared" si="1"/>
        <v>5721.9050304000002</v>
      </c>
      <c r="I58" s="22">
        <f t="shared" si="2"/>
        <v>5721.9050304000002</v>
      </c>
    </row>
    <row r="59" spans="1:9" ht="15.65" x14ac:dyDescent="0.3">
      <c r="A59" s="51"/>
      <c r="B59" s="94" t="s">
        <v>74</v>
      </c>
      <c r="C59" s="42" t="s">
        <v>34</v>
      </c>
      <c r="D59" s="45">
        <f>0.34*166*0.395/1000*1.04</f>
        <v>2.3185552000000009E-2</v>
      </c>
      <c r="E59" s="22"/>
      <c r="F59" s="22">
        <v>40000</v>
      </c>
      <c r="G59" s="22">
        <f t="shared" si="0"/>
        <v>0</v>
      </c>
      <c r="H59" s="22">
        <f t="shared" si="1"/>
        <v>927.42208000000039</v>
      </c>
      <c r="I59" s="22">
        <f t="shared" si="2"/>
        <v>927.42208000000039</v>
      </c>
    </row>
    <row r="60" spans="1:9" ht="15.65" x14ac:dyDescent="0.3">
      <c r="A60" s="51"/>
      <c r="B60" s="94" t="s">
        <v>86</v>
      </c>
      <c r="C60" s="42" t="s">
        <v>34</v>
      </c>
      <c r="D60" s="45">
        <f>(2.63*18+1.68*28+1.105*18+1.085*28)*0.62/1000*1.04</f>
        <v>9.3270320000000018E-2</v>
      </c>
      <c r="E60" s="22"/>
      <c r="F60" s="22">
        <v>35000</v>
      </c>
      <c r="G60" s="22">
        <f t="shared" si="0"/>
        <v>0</v>
      </c>
      <c r="H60" s="22">
        <f t="shared" si="1"/>
        <v>3264.4612000000006</v>
      </c>
      <c r="I60" s="22">
        <f t="shared" si="2"/>
        <v>3264.4612000000006</v>
      </c>
    </row>
    <row r="61" spans="1:9" ht="15.65" x14ac:dyDescent="0.3">
      <c r="A61" s="51"/>
      <c r="B61" s="94" t="s">
        <v>87</v>
      </c>
      <c r="C61" s="42" t="s">
        <v>34</v>
      </c>
      <c r="D61" s="52">
        <f>14.4/2*1.04/1000</f>
        <v>7.4880000000000007E-3</v>
      </c>
      <c r="E61" s="22"/>
      <c r="F61" s="22">
        <v>46300</v>
      </c>
      <c r="G61" s="22">
        <f t="shared" si="0"/>
        <v>0</v>
      </c>
      <c r="H61" s="22">
        <f t="shared" si="1"/>
        <v>346.69440000000003</v>
      </c>
      <c r="I61" s="22">
        <f t="shared" si="2"/>
        <v>346.69440000000003</v>
      </c>
    </row>
    <row r="62" spans="1:9" ht="15.65" x14ac:dyDescent="0.3">
      <c r="A62" s="51"/>
      <c r="B62" s="94" t="s">
        <v>88</v>
      </c>
      <c r="C62" s="42" t="s">
        <v>34</v>
      </c>
      <c r="D62" s="52">
        <f>52.8/2*1.04/1000</f>
        <v>2.7456000000000001E-2</v>
      </c>
      <c r="E62" s="22"/>
      <c r="F62" s="22">
        <v>46300</v>
      </c>
      <c r="G62" s="22">
        <f t="shared" si="0"/>
        <v>0</v>
      </c>
      <c r="H62" s="22">
        <f t="shared" si="1"/>
        <v>1271.2128</v>
      </c>
      <c r="I62" s="22">
        <f t="shared" si="2"/>
        <v>1271.2128</v>
      </c>
    </row>
    <row r="63" spans="1:9" ht="15.65" x14ac:dyDescent="0.3">
      <c r="A63" s="51" t="s">
        <v>94</v>
      </c>
      <c r="B63" s="90" t="s">
        <v>44</v>
      </c>
      <c r="C63" s="36" t="s">
        <v>34</v>
      </c>
      <c r="D63" s="21">
        <f>0.02*D55</f>
        <v>0</v>
      </c>
      <c r="E63" s="22"/>
      <c r="F63" s="22">
        <v>53104</v>
      </c>
      <c r="G63" s="22">
        <f t="shared" si="0"/>
        <v>0</v>
      </c>
      <c r="H63" s="22">
        <f t="shared" si="1"/>
        <v>0</v>
      </c>
      <c r="I63" s="22">
        <f t="shared" si="2"/>
        <v>0</v>
      </c>
    </row>
    <row r="64" spans="1:9" s="19" customFormat="1" ht="28.8" x14ac:dyDescent="0.3">
      <c r="A64" s="53" t="s">
        <v>95</v>
      </c>
      <c r="B64" s="56" t="s">
        <v>96</v>
      </c>
      <c r="C64" s="57" t="s">
        <v>21</v>
      </c>
      <c r="D64" s="50">
        <v>7.78</v>
      </c>
      <c r="E64" s="34">
        <v>2700</v>
      </c>
      <c r="F64" s="34"/>
      <c r="G64" s="34">
        <f t="shared" si="0"/>
        <v>21006</v>
      </c>
      <c r="H64" s="34">
        <f t="shared" si="1"/>
        <v>0</v>
      </c>
      <c r="I64" s="34">
        <f t="shared" si="2"/>
        <v>21006</v>
      </c>
    </row>
    <row r="65" spans="1:9" ht="15.65" x14ac:dyDescent="0.3">
      <c r="A65" s="51" t="s">
        <v>97</v>
      </c>
      <c r="B65" s="94" t="s">
        <v>83</v>
      </c>
      <c r="C65" s="42" t="s">
        <v>21</v>
      </c>
      <c r="D65" s="48">
        <f>7.78*1.05</f>
        <v>8.1690000000000005</v>
      </c>
      <c r="E65" s="22"/>
      <c r="F65" s="22">
        <v>5450</v>
      </c>
      <c r="G65" s="22">
        <f t="shared" si="0"/>
        <v>0</v>
      </c>
      <c r="H65" s="22">
        <f t="shared" si="1"/>
        <v>44521.05</v>
      </c>
      <c r="I65" s="22">
        <f t="shared" si="2"/>
        <v>44521.05</v>
      </c>
    </row>
    <row r="66" spans="1:9" ht="15.65" x14ac:dyDescent="0.3">
      <c r="A66" s="51" t="s">
        <v>98</v>
      </c>
      <c r="B66" s="96" t="s">
        <v>32</v>
      </c>
      <c r="C66" s="42"/>
      <c r="D66" s="48"/>
      <c r="E66" s="22"/>
      <c r="F66" s="22"/>
      <c r="G66" s="22"/>
      <c r="H66" s="22"/>
      <c r="I66" s="22"/>
    </row>
    <row r="67" spans="1:9" ht="15.65" x14ac:dyDescent="0.3">
      <c r="A67" s="53"/>
      <c r="B67" s="94" t="s">
        <v>99</v>
      </c>
      <c r="C67" s="42" t="s">
        <v>34</v>
      </c>
      <c r="D67" s="48">
        <f>3.03*24*1.58/1000*1.04</f>
        <v>0.119493504</v>
      </c>
      <c r="E67" s="22"/>
      <c r="F67" s="22">
        <v>33500</v>
      </c>
      <c r="G67" s="22">
        <f t="shared" si="0"/>
        <v>0</v>
      </c>
      <c r="H67" s="22">
        <f t="shared" si="1"/>
        <v>4003.0323840000001</v>
      </c>
      <c r="I67" s="22">
        <f t="shared" si="2"/>
        <v>4003.0323840000001</v>
      </c>
    </row>
    <row r="68" spans="1:9" ht="15.65" x14ac:dyDescent="0.3">
      <c r="A68" s="53"/>
      <c r="B68" s="94" t="s">
        <v>100</v>
      </c>
      <c r="C68" s="42" t="s">
        <v>34</v>
      </c>
      <c r="D68" s="48">
        <f>1.87*146*0.888/1000*1.04</f>
        <v>0.25213943040000003</v>
      </c>
      <c r="E68" s="22"/>
      <c r="F68" s="22">
        <v>34400</v>
      </c>
      <c r="G68" s="22">
        <f t="shared" si="0"/>
        <v>0</v>
      </c>
      <c r="H68" s="22">
        <f t="shared" si="1"/>
        <v>8673.5964057600013</v>
      </c>
      <c r="I68" s="22">
        <f t="shared" si="2"/>
        <v>8673.5964057600013</v>
      </c>
    </row>
    <row r="69" spans="1:9" ht="15.65" x14ac:dyDescent="0.3">
      <c r="A69" s="53"/>
      <c r="B69" s="94" t="s">
        <v>101</v>
      </c>
      <c r="C69" s="42" t="s">
        <v>34</v>
      </c>
      <c r="D69" s="45">
        <f>(6.05*48+3.19*24+1.02*72)*0.395/1000*1.04</f>
        <v>0.18091632000000002</v>
      </c>
      <c r="E69" s="22"/>
      <c r="F69" s="22">
        <v>39400</v>
      </c>
      <c r="G69" s="22">
        <f t="shared" si="0"/>
        <v>0</v>
      </c>
      <c r="H69" s="22">
        <f t="shared" si="1"/>
        <v>7128.103008000001</v>
      </c>
      <c r="I69" s="22">
        <f t="shared" si="2"/>
        <v>7128.103008000001</v>
      </c>
    </row>
    <row r="70" spans="1:9" ht="15.65" x14ac:dyDescent="0.3">
      <c r="A70" s="53"/>
      <c r="B70" s="90" t="s">
        <v>102</v>
      </c>
      <c r="C70" s="36" t="s">
        <v>34</v>
      </c>
      <c r="D70" s="45">
        <f>(2.865*12+0.34*268)*0.395/1000*1.04</f>
        <v>5.1555400000000008E-2</v>
      </c>
      <c r="E70" s="22"/>
      <c r="F70" s="22">
        <v>40000</v>
      </c>
      <c r="G70" s="22">
        <f t="shared" ref="G70:G108" si="3">D70*E70</f>
        <v>0</v>
      </c>
      <c r="H70" s="22">
        <f t="shared" ref="H70:H108" si="4">D70*F70</f>
        <v>2062.2160000000003</v>
      </c>
      <c r="I70" s="22">
        <f t="shared" ref="I70:I108" si="5">G70+H70</f>
        <v>2062.2160000000003</v>
      </c>
    </row>
    <row r="71" spans="1:9" ht="15.65" x14ac:dyDescent="0.3">
      <c r="A71" s="51" t="s">
        <v>103</v>
      </c>
      <c r="B71" s="90" t="s">
        <v>44</v>
      </c>
      <c r="C71" s="36" t="s">
        <v>34</v>
      </c>
      <c r="D71" s="21">
        <f>0.02*D66</f>
        <v>0</v>
      </c>
      <c r="E71" s="22"/>
      <c r="F71" s="22">
        <v>53104</v>
      </c>
      <c r="G71" s="22">
        <f t="shared" si="3"/>
        <v>0</v>
      </c>
      <c r="H71" s="22">
        <f t="shared" si="4"/>
        <v>0</v>
      </c>
      <c r="I71" s="22">
        <f t="shared" si="5"/>
        <v>0</v>
      </c>
    </row>
    <row r="72" spans="1:9" s="19" customFormat="1" x14ac:dyDescent="0.3">
      <c r="A72" s="20" t="s">
        <v>104</v>
      </c>
      <c r="B72" s="56" t="s">
        <v>105</v>
      </c>
      <c r="C72" s="57" t="s">
        <v>21</v>
      </c>
      <c r="D72" s="50">
        <f>142.4</f>
        <v>142.4</v>
      </c>
      <c r="E72" s="34">
        <v>2700</v>
      </c>
      <c r="F72" s="34"/>
      <c r="G72" s="34">
        <f t="shared" si="3"/>
        <v>384480</v>
      </c>
      <c r="H72" s="34">
        <f t="shared" si="4"/>
        <v>0</v>
      </c>
      <c r="I72" s="34">
        <f t="shared" si="5"/>
        <v>384480</v>
      </c>
    </row>
    <row r="73" spans="1:9" x14ac:dyDescent="0.3">
      <c r="A73" s="37" t="s">
        <v>106</v>
      </c>
      <c r="B73" s="94" t="s">
        <v>107</v>
      </c>
      <c r="C73" s="42" t="s">
        <v>21</v>
      </c>
      <c r="D73" s="48">
        <f>142.4*1.05</f>
        <v>149.52000000000001</v>
      </c>
      <c r="E73" s="22"/>
      <c r="F73" s="22">
        <v>5300</v>
      </c>
      <c r="G73" s="22">
        <f t="shared" si="3"/>
        <v>0</v>
      </c>
      <c r="H73" s="22">
        <f t="shared" si="4"/>
        <v>792456</v>
      </c>
      <c r="I73" s="22">
        <f t="shared" si="5"/>
        <v>792456</v>
      </c>
    </row>
    <row r="74" spans="1:9" x14ac:dyDescent="0.3">
      <c r="A74" s="37" t="s">
        <v>108</v>
      </c>
      <c r="B74" s="97" t="s">
        <v>109</v>
      </c>
      <c r="C74" s="57"/>
      <c r="D74" s="50"/>
      <c r="E74" s="22"/>
      <c r="F74" s="22"/>
      <c r="G74" s="22">
        <f t="shared" si="3"/>
        <v>0</v>
      </c>
      <c r="H74" s="22">
        <f t="shared" si="4"/>
        <v>0</v>
      </c>
      <c r="I74" s="22">
        <f t="shared" si="5"/>
        <v>0</v>
      </c>
    </row>
    <row r="75" spans="1:9" x14ac:dyDescent="0.3">
      <c r="A75" s="37"/>
      <c r="B75" s="94" t="s">
        <v>86</v>
      </c>
      <c r="C75" s="42" t="s">
        <v>34</v>
      </c>
      <c r="D75" s="48">
        <f>5012.3/1000*1.04</f>
        <v>5.2127920000000003</v>
      </c>
      <c r="E75" s="22"/>
      <c r="F75" s="22">
        <v>3500</v>
      </c>
      <c r="G75" s="22">
        <f t="shared" si="3"/>
        <v>0</v>
      </c>
      <c r="H75" s="22">
        <f t="shared" si="4"/>
        <v>18244.772000000001</v>
      </c>
      <c r="I75" s="22">
        <f t="shared" si="5"/>
        <v>18244.772000000001</v>
      </c>
    </row>
    <row r="76" spans="1:9" x14ac:dyDescent="0.3">
      <c r="A76" s="37"/>
      <c r="B76" s="94" t="s">
        <v>110</v>
      </c>
      <c r="C76" s="42" t="s">
        <v>34</v>
      </c>
      <c r="D76" s="48">
        <f>18.8/1000*1.04</f>
        <v>1.9552E-2</v>
      </c>
      <c r="E76" s="22"/>
      <c r="F76" s="22">
        <v>34400</v>
      </c>
      <c r="G76" s="22">
        <f t="shared" si="3"/>
        <v>0</v>
      </c>
      <c r="H76" s="22">
        <f t="shared" si="4"/>
        <v>672.58879999999999</v>
      </c>
      <c r="I76" s="22">
        <f t="shared" si="5"/>
        <v>672.58879999999999</v>
      </c>
    </row>
    <row r="77" spans="1:9" x14ac:dyDescent="0.3">
      <c r="A77" s="37"/>
      <c r="B77" s="94" t="s">
        <v>111</v>
      </c>
      <c r="C77" s="42" t="s">
        <v>34</v>
      </c>
      <c r="D77" s="48">
        <f>33.4/1000*1.04</f>
        <v>3.4736000000000003E-2</v>
      </c>
      <c r="E77" s="22"/>
      <c r="F77" s="22">
        <v>33500</v>
      </c>
      <c r="G77" s="22">
        <f t="shared" si="3"/>
        <v>0</v>
      </c>
      <c r="H77" s="22">
        <f t="shared" si="4"/>
        <v>1163.6560000000002</v>
      </c>
      <c r="I77" s="22">
        <f t="shared" si="5"/>
        <v>1163.6560000000002</v>
      </c>
    </row>
    <row r="78" spans="1:9" x14ac:dyDescent="0.3">
      <c r="A78" s="37"/>
      <c r="B78" s="94" t="s">
        <v>112</v>
      </c>
      <c r="C78" s="42" t="s">
        <v>34</v>
      </c>
      <c r="D78" s="48">
        <f>568.3/1000*1.04</f>
        <v>0.59103199999999989</v>
      </c>
      <c r="E78" s="22"/>
      <c r="F78" s="22">
        <v>40000</v>
      </c>
      <c r="G78" s="22">
        <f t="shared" si="3"/>
        <v>0</v>
      </c>
      <c r="H78" s="22">
        <f t="shared" si="4"/>
        <v>23641.279999999995</v>
      </c>
      <c r="I78" s="22">
        <f t="shared" si="5"/>
        <v>23641.279999999995</v>
      </c>
    </row>
    <row r="79" spans="1:9" ht="15.65" x14ac:dyDescent="0.3">
      <c r="A79" s="51"/>
      <c r="B79" s="90" t="s">
        <v>44</v>
      </c>
      <c r="C79" s="36" t="s">
        <v>34</v>
      </c>
      <c r="D79" s="21">
        <f>0.02*(SUM(D75:D78))</f>
        <v>0.11716224</v>
      </c>
      <c r="E79" s="22"/>
      <c r="F79" s="22">
        <v>53104</v>
      </c>
      <c r="G79" s="22">
        <f t="shared" si="3"/>
        <v>0</v>
      </c>
      <c r="H79" s="22">
        <f t="shared" si="4"/>
        <v>6221.7835929599996</v>
      </c>
      <c r="I79" s="22">
        <f t="shared" si="5"/>
        <v>6221.7835929599996</v>
      </c>
    </row>
    <row r="80" spans="1:9" x14ac:dyDescent="0.3">
      <c r="A80" s="37" t="s">
        <v>113</v>
      </c>
      <c r="B80" s="58" t="s">
        <v>114</v>
      </c>
      <c r="C80" s="57"/>
      <c r="D80" s="50"/>
      <c r="E80" s="22"/>
      <c r="F80" s="22"/>
      <c r="G80" s="22">
        <f t="shared" si="3"/>
        <v>0</v>
      </c>
      <c r="H80" s="22">
        <f t="shared" si="4"/>
        <v>0</v>
      </c>
      <c r="I80" s="22">
        <f t="shared" si="5"/>
        <v>0</v>
      </c>
    </row>
    <row r="81" spans="1:9" x14ac:dyDescent="0.3">
      <c r="A81" s="37"/>
      <c r="B81" s="94" t="s">
        <v>86</v>
      </c>
      <c r="C81" s="42" t="s">
        <v>34</v>
      </c>
      <c r="D81" s="48">
        <f>6079.4/1000*1.04</f>
        <v>6.3225759999999998</v>
      </c>
      <c r="E81" s="22"/>
      <c r="F81" s="22">
        <v>35000</v>
      </c>
      <c r="G81" s="22">
        <f t="shared" si="3"/>
        <v>0</v>
      </c>
      <c r="H81" s="22">
        <f t="shared" si="4"/>
        <v>221290.16</v>
      </c>
      <c r="I81" s="22">
        <f t="shared" si="5"/>
        <v>221290.16</v>
      </c>
    </row>
    <row r="82" spans="1:9" x14ac:dyDescent="0.3">
      <c r="A82" s="37"/>
      <c r="B82" s="94" t="s">
        <v>115</v>
      </c>
      <c r="C82" s="42" t="s">
        <v>34</v>
      </c>
      <c r="D82" s="48">
        <f>53/1000*1.04</f>
        <v>5.5120000000000002E-2</v>
      </c>
      <c r="E82" s="22"/>
      <c r="F82" s="22">
        <v>35100</v>
      </c>
      <c r="G82" s="22">
        <f t="shared" si="3"/>
        <v>0</v>
      </c>
      <c r="H82" s="22">
        <f t="shared" si="4"/>
        <v>1934.712</v>
      </c>
      <c r="I82" s="22">
        <f t="shared" si="5"/>
        <v>1934.712</v>
      </c>
    </row>
    <row r="83" spans="1:9" x14ac:dyDescent="0.3">
      <c r="A83" s="37"/>
      <c r="B83" s="94" t="s">
        <v>111</v>
      </c>
      <c r="C83" s="42" t="s">
        <v>34</v>
      </c>
      <c r="D83" s="48">
        <f>186.2/1000*1.04</f>
        <v>0.19364799999999999</v>
      </c>
      <c r="E83" s="22"/>
      <c r="F83" s="22">
        <v>33500</v>
      </c>
      <c r="G83" s="22">
        <f t="shared" si="3"/>
        <v>0</v>
      </c>
      <c r="H83" s="22">
        <f t="shared" si="4"/>
        <v>6487.2079999999996</v>
      </c>
      <c r="I83" s="22">
        <f t="shared" si="5"/>
        <v>6487.2079999999996</v>
      </c>
    </row>
    <row r="84" spans="1:9" x14ac:dyDescent="0.3">
      <c r="A84" s="37"/>
      <c r="B84" s="94" t="s">
        <v>110</v>
      </c>
      <c r="C84" s="42" t="s">
        <v>34</v>
      </c>
      <c r="D84" s="48">
        <f>18.8/1000*1.04</f>
        <v>1.9552E-2</v>
      </c>
      <c r="E84" s="22"/>
      <c r="F84" s="22">
        <v>34400</v>
      </c>
      <c r="G84" s="22">
        <f t="shared" si="3"/>
        <v>0</v>
      </c>
      <c r="H84" s="22">
        <f t="shared" si="4"/>
        <v>672.58879999999999</v>
      </c>
      <c r="I84" s="22">
        <f t="shared" si="5"/>
        <v>672.58879999999999</v>
      </c>
    </row>
    <row r="85" spans="1:9" x14ac:dyDescent="0.3">
      <c r="A85" s="37"/>
      <c r="B85" s="94" t="s">
        <v>112</v>
      </c>
      <c r="C85" s="42" t="s">
        <v>34</v>
      </c>
      <c r="D85" s="48">
        <f>31/1000*1.04</f>
        <v>3.2239999999999998E-2</v>
      </c>
      <c r="E85" s="22"/>
      <c r="F85" s="22">
        <v>40000</v>
      </c>
      <c r="G85" s="22">
        <f t="shared" si="3"/>
        <v>0</v>
      </c>
      <c r="H85" s="22">
        <f t="shared" si="4"/>
        <v>1289.5999999999999</v>
      </c>
      <c r="I85" s="22">
        <f t="shared" si="5"/>
        <v>1289.5999999999999</v>
      </c>
    </row>
    <row r="86" spans="1:9" ht="15.65" x14ac:dyDescent="0.3">
      <c r="A86" s="51"/>
      <c r="B86" s="90" t="s">
        <v>44</v>
      </c>
      <c r="C86" s="36" t="s">
        <v>34</v>
      </c>
      <c r="D86" s="21">
        <f>0.02*(SUM(D81:D85))</f>
        <v>0.13246271999999998</v>
      </c>
      <c r="E86" s="22"/>
      <c r="F86" s="22">
        <v>53104</v>
      </c>
      <c r="G86" s="22">
        <f t="shared" si="3"/>
        <v>0</v>
      </c>
      <c r="H86" s="22">
        <f t="shared" si="4"/>
        <v>7034.300282879999</v>
      </c>
      <c r="I86" s="22">
        <f t="shared" si="5"/>
        <v>7034.300282879999</v>
      </c>
    </row>
    <row r="87" spans="1:9" x14ac:dyDescent="0.3">
      <c r="A87" s="37" t="s">
        <v>116</v>
      </c>
      <c r="B87" s="58" t="s">
        <v>117</v>
      </c>
      <c r="C87" s="57" t="s">
        <v>11</v>
      </c>
      <c r="D87" s="50">
        <v>38</v>
      </c>
      <c r="E87" s="22"/>
      <c r="F87" s="22"/>
      <c r="G87" s="22">
        <f t="shared" si="3"/>
        <v>0</v>
      </c>
      <c r="H87" s="22">
        <f t="shared" si="4"/>
        <v>0</v>
      </c>
      <c r="I87" s="22">
        <f t="shared" si="5"/>
        <v>0</v>
      </c>
    </row>
    <row r="88" spans="1:9" x14ac:dyDescent="0.3">
      <c r="A88" s="37"/>
      <c r="B88" s="94" t="s">
        <v>73</v>
      </c>
      <c r="C88" s="42" t="s">
        <v>34</v>
      </c>
      <c r="D88" s="48">
        <v>9.0060000000000001E-3</v>
      </c>
      <c r="E88" s="22"/>
      <c r="F88" s="22">
        <v>39400</v>
      </c>
      <c r="G88" s="22">
        <f t="shared" si="3"/>
        <v>0</v>
      </c>
      <c r="H88" s="22">
        <f t="shared" si="4"/>
        <v>354.83640000000003</v>
      </c>
      <c r="I88" s="22">
        <f t="shared" si="5"/>
        <v>354.83640000000003</v>
      </c>
    </row>
    <row r="89" spans="1:9" x14ac:dyDescent="0.3">
      <c r="A89" s="37"/>
      <c r="B89" s="94" t="s">
        <v>118</v>
      </c>
      <c r="C89" s="42" t="s">
        <v>34</v>
      </c>
      <c r="D89" s="48">
        <v>1.7898000000000004E-2</v>
      </c>
      <c r="E89" s="22"/>
      <c r="F89" s="22">
        <v>46300</v>
      </c>
      <c r="G89" s="22">
        <f t="shared" si="3"/>
        <v>0</v>
      </c>
      <c r="H89" s="22">
        <f t="shared" si="4"/>
        <v>828.67740000000015</v>
      </c>
      <c r="I89" s="22">
        <f t="shared" si="5"/>
        <v>828.67740000000015</v>
      </c>
    </row>
    <row r="90" spans="1:9" x14ac:dyDescent="0.3">
      <c r="A90" s="37" t="s">
        <v>119</v>
      </c>
      <c r="B90" s="58" t="s">
        <v>120</v>
      </c>
      <c r="C90" s="42"/>
      <c r="D90" s="48"/>
      <c r="E90" s="22"/>
      <c r="F90" s="22"/>
      <c r="G90" s="22">
        <f t="shared" si="3"/>
        <v>0</v>
      </c>
      <c r="H90" s="22">
        <f t="shared" si="4"/>
        <v>0</v>
      </c>
      <c r="I90" s="22">
        <f t="shared" si="5"/>
        <v>0</v>
      </c>
    </row>
    <row r="91" spans="1:9" x14ac:dyDescent="0.3">
      <c r="A91" s="37"/>
      <c r="B91" s="94" t="s">
        <v>121</v>
      </c>
      <c r="C91" s="42" t="s">
        <v>34</v>
      </c>
      <c r="D91" s="52">
        <f>26*3.61/1000</f>
        <v>9.3859999999999999E-2</v>
      </c>
      <c r="E91" s="22"/>
      <c r="F91" s="22">
        <v>45950</v>
      </c>
      <c r="G91" s="22">
        <f t="shared" si="3"/>
        <v>0</v>
      </c>
      <c r="H91" s="22">
        <f t="shared" si="4"/>
        <v>4312.8670000000002</v>
      </c>
      <c r="I91" s="22">
        <f t="shared" si="5"/>
        <v>4312.8670000000002</v>
      </c>
    </row>
    <row r="92" spans="1:9" x14ac:dyDescent="0.3">
      <c r="A92" s="37"/>
      <c r="B92" s="94" t="s">
        <v>122</v>
      </c>
      <c r="C92" s="42" t="s">
        <v>34</v>
      </c>
      <c r="D92" s="52">
        <f>7*1.87/1000</f>
        <v>1.3089999999999999E-2</v>
      </c>
      <c r="E92" s="22"/>
      <c r="F92" s="22">
        <v>45950</v>
      </c>
      <c r="G92" s="22">
        <f t="shared" si="3"/>
        <v>0</v>
      </c>
      <c r="H92" s="22">
        <f t="shared" si="4"/>
        <v>601.4855</v>
      </c>
      <c r="I92" s="22">
        <f t="shared" si="5"/>
        <v>601.4855</v>
      </c>
    </row>
    <row r="93" spans="1:9" x14ac:dyDescent="0.3">
      <c r="A93" s="37" t="s">
        <v>123</v>
      </c>
      <c r="B93" s="59" t="s">
        <v>124</v>
      </c>
      <c r="C93" s="46"/>
      <c r="D93" s="21"/>
      <c r="E93" s="22"/>
      <c r="F93" s="22"/>
      <c r="G93" s="22">
        <f t="shared" si="3"/>
        <v>0</v>
      </c>
      <c r="H93" s="22">
        <f t="shared" si="4"/>
        <v>0</v>
      </c>
      <c r="I93" s="22">
        <f t="shared" si="5"/>
        <v>0</v>
      </c>
    </row>
    <row r="94" spans="1:9" x14ac:dyDescent="0.3">
      <c r="A94" s="37"/>
      <c r="B94" s="94" t="s">
        <v>112</v>
      </c>
      <c r="C94" s="42" t="s">
        <v>34</v>
      </c>
      <c r="D94" s="48">
        <f>296.4/1000*1.04</f>
        <v>0.30825600000000003</v>
      </c>
      <c r="E94" s="22"/>
      <c r="F94" s="22">
        <v>40000</v>
      </c>
      <c r="G94" s="22">
        <f t="shared" si="3"/>
        <v>0</v>
      </c>
      <c r="H94" s="22">
        <f t="shared" si="4"/>
        <v>12330.240000000002</v>
      </c>
      <c r="I94" s="22">
        <f t="shared" si="5"/>
        <v>12330.240000000002</v>
      </c>
    </row>
    <row r="95" spans="1:9" x14ac:dyDescent="0.3">
      <c r="A95" s="37" t="s">
        <v>125</v>
      </c>
      <c r="B95" s="59" t="s">
        <v>126</v>
      </c>
      <c r="C95" s="36"/>
      <c r="D95" s="60"/>
      <c r="E95" s="22"/>
      <c r="F95" s="22"/>
      <c r="G95" s="22">
        <f t="shared" si="3"/>
        <v>0</v>
      </c>
      <c r="H95" s="22">
        <f t="shared" si="4"/>
        <v>0</v>
      </c>
      <c r="I95" s="22">
        <f t="shared" si="5"/>
        <v>0</v>
      </c>
    </row>
    <row r="96" spans="1:9" x14ac:dyDescent="0.3">
      <c r="A96" s="37"/>
      <c r="B96" s="94" t="s">
        <v>115</v>
      </c>
      <c r="C96" s="42" t="s">
        <v>34</v>
      </c>
      <c r="D96" s="60">
        <f>(2*5.3*5)/1000*1.04</f>
        <v>5.5120000000000002E-2</v>
      </c>
      <c r="E96" s="22"/>
      <c r="F96" s="22">
        <v>35100</v>
      </c>
      <c r="G96" s="22">
        <f t="shared" si="3"/>
        <v>0</v>
      </c>
      <c r="H96" s="22">
        <f t="shared" si="4"/>
        <v>1934.712</v>
      </c>
      <c r="I96" s="22">
        <f t="shared" si="5"/>
        <v>1934.712</v>
      </c>
    </row>
    <row r="97" spans="1:9" x14ac:dyDescent="0.3">
      <c r="A97" s="37"/>
      <c r="B97" s="94" t="s">
        <v>111</v>
      </c>
      <c r="C97" s="42" t="s">
        <v>34</v>
      </c>
      <c r="D97" s="60">
        <f>(2*3.6*6)/1000*1.04</f>
        <v>4.4928000000000003E-2</v>
      </c>
      <c r="E97" s="22"/>
      <c r="F97" s="22">
        <v>33500</v>
      </c>
      <c r="G97" s="22">
        <f t="shared" si="3"/>
        <v>0</v>
      </c>
      <c r="H97" s="22">
        <f t="shared" si="4"/>
        <v>1505.0880000000002</v>
      </c>
      <c r="I97" s="22">
        <f t="shared" si="5"/>
        <v>1505.0880000000002</v>
      </c>
    </row>
    <row r="98" spans="1:9" x14ac:dyDescent="0.3">
      <c r="A98" s="37"/>
      <c r="B98" s="94" t="s">
        <v>86</v>
      </c>
      <c r="C98" s="42" t="s">
        <v>34</v>
      </c>
      <c r="D98" s="60">
        <f>(2*1.2*5+2*1.4*6)/1000*1.04</f>
        <v>2.9951999999999996E-2</v>
      </c>
      <c r="E98" s="22"/>
      <c r="F98" s="22">
        <v>35000</v>
      </c>
      <c r="G98" s="22">
        <f t="shared" si="3"/>
        <v>0</v>
      </c>
      <c r="H98" s="22">
        <f t="shared" si="4"/>
        <v>1048.32</v>
      </c>
      <c r="I98" s="22">
        <f t="shared" si="5"/>
        <v>1048.32</v>
      </c>
    </row>
    <row r="99" spans="1:9" x14ac:dyDescent="0.3">
      <c r="A99" s="37"/>
      <c r="B99" s="94" t="s">
        <v>112</v>
      </c>
      <c r="C99" s="42" t="s">
        <v>34</v>
      </c>
      <c r="D99" s="60">
        <f>(5*0.26*5+5*0.25*6)/1000*1.04</f>
        <v>1.456E-2</v>
      </c>
      <c r="E99" s="22"/>
      <c r="F99" s="22">
        <v>40000</v>
      </c>
      <c r="G99" s="22">
        <f t="shared" si="3"/>
        <v>0</v>
      </c>
      <c r="H99" s="22">
        <f t="shared" si="4"/>
        <v>582.4</v>
      </c>
      <c r="I99" s="22">
        <f t="shared" si="5"/>
        <v>582.4</v>
      </c>
    </row>
    <row r="100" spans="1:9" x14ac:dyDescent="0.3">
      <c r="A100" s="37" t="s">
        <v>127</v>
      </c>
      <c r="B100" s="59" t="s">
        <v>128</v>
      </c>
      <c r="C100" s="36"/>
      <c r="D100" s="60"/>
      <c r="E100" s="22"/>
      <c r="F100" s="22"/>
      <c r="G100" s="22">
        <f t="shared" si="3"/>
        <v>0</v>
      </c>
      <c r="H100" s="22">
        <f t="shared" si="4"/>
        <v>0</v>
      </c>
      <c r="I100" s="22">
        <f t="shared" si="5"/>
        <v>0</v>
      </c>
    </row>
    <row r="101" spans="1:9" x14ac:dyDescent="0.3">
      <c r="A101" s="20"/>
      <c r="B101" s="90" t="s">
        <v>129</v>
      </c>
      <c r="C101" s="36" t="s">
        <v>21</v>
      </c>
      <c r="D101" s="60">
        <f>(0.6*0.15*2+0.55*0.15*2+0.55*0.2+0.6*0.2*7+0.55*0.2+0.6*0.15*4+0.37*0.15*4)*0.2</f>
        <v>0.39740000000000003</v>
      </c>
      <c r="E101" s="22"/>
      <c r="F101" s="22">
        <v>4200</v>
      </c>
      <c r="G101" s="22">
        <f t="shared" si="3"/>
        <v>0</v>
      </c>
      <c r="H101" s="22">
        <f t="shared" si="4"/>
        <v>1669.0800000000002</v>
      </c>
      <c r="I101" s="22">
        <f t="shared" si="5"/>
        <v>1669.0800000000002</v>
      </c>
    </row>
    <row r="102" spans="1:9" s="19" customFormat="1" ht="28.8" x14ac:dyDescent="0.3">
      <c r="A102" s="20" t="s">
        <v>130</v>
      </c>
      <c r="B102" s="31" t="s">
        <v>131</v>
      </c>
      <c r="C102" s="32" t="s">
        <v>21</v>
      </c>
      <c r="D102" s="29">
        <f>1.34*2</f>
        <v>2.68</v>
      </c>
      <c r="E102" s="34">
        <v>2700</v>
      </c>
      <c r="F102" s="34"/>
      <c r="G102" s="34">
        <f t="shared" si="3"/>
        <v>7236</v>
      </c>
      <c r="H102" s="34">
        <f t="shared" si="4"/>
        <v>0</v>
      </c>
      <c r="I102" s="34">
        <f t="shared" si="5"/>
        <v>7236</v>
      </c>
    </row>
    <row r="103" spans="1:9" x14ac:dyDescent="0.3">
      <c r="A103" s="37" t="s">
        <v>132</v>
      </c>
      <c r="B103" s="90" t="s">
        <v>133</v>
      </c>
      <c r="C103" s="36" t="s">
        <v>21</v>
      </c>
      <c r="D103" s="60">
        <f>1.34*2*1.05</f>
        <v>2.8140000000000005</v>
      </c>
      <c r="E103" s="22"/>
      <c r="F103" s="22">
        <v>5450</v>
      </c>
      <c r="G103" s="22">
        <f t="shared" si="3"/>
        <v>0</v>
      </c>
      <c r="H103" s="22">
        <f t="shared" si="4"/>
        <v>15336.300000000003</v>
      </c>
      <c r="I103" s="22">
        <f t="shared" si="5"/>
        <v>15336.300000000003</v>
      </c>
    </row>
    <row r="104" spans="1:9" x14ac:dyDescent="0.3">
      <c r="A104" s="37" t="s">
        <v>134</v>
      </c>
      <c r="B104" s="35" t="s">
        <v>32</v>
      </c>
      <c r="C104" s="36" t="s">
        <v>34</v>
      </c>
      <c r="D104" s="60">
        <f>SUM(D105:D106)</f>
        <v>0.26166400000000001</v>
      </c>
      <c r="E104" s="22"/>
      <c r="F104" s="22"/>
      <c r="G104" s="22">
        <f t="shared" si="3"/>
        <v>0</v>
      </c>
      <c r="H104" s="22">
        <f t="shared" si="4"/>
        <v>0</v>
      </c>
      <c r="I104" s="22">
        <f t="shared" si="5"/>
        <v>0</v>
      </c>
    </row>
    <row r="105" spans="1:9" x14ac:dyDescent="0.3">
      <c r="A105" s="37"/>
      <c r="B105" s="90" t="s">
        <v>135</v>
      </c>
      <c r="C105" s="36" t="s">
        <v>34</v>
      </c>
      <c r="D105" s="21">
        <f>(64.5*2)/1000*1.04</f>
        <v>0.13416</v>
      </c>
      <c r="E105" s="61"/>
      <c r="F105" s="22">
        <v>34400</v>
      </c>
      <c r="G105" s="22">
        <f t="shared" si="3"/>
        <v>0</v>
      </c>
      <c r="H105" s="22">
        <f t="shared" si="4"/>
        <v>4615.1040000000003</v>
      </c>
      <c r="I105" s="22">
        <f t="shared" si="5"/>
        <v>4615.1040000000003</v>
      </c>
    </row>
    <row r="106" spans="1:9" x14ac:dyDescent="0.3">
      <c r="A106" s="37"/>
      <c r="B106" s="90" t="s">
        <v>136</v>
      </c>
      <c r="C106" s="36" t="s">
        <v>34</v>
      </c>
      <c r="D106" s="21">
        <f>(61.3*2)/1000*1.04</f>
        <v>0.12750400000000001</v>
      </c>
      <c r="E106" s="61"/>
      <c r="F106" s="22">
        <v>39400</v>
      </c>
      <c r="G106" s="22">
        <f t="shared" si="3"/>
        <v>0</v>
      </c>
      <c r="H106" s="22">
        <f t="shared" si="4"/>
        <v>5023.6576000000005</v>
      </c>
      <c r="I106" s="22">
        <f t="shared" si="5"/>
        <v>5023.6576000000005</v>
      </c>
    </row>
    <row r="107" spans="1:9" ht="15.65" x14ac:dyDescent="0.3">
      <c r="A107" s="51"/>
      <c r="B107" s="90" t="s">
        <v>44</v>
      </c>
      <c r="C107" s="36" t="s">
        <v>34</v>
      </c>
      <c r="D107" s="21">
        <f>0.02*(SUM(D105:D106))</f>
        <v>5.2332799999999999E-3</v>
      </c>
      <c r="E107" s="22"/>
      <c r="F107" s="22">
        <v>53104</v>
      </c>
      <c r="G107" s="22">
        <f t="shared" si="3"/>
        <v>0</v>
      </c>
      <c r="H107" s="22">
        <f t="shared" si="4"/>
        <v>277.90810111999997</v>
      </c>
      <c r="I107" s="22">
        <f t="shared" si="5"/>
        <v>277.90810111999997</v>
      </c>
    </row>
    <row r="108" spans="1:9" x14ac:dyDescent="0.3">
      <c r="A108" s="37" t="s">
        <v>137</v>
      </c>
      <c r="B108" s="90" t="s">
        <v>138</v>
      </c>
      <c r="C108" s="36" t="s">
        <v>139</v>
      </c>
      <c r="D108" s="21">
        <v>246</v>
      </c>
      <c r="E108" s="61"/>
      <c r="F108" s="62">
        <v>2333.33</v>
      </c>
      <c r="G108" s="22">
        <f t="shared" si="3"/>
        <v>0</v>
      </c>
      <c r="H108" s="22">
        <f t="shared" si="4"/>
        <v>573999.17999999993</v>
      </c>
      <c r="I108" s="22">
        <f t="shared" si="5"/>
        <v>573999.17999999993</v>
      </c>
    </row>
    <row r="109" spans="1:9" x14ac:dyDescent="0.3">
      <c r="A109" s="14">
        <v>4</v>
      </c>
      <c r="B109" s="15" t="s">
        <v>243</v>
      </c>
      <c r="C109" s="16"/>
      <c r="D109" s="63"/>
      <c r="E109" s="64"/>
      <c r="F109" s="30"/>
      <c r="G109" s="30"/>
      <c r="H109" s="30"/>
      <c r="I109" s="30"/>
    </row>
    <row r="110" spans="1:9" s="19" customFormat="1" ht="28.8" x14ac:dyDescent="0.3">
      <c r="A110" s="20" t="s">
        <v>141</v>
      </c>
      <c r="B110" s="31" t="s">
        <v>142</v>
      </c>
      <c r="C110" s="32" t="s">
        <v>21</v>
      </c>
      <c r="D110" s="29">
        <f>(13.87+3.54+0.55)*6+(16.64+4.24+0.66)*3+(20.8+5.3+0.83)*4+(20.8+6.13)*1</f>
        <v>307.03000000000003</v>
      </c>
      <c r="E110" s="65">
        <v>2900</v>
      </c>
      <c r="F110" s="34"/>
      <c r="G110" s="34">
        <f>D110*E110</f>
        <v>890387.00000000012</v>
      </c>
      <c r="H110" s="34">
        <f>D110*F110</f>
        <v>0</v>
      </c>
      <c r="I110" s="34">
        <f>G110+H110</f>
        <v>890387.00000000012</v>
      </c>
    </row>
    <row r="111" spans="1:9" x14ac:dyDescent="0.3">
      <c r="A111" s="37" t="s">
        <v>143</v>
      </c>
      <c r="B111" s="90" t="s">
        <v>144</v>
      </c>
      <c r="C111" s="36" t="s">
        <v>21</v>
      </c>
      <c r="D111" s="60">
        <f>(0.55*6+0.66*3+0.83*4)*1.05</f>
        <v>9.0299999999999994</v>
      </c>
      <c r="E111" s="61"/>
      <c r="F111" s="22">
        <v>5450</v>
      </c>
      <c r="G111" s="22">
        <f t="shared" ref="G111:G174" si="6">D111*E111</f>
        <v>0</v>
      </c>
      <c r="H111" s="22">
        <f t="shared" ref="H111:H174" si="7">D111*F111</f>
        <v>49213.5</v>
      </c>
      <c r="I111" s="22">
        <f t="shared" ref="I111:I174" si="8">G111+H111</f>
        <v>49213.5</v>
      </c>
    </row>
    <row r="112" spans="1:9" x14ac:dyDescent="0.3">
      <c r="A112" s="37" t="s">
        <v>145</v>
      </c>
      <c r="B112" s="90" t="s">
        <v>146</v>
      </c>
      <c r="C112" s="36" t="s">
        <v>21</v>
      </c>
      <c r="D112" s="60">
        <f>(3.54*6+4.24*3+5.3*4+6.13*1)*1.05</f>
        <v>64.354500000000002</v>
      </c>
      <c r="E112" s="61"/>
      <c r="F112" s="22">
        <v>5400</v>
      </c>
      <c r="G112" s="22">
        <f t="shared" si="6"/>
        <v>0</v>
      </c>
      <c r="H112" s="22">
        <f t="shared" si="7"/>
        <v>347514.3</v>
      </c>
      <c r="I112" s="22">
        <f t="shared" si="8"/>
        <v>347514.3</v>
      </c>
    </row>
    <row r="113" spans="1:9" x14ac:dyDescent="0.3">
      <c r="A113" s="37" t="s">
        <v>147</v>
      </c>
      <c r="B113" s="90" t="s">
        <v>148</v>
      </c>
      <c r="C113" s="36" t="s">
        <v>21</v>
      </c>
      <c r="D113" s="60">
        <f>(13.87*6+16.64*3+20.8*4+20.8*1)*1.05</f>
        <v>248.99699999999999</v>
      </c>
      <c r="E113" s="61"/>
      <c r="F113" s="22">
        <v>5300</v>
      </c>
      <c r="G113" s="22">
        <f t="shared" si="6"/>
        <v>0</v>
      </c>
      <c r="H113" s="22">
        <f t="shared" si="7"/>
        <v>1319684.0999999999</v>
      </c>
      <c r="I113" s="22">
        <f t="shared" si="8"/>
        <v>1319684.0999999999</v>
      </c>
    </row>
    <row r="114" spans="1:9" x14ac:dyDescent="0.3">
      <c r="A114" s="37" t="s">
        <v>149</v>
      </c>
      <c r="B114" s="90" t="s">
        <v>32</v>
      </c>
      <c r="C114" s="36" t="s">
        <v>34</v>
      </c>
      <c r="D114" s="60">
        <f>SUM(D115:D120)</f>
        <v>38.707447999999999</v>
      </c>
      <c r="E114" s="61"/>
      <c r="F114" s="22"/>
      <c r="G114" s="22">
        <f t="shared" si="6"/>
        <v>0</v>
      </c>
      <c r="H114" s="22">
        <f t="shared" si="7"/>
        <v>0</v>
      </c>
      <c r="I114" s="22">
        <f t="shared" si="8"/>
        <v>0</v>
      </c>
    </row>
    <row r="115" spans="1:9" x14ac:dyDescent="0.3">
      <c r="A115" s="20"/>
      <c r="B115" s="90" t="s">
        <v>150</v>
      </c>
      <c r="C115" s="36" t="s">
        <v>34</v>
      </c>
      <c r="D115" s="60">
        <f>(220*6+107.2*3+648.8*5)/1000*1.04</f>
        <v>5.0810240000000002</v>
      </c>
      <c r="E115" s="61"/>
      <c r="F115" s="22">
        <v>33200</v>
      </c>
      <c r="G115" s="22">
        <f t="shared" si="6"/>
        <v>0</v>
      </c>
      <c r="H115" s="22">
        <f t="shared" si="7"/>
        <v>168689.99679999999</v>
      </c>
      <c r="I115" s="22">
        <f t="shared" si="8"/>
        <v>168689.99679999999</v>
      </c>
    </row>
    <row r="116" spans="1:9" x14ac:dyDescent="0.3">
      <c r="A116" s="20"/>
      <c r="B116" s="90" t="s">
        <v>151</v>
      </c>
      <c r="C116" s="36" t="s">
        <v>34</v>
      </c>
      <c r="D116" s="60">
        <f>(791.6*6+720*3+732*5)/1000*1.04</f>
        <v>10.992384000000001</v>
      </c>
      <c r="E116" s="61"/>
      <c r="F116" s="22">
        <v>33500</v>
      </c>
      <c r="G116" s="22">
        <f t="shared" si="6"/>
        <v>0</v>
      </c>
      <c r="H116" s="22">
        <f t="shared" si="7"/>
        <v>368244.86400000006</v>
      </c>
      <c r="I116" s="22">
        <f t="shared" si="8"/>
        <v>368244.86400000006</v>
      </c>
    </row>
    <row r="117" spans="1:9" x14ac:dyDescent="0.3">
      <c r="A117" s="20"/>
      <c r="B117" s="90" t="s">
        <v>135</v>
      </c>
      <c r="C117" s="36" t="s">
        <v>34</v>
      </c>
      <c r="D117" s="60">
        <f>(610.4*2+610.7*4+844.4*3+976.8*5)/1000*1.04</f>
        <v>11.524032</v>
      </c>
      <c r="E117" s="61"/>
      <c r="F117" s="22">
        <v>34400</v>
      </c>
      <c r="G117" s="22">
        <f t="shared" si="6"/>
        <v>0</v>
      </c>
      <c r="H117" s="22">
        <f t="shared" si="7"/>
        <v>396426.70079999999</v>
      </c>
      <c r="I117" s="22">
        <f t="shared" si="8"/>
        <v>396426.70079999999</v>
      </c>
    </row>
    <row r="118" spans="1:9" x14ac:dyDescent="0.3">
      <c r="A118" s="20"/>
      <c r="B118" s="90" t="s">
        <v>136</v>
      </c>
      <c r="C118" s="36" t="s">
        <v>34</v>
      </c>
      <c r="D118" s="60">
        <f>(543*6+553*3+647.8*5)/1000*1.04</f>
        <v>8.4822400000000009</v>
      </c>
      <c r="E118" s="61"/>
      <c r="F118" s="22">
        <v>39400</v>
      </c>
      <c r="G118" s="22">
        <f t="shared" si="6"/>
        <v>0</v>
      </c>
      <c r="H118" s="22">
        <f t="shared" si="7"/>
        <v>334200.25600000005</v>
      </c>
      <c r="I118" s="22">
        <f t="shared" si="8"/>
        <v>334200.25600000005</v>
      </c>
    </row>
    <row r="119" spans="1:9" x14ac:dyDescent="0.3">
      <c r="A119" s="20"/>
      <c r="B119" s="90" t="s">
        <v>152</v>
      </c>
      <c r="C119" s="36" t="s">
        <v>34</v>
      </c>
      <c r="D119" s="60">
        <f>(5.6*2+4.7*4+122.3*3+155.2*5)/1000*1.04</f>
        <v>1.219816</v>
      </c>
      <c r="E119" s="61"/>
      <c r="F119" s="22">
        <v>40000</v>
      </c>
      <c r="G119" s="22">
        <f t="shared" si="6"/>
        <v>0</v>
      </c>
      <c r="H119" s="22">
        <f t="shared" si="7"/>
        <v>48792.639999999999</v>
      </c>
      <c r="I119" s="22">
        <f t="shared" si="8"/>
        <v>48792.639999999999</v>
      </c>
    </row>
    <row r="120" spans="1:9" x14ac:dyDescent="0.3">
      <c r="A120" s="20"/>
      <c r="B120" s="90" t="s">
        <v>153</v>
      </c>
      <c r="C120" s="36" t="s">
        <v>34</v>
      </c>
      <c r="D120" s="60">
        <f>(96.7*6+96.7*3+96.7*5)/1000*1.04</f>
        <v>1.4079520000000001</v>
      </c>
      <c r="E120" s="61"/>
      <c r="F120" s="22">
        <v>78272.479999999996</v>
      </c>
      <c r="G120" s="22">
        <f t="shared" si="6"/>
        <v>0</v>
      </c>
      <c r="H120" s="22">
        <f t="shared" si="7"/>
        <v>110203.89476096</v>
      </c>
      <c r="I120" s="22">
        <f t="shared" si="8"/>
        <v>110203.89476096</v>
      </c>
    </row>
    <row r="121" spans="1:9" ht="15.65" x14ac:dyDescent="0.3">
      <c r="A121" s="51"/>
      <c r="B121" s="90" t="s">
        <v>44</v>
      </c>
      <c r="C121" s="36" t="s">
        <v>34</v>
      </c>
      <c r="D121" s="21">
        <f>0.02*D114</f>
        <v>0.77414896</v>
      </c>
      <c r="E121" s="22"/>
      <c r="F121" s="22">
        <v>53104</v>
      </c>
      <c r="G121" s="22">
        <f t="shared" si="6"/>
        <v>0</v>
      </c>
      <c r="H121" s="22">
        <f t="shared" si="7"/>
        <v>41110.406371839999</v>
      </c>
      <c r="I121" s="22">
        <f t="shared" si="8"/>
        <v>41110.406371839999</v>
      </c>
    </row>
    <row r="122" spans="1:9" s="19" customFormat="1" ht="28.8" x14ac:dyDescent="0.3">
      <c r="A122" s="20" t="s">
        <v>154</v>
      </c>
      <c r="B122" s="54" t="s">
        <v>155</v>
      </c>
      <c r="C122" s="32" t="s">
        <v>21</v>
      </c>
      <c r="D122" s="29">
        <f>(17.8+4.54+0.71)*2+(12.2+3.59)*3+(14.64+4.31)*3+(14.64+3.73+0.58)*2+(18.3+5.39)*11+(21.96+6.47)*1+(21.96+5.6+0.87)*1+(19.98+6.47)*1+(19.98+5.6+0.87)*2+(31.31+9.33+1.45)*6+(34.1+10.89+1.69)*1+(19.54+30.2+1.69)*2</f>
        <v>987.10000000000014</v>
      </c>
      <c r="E122" s="65">
        <v>2900</v>
      </c>
      <c r="F122" s="34"/>
      <c r="G122" s="34">
        <f t="shared" si="6"/>
        <v>2862590.0000000005</v>
      </c>
      <c r="H122" s="34">
        <f t="shared" si="7"/>
        <v>0</v>
      </c>
      <c r="I122" s="34">
        <f t="shared" si="8"/>
        <v>2862590.0000000005</v>
      </c>
    </row>
    <row r="123" spans="1:9" x14ac:dyDescent="0.3">
      <c r="A123" s="37" t="s">
        <v>156</v>
      </c>
      <c r="B123" s="90" t="s">
        <v>144</v>
      </c>
      <c r="C123" s="36" t="s">
        <v>21</v>
      </c>
      <c r="D123" s="60">
        <f>(0.71*2+0.58*2+0.87*1+0.87*2+1.45*6+1.69*1)*1.05</f>
        <v>16.359000000000002</v>
      </c>
      <c r="E123" s="61"/>
      <c r="F123" s="22">
        <v>5450</v>
      </c>
      <c r="G123" s="22">
        <f t="shared" si="6"/>
        <v>0</v>
      </c>
      <c r="H123" s="22">
        <f t="shared" si="7"/>
        <v>89156.55</v>
      </c>
      <c r="I123" s="22">
        <f t="shared" si="8"/>
        <v>89156.55</v>
      </c>
    </row>
    <row r="124" spans="1:9" x14ac:dyDescent="0.3">
      <c r="A124" s="37" t="s">
        <v>157</v>
      </c>
      <c r="B124" s="90" t="s">
        <v>146</v>
      </c>
      <c r="C124" s="36" t="s">
        <v>21</v>
      </c>
      <c r="D124" s="60">
        <f>(4.54*2+3.59*3+4.31*3+3.73*2+5.39*11+6.47*1+5.6*1+6.47*1+5.6*2+9.33*6+10.89*1+30.2*2)*1.05</f>
        <v>269.36699999999996</v>
      </c>
      <c r="E124" s="61"/>
      <c r="F124" s="22">
        <v>5400</v>
      </c>
      <c r="G124" s="22">
        <f t="shared" si="6"/>
        <v>0</v>
      </c>
      <c r="H124" s="22">
        <f t="shared" si="7"/>
        <v>1454581.7999999998</v>
      </c>
      <c r="I124" s="22">
        <f t="shared" si="8"/>
        <v>1454581.7999999998</v>
      </c>
    </row>
    <row r="125" spans="1:9" x14ac:dyDescent="0.3">
      <c r="A125" s="37" t="s">
        <v>158</v>
      </c>
      <c r="B125" s="90" t="s">
        <v>148</v>
      </c>
      <c r="C125" s="36" t="s">
        <v>21</v>
      </c>
      <c r="D125" s="60">
        <f>(17.8*2+12.2*3+14.64*3+14.64*2+18.3*11+21.96*1+21.96*1+19.98*1+19.98*2+31.31*6+34.1*1+19.54*2)*1.05</f>
        <v>747.18000000000006</v>
      </c>
      <c r="E125" s="61"/>
      <c r="F125" s="22">
        <v>5300</v>
      </c>
      <c r="G125" s="22">
        <f t="shared" si="6"/>
        <v>0</v>
      </c>
      <c r="H125" s="22">
        <f t="shared" si="7"/>
        <v>3960054.0000000005</v>
      </c>
      <c r="I125" s="22">
        <f t="shared" si="8"/>
        <v>3960054.0000000005</v>
      </c>
    </row>
    <row r="126" spans="1:9" x14ac:dyDescent="0.3">
      <c r="A126" s="37" t="s">
        <v>159</v>
      </c>
      <c r="B126" s="35" t="s">
        <v>32</v>
      </c>
      <c r="C126" s="36" t="s">
        <v>34</v>
      </c>
      <c r="D126" s="60">
        <f>SUM(D127:D132)</f>
        <v>124.53875200000002</v>
      </c>
      <c r="E126" s="61"/>
      <c r="F126" s="22"/>
      <c r="G126" s="22">
        <f t="shared" si="6"/>
        <v>0</v>
      </c>
      <c r="H126" s="22">
        <f t="shared" si="7"/>
        <v>0</v>
      </c>
      <c r="I126" s="22">
        <f t="shared" si="8"/>
        <v>0</v>
      </c>
    </row>
    <row r="127" spans="1:9" x14ac:dyDescent="0.3">
      <c r="A127" s="20"/>
      <c r="B127" s="90" t="s">
        <v>150</v>
      </c>
      <c r="C127" s="36" t="s">
        <v>34</v>
      </c>
      <c r="D127" s="60">
        <f>(321.6*2+107.2*3+428.8*5+648.8*11+589.6*1+702.4*1+589.6*1+589.6*2+107.2*6+107.2*1+107.2*2)/1000*1.04</f>
        <v>14.842048</v>
      </c>
      <c r="E127" s="61"/>
      <c r="F127" s="22">
        <v>35100</v>
      </c>
      <c r="G127" s="22">
        <f t="shared" si="6"/>
        <v>0</v>
      </c>
      <c r="H127" s="22">
        <f t="shared" si="7"/>
        <v>520955.8848</v>
      </c>
      <c r="I127" s="22">
        <f t="shared" si="8"/>
        <v>520955.8848</v>
      </c>
    </row>
    <row r="128" spans="1:9" x14ac:dyDescent="0.3">
      <c r="A128" s="20"/>
      <c r="B128" s="90" t="s">
        <v>151</v>
      </c>
      <c r="C128" s="36" t="s">
        <v>34</v>
      </c>
      <c r="D128" s="60">
        <f>(1159.6*2+687.2*3+732*5+732*11+836.4*1+766.8*1+834.2*1+834.2*2+991.8*6+1057.4*1+1066.8*2)/1000*1.04</f>
        <v>30.514016000000005</v>
      </c>
      <c r="E128" s="61"/>
      <c r="F128" s="22">
        <v>33500</v>
      </c>
      <c r="G128" s="22">
        <f t="shared" si="6"/>
        <v>0</v>
      </c>
      <c r="H128" s="22">
        <f t="shared" si="7"/>
        <v>1022219.5360000002</v>
      </c>
      <c r="I128" s="22">
        <f t="shared" si="8"/>
        <v>1022219.5360000002</v>
      </c>
    </row>
    <row r="129" spans="1:9" x14ac:dyDescent="0.3">
      <c r="A129" s="20"/>
      <c r="B129" s="90" t="s">
        <v>135</v>
      </c>
      <c r="C129" s="36" t="s">
        <v>34</v>
      </c>
      <c r="D129" s="60">
        <f>(855.5*2+703.6*3+732.8*5+976.4*10+976.8*1+1099*2+967*1+967*2+1699.2*6+1853.2*1+2092*2)/1000*1.04</f>
        <v>41.140320000000003</v>
      </c>
      <c r="E129" s="61"/>
      <c r="F129" s="22">
        <v>34400</v>
      </c>
      <c r="G129" s="22">
        <f t="shared" si="6"/>
        <v>0</v>
      </c>
      <c r="H129" s="22">
        <f t="shared" si="7"/>
        <v>1415227.0080000001</v>
      </c>
      <c r="I129" s="22">
        <f t="shared" si="8"/>
        <v>1415227.0080000001</v>
      </c>
    </row>
    <row r="130" spans="1:9" x14ac:dyDescent="0.3">
      <c r="A130" s="20"/>
      <c r="B130" s="90" t="s">
        <v>136</v>
      </c>
      <c r="C130" s="36" t="s">
        <v>34</v>
      </c>
      <c r="D130" s="60">
        <f>(843.7*2+540.7*3+571.2*5+669.1*11+767*1+765.2*1+726*1+726*2+1087.2*6+1182*1+1305.6*2)/1000*1.04</f>
        <v>28.654288000000005</v>
      </c>
      <c r="E130" s="61"/>
      <c r="F130" s="22">
        <v>39400</v>
      </c>
      <c r="G130" s="22">
        <f t="shared" si="6"/>
        <v>0</v>
      </c>
      <c r="H130" s="22">
        <f t="shared" si="7"/>
        <v>1128978.9472000003</v>
      </c>
      <c r="I130" s="22">
        <f t="shared" si="8"/>
        <v>1128978.9472000003</v>
      </c>
    </row>
    <row r="131" spans="1:9" x14ac:dyDescent="0.3">
      <c r="A131" s="20"/>
      <c r="B131" s="90" t="s">
        <v>152</v>
      </c>
      <c r="C131" s="36" t="s">
        <v>34</v>
      </c>
      <c r="D131" s="60">
        <f>(4.2*2+0.3*3+117.5*5+155.8*10+155.9*1+176.1*1+174.9*1+162.8*1+162.8*2+246.2*6+272.5*1+296.1*2)/1000*1.04</f>
        <v>5.7116800000000003</v>
      </c>
      <c r="E131" s="61"/>
      <c r="F131" s="22">
        <v>40000</v>
      </c>
      <c r="G131" s="22">
        <f t="shared" si="6"/>
        <v>0</v>
      </c>
      <c r="H131" s="22">
        <f t="shared" si="7"/>
        <v>228467.20000000001</v>
      </c>
      <c r="I131" s="22">
        <f t="shared" si="8"/>
        <v>228467.20000000001</v>
      </c>
    </row>
    <row r="132" spans="1:9" x14ac:dyDescent="0.3">
      <c r="A132" s="20"/>
      <c r="B132" s="90" t="s">
        <v>160</v>
      </c>
      <c r="C132" s="36" t="s">
        <v>34</v>
      </c>
      <c r="D132" s="60">
        <f>(146.4*2+99.8*3+96.7*2+99.8*3+99.8*11+99.8*1+96.7*1+99.8*1+96.7*2+96.7*6+96.7*1+92.8*2)/1000*1.04</f>
        <v>3.6764000000000006</v>
      </c>
      <c r="E132" s="61"/>
      <c r="F132" s="22">
        <v>78272.479999999996</v>
      </c>
      <c r="G132" s="22">
        <f t="shared" si="6"/>
        <v>0</v>
      </c>
      <c r="H132" s="22">
        <f t="shared" si="7"/>
        <v>287760.94547200005</v>
      </c>
      <c r="I132" s="22">
        <f t="shared" si="8"/>
        <v>287760.94547200005</v>
      </c>
    </row>
    <row r="133" spans="1:9" ht="15.65" x14ac:dyDescent="0.3">
      <c r="A133" s="51"/>
      <c r="B133" s="90" t="s">
        <v>44</v>
      </c>
      <c r="C133" s="36" t="s">
        <v>34</v>
      </c>
      <c r="D133" s="21">
        <f>0.02*D126</f>
        <v>2.4907750400000004</v>
      </c>
      <c r="E133" s="22"/>
      <c r="F133" s="22">
        <v>53104</v>
      </c>
      <c r="G133" s="22">
        <f t="shared" si="6"/>
        <v>0</v>
      </c>
      <c r="H133" s="22">
        <f t="shared" si="7"/>
        <v>132270.11772416002</v>
      </c>
      <c r="I133" s="22">
        <f t="shared" si="8"/>
        <v>132270.11772416002</v>
      </c>
    </row>
    <row r="134" spans="1:9" ht="15.65" x14ac:dyDescent="0.3">
      <c r="A134" s="51"/>
      <c r="B134" s="98" t="s">
        <v>161</v>
      </c>
      <c r="C134" s="66" t="s">
        <v>34</v>
      </c>
      <c r="D134" s="66">
        <f>0.046/2</f>
        <v>2.3E-2</v>
      </c>
      <c r="E134" s="22"/>
      <c r="F134" s="62">
        <v>35800</v>
      </c>
      <c r="G134" s="22">
        <f t="shared" si="6"/>
        <v>0</v>
      </c>
      <c r="H134" s="22">
        <f t="shared" si="7"/>
        <v>823.4</v>
      </c>
      <c r="I134" s="22">
        <f t="shared" si="8"/>
        <v>823.4</v>
      </c>
    </row>
    <row r="135" spans="1:9" s="19" customFormat="1" ht="28.8" x14ac:dyDescent="0.3">
      <c r="A135" s="20" t="s">
        <v>162</v>
      </c>
      <c r="B135" s="31" t="s">
        <v>163</v>
      </c>
      <c r="C135" s="32" t="s">
        <v>21</v>
      </c>
      <c r="D135" s="33">
        <f>134.6+134.1+133.4*4+133.3*5+133*6+132.9*6+129.8+123.6</f>
        <v>3317.6000000000004</v>
      </c>
      <c r="E135" s="34">
        <v>2800</v>
      </c>
      <c r="F135" s="34"/>
      <c r="G135" s="34">
        <f t="shared" si="6"/>
        <v>9289280.0000000019</v>
      </c>
      <c r="H135" s="34">
        <f t="shared" si="7"/>
        <v>0</v>
      </c>
      <c r="I135" s="34">
        <f t="shared" si="8"/>
        <v>9289280.0000000019</v>
      </c>
    </row>
    <row r="136" spans="1:9" x14ac:dyDescent="0.3">
      <c r="A136" s="37" t="s">
        <v>164</v>
      </c>
      <c r="B136" s="90" t="s">
        <v>148</v>
      </c>
      <c r="C136" s="36" t="s">
        <v>21</v>
      </c>
      <c r="D136" s="21">
        <f>D135*1.05</f>
        <v>3483.4800000000005</v>
      </c>
      <c r="E136" s="22"/>
      <c r="F136" s="22">
        <v>5200</v>
      </c>
      <c r="G136" s="22">
        <f t="shared" si="6"/>
        <v>0</v>
      </c>
      <c r="H136" s="22">
        <f t="shared" si="7"/>
        <v>18114096.000000004</v>
      </c>
      <c r="I136" s="22">
        <f t="shared" si="8"/>
        <v>18114096.000000004</v>
      </c>
    </row>
    <row r="137" spans="1:9" x14ac:dyDescent="0.3">
      <c r="A137" s="37" t="s">
        <v>165</v>
      </c>
      <c r="B137" s="58" t="s">
        <v>109</v>
      </c>
      <c r="C137" s="57"/>
      <c r="D137" s="50"/>
      <c r="E137" s="22"/>
      <c r="F137" s="22"/>
      <c r="G137" s="22">
        <f t="shared" si="6"/>
        <v>0</v>
      </c>
      <c r="H137" s="22">
        <f t="shared" si="7"/>
        <v>0</v>
      </c>
      <c r="I137" s="22">
        <f t="shared" si="8"/>
        <v>0</v>
      </c>
    </row>
    <row r="138" spans="1:9" x14ac:dyDescent="0.3">
      <c r="A138" s="37"/>
      <c r="B138" s="94" t="s">
        <v>86</v>
      </c>
      <c r="C138" s="42" t="s">
        <v>34</v>
      </c>
      <c r="D138" s="48">
        <f>(4960.7+5014.6+5147.9*4+5116.2*5+5116.8*6+5114.8*6+4955.9+4661.9)/1000*1.04</f>
        <v>132.241512</v>
      </c>
      <c r="E138" s="22"/>
      <c r="F138" s="22">
        <v>35100</v>
      </c>
      <c r="G138" s="22">
        <f t="shared" si="6"/>
        <v>0</v>
      </c>
      <c r="H138" s="22">
        <f t="shared" si="7"/>
        <v>4641677.0712000001</v>
      </c>
      <c r="I138" s="22">
        <f t="shared" si="8"/>
        <v>4641677.0712000001</v>
      </c>
    </row>
    <row r="139" spans="1:9" x14ac:dyDescent="0.3">
      <c r="A139" s="37"/>
      <c r="B139" s="94" t="s">
        <v>110</v>
      </c>
      <c r="C139" s="42" t="s">
        <v>34</v>
      </c>
      <c r="D139" s="48">
        <f>(28.2+28.2+28.2*4+89.8*5+39.4*6+28.2*6+32.4+25.4)/1000*1.04</f>
        <v>1.1248640000000001</v>
      </c>
      <c r="E139" s="22"/>
      <c r="F139" s="22">
        <v>34400</v>
      </c>
      <c r="G139" s="22">
        <f t="shared" si="6"/>
        <v>0</v>
      </c>
      <c r="H139" s="22">
        <f t="shared" si="7"/>
        <v>38695.321600000003</v>
      </c>
      <c r="I139" s="22">
        <f t="shared" si="8"/>
        <v>38695.321600000003</v>
      </c>
    </row>
    <row r="140" spans="1:9" x14ac:dyDescent="0.3">
      <c r="A140" s="37"/>
      <c r="B140" s="94" t="s">
        <v>111</v>
      </c>
      <c r="C140" s="42" t="s">
        <v>34</v>
      </c>
      <c r="D140" s="48">
        <f>(134.2+155.8+155.8*4+155.8*5+287.8*6+324.2*6+346.3+276.6)/1000*1.04</f>
        <v>6.2265840000000008</v>
      </c>
      <c r="E140" s="22"/>
      <c r="F140" s="22">
        <v>33500</v>
      </c>
      <c r="G140" s="22">
        <f t="shared" si="6"/>
        <v>0</v>
      </c>
      <c r="H140" s="22">
        <f t="shared" si="7"/>
        <v>208590.56400000001</v>
      </c>
      <c r="I140" s="22">
        <f t="shared" si="8"/>
        <v>208590.56400000001</v>
      </c>
    </row>
    <row r="141" spans="1:9" x14ac:dyDescent="0.3">
      <c r="A141" s="37"/>
      <c r="B141" s="94" t="s">
        <v>115</v>
      </c>
      <c r="C141" s="42" t="s">
        <v>34</v>
      </c>
      <c r="D141" s="48">
        <f>(35.2)/1000*1.04</f>
        <v>3.6608000000000002E-2</v>
      </c>
      <c r="E141" s="22"/>
      <c r="F141" s="22">
        <v>35100</v>
      </c>
      <c r="G141" s="22">
        <f t="shared" si="6"/>
        <v>0</v>
      </c>
      <c r="H141" s="22">
        <f t="shared" si="7"/>
        <v>1284.9408000000001</v>
      </c>
      <c r="I141" s="22">
        <f t="shared" si="8"/>
        <v>1284.9408000000001</v>
      </c>
    </row>
    <row r="142" spans="1:9" x14ac:dyDescent="0.3">
      <c r="A142" s="37"/>
      <c r="B142" s="94" t="s">
        <v>112</v>
      </c>
      <c r="C142" s="42" t="s">
        <v>34</v>
      </c>
      <c r="D142" s="48">
        <f>(534.2+533.6+533.6*4+533*5+531.9*6+468.7*6+476.6+470.4)/1000*1.04</f>
        <v>13.330512000000001</v>
      </c>
      <c r="E142" s="22"/>
      <c r="F142" s="22">
        <v>40000</v>
      </c>
      <c r="G142" s="22">
        <f t="shared" si="6"/>
        <v>0</v>
      </c>
      <c r="H142" s="22">
        <f t="shared" si="7"/>
        <v>533220.48</v>
      </c>
      <c r="I142" s="22">
        <f t="shared" si="8"/>
        <v>533220.48</v>
      </c>
    </row>
    <row r="143" spans="1:9" x14ac:dyDescent="0.3">
      <c r="A143" s="37"/>
      <c r="B143" s="94" t="s">
        <v>166</v>
      </c>
      <c r="C143" s="42" t="s">
        <v>34</v>
      </c>
      <c r="D143" s="48">
        <f>(15.6*4+15.6*5+15.6*6+15.6*6+15.6)/1000*1.04</f>
        <v>0.35692800000000008</v>
      </c>
      <c r="E143" s="22"/>
      <c r="F143" s="22">
        <v>35800</v>
      </c>
      <c r="G143" s="22">
        <f t="shared" si="6"/>
        <v>0</v>
      </c>
      <c r="H143" s="22">
        <f t="shared" si="7"/>
        <v>12778.022400000003</v>
      </c>
      <c r="I143" s="22">
        <f t="shared" si="8"/>
        <v>12778.022400000003</v>
      </c>
    </row>
    <row r="144" spans="1:9" ht="15.65" x14ac:dyDescent="0.3">
      <c r="A144" s="51"/>
      <c r="B144" s="90" t="s">
        <v>44</v>
      </c>
      <c r="C144" s="36" t="s">
        <v>34</v>
      </c>
      <c r="D144" s="21">
        <f>0.02*(SUM(D138:D143))</f>
        <v>3.0663401600000002</v>
      </c>
      <c r="E144" s="22"/>
      <c r="F144" s="22">
        <v>53104</v>
      </c>
      <c r="G144" s="22">
        <f t="shared" si="6"/>
        <v>0</v>
      </c>
      <c r="H144" s="22">
        <f t="shared" si="7"/>
        <v>162834.92785664002</v>
      </c>
      <c r="I144" s="22">
        <f t="shared" si="8"/>
        <v>162834.92785664002</v>
      </c>
    </row>
    <row r="145" spans="1:9" x14ac:dyDescent="0.3">
      <c r="A145" s="37" t="s">
        <v>167</v>
      </c>
      <c r="B145" s="58" t="s">
        <v>114</v>
      </c>
      <c r="C145" s="57"/>
      <c r="D145" s="50"/>
      <c r="E145" s="22"/>
      <c r="F145" s="22"/>
      <c r="G145" s="22">
        <f t="shared" si="6"/>
        <v>0</v>
      </c>
      <c r="H145" s="22">
        <f t="shared" si="7"/>
        <v>0</v>
      </c>
      <c r="I145" s="22">
        <f t="shared" si="8"/>
        <v>0</v>
      </c>
    </row>
    <row r="146" spans="1:9" x14ac:dyDescent="0.3">
      <c r="A146" s="37"/>
      <c r="B146" s="94" t="s">
        <v>86</v>
      </c>
      <c r="C146" s="42" t="s">
        <v>34</v>
      </c>
      <c r="D146" s="48">
        <f>(7055.4+7078.9+7149.6*4+7118*5+7240.5*6+7162.4*6+6985.7+6478.9)/1000*1.04</f>
        <v>185.33288799999997</v>
      </c>
      <c r="E146" s="22"/>
      <c r="F146" s="22">
        <v>35100</v>
      </c>
      <c r="G146" s="22">
        <f t="shared" si="6"/>
        <v>0</v>
      </c>
      <c r="H146" s="22">
        <f t="shared" si="7"/>
        <v>6505184.3687999994</v>
      </c>
      <c r="I146" s="22">
        <f t="shared" si="8"/>
        <v>6505184.3687999994</v>
      </c>
    </row>
    <row r="147" spans="1:9" x14ac:dyDescent="0.3">
      <c r="A147" s="20"/>
      <c r="B147" s="94" t="s">
        <v>115</v>
      </c>
      <c r="C147" s="42" t="s">
        <v>34</v>
      </c>
      <c r="D147" s="48">
        <f>(512.6+512.6+512.6*4+512.6*5+512.6*6+512.6*6+512.6+74.4)/1000*1.04</f>
        <v>12.871872000000002</v>
      </c>
      <c r="E147" s="22"/>
      <c r="F147" s="22">
        <v>35100</v>
      </c>
      <c r="G147" s="22">
        <f t="shared" si="6"/>
        <v>0</v>
      </c>
      <c r="H147" s="22">
        <f t="shared" si="7"/>
        <v>451802.70720000006</v>
      </c>
      <c r="I147" s="22">
        <f t="shared" si="8"/>
        <v>451802.70720000006</v>
      </c>
    </row>
    <row r="148" spans="1:9" x14ac:dyDescent="0.3">
      <c r="A148" s="20"/>
      <c r="B148" s="94" t="s">
        <v>111</v>
      </c>
      <c r="C148" s="42" t="s">
        <v>34</v>
      </c>
      <c r="D148" s="48">
        <f>(25.4+50.1+50.1*4+50.1*5+182.1*6+206.5*6+228.6+257)/1000*1.04</f>
        <v>3.477344</v>
      </c>
      <c r="E148" s="22"/>
      <c r="F148" s="22">
        <v>33500</v>
      </c>
      <c r="G148" s="22">
        <f t="shared" si="6"/>
        <v>0</v>
      </c>
      <c r="H148" s="22">
        <f t="shared" si="7"/>
        <v>116491.024</v>
      </c>
      <c r="I148" s="22">
        <f t="shared" si="8"/>
        <v>116491.024</v>
      </c>
    </row>
    <row r="149" spans="1:9" x14ac:dyDescent="0.3">
      <c r="A149" s="37"/>
      <c r="B149" s="94" t="s">
        <v>110</v>
      </c>
      <c r="C149" s="42" t="s">
        <v>34</v>
      </c>
      <c r="D149" s="48">
        <f>(28.2+28.2+28.2*4+89.8*5+39.4*6+28.2*6+32.4+15.2)/1000*1.04</f>
        <v>1.1142560000000001</v>
      </c>
      <c r="E149" s="22"/>
      <c r="F149" s="22">
        <v>34400</v>
      </c>
      <c r="G149" s="22">
        <f t="shared" si="6"/>
        <v>0</v>
      </c>
      <c r="H149" s="22">
        <f t="shared" si="7"/>
        <v>38330.406400000007</v>
      </c>
      <c r="I149" s="22">
        <f t="shared" si="8"/>
        <v>38330.406400000007</v>
      </c>
    </row>
    <row r="150" spans="1:9" x14ac:dyDescent="0.3">
      <c r="A150" s="37"/>
      <c r="B150" s="94" t="s">
        <v>112</v>
      </c>
      <c r="C150" s="42" t="s">
        <v>34</v>
      </c>
      <c r="D150" s="48">
        <f>(65.4+68.5*4+68.5*5+68.5*6+68.5*6+68.5+7.8)/1000*1.04</f>
        <v>1.6434080000000002</v>
      </c>
      <c r="E150" s="22"/>
      <c r="F150" s="22">
        <v>40000</v>
      </c>
      <c r="G150" s="22">
        <f t="shared" si="6"/>
        <v>0</v>
      </c>
      <c r="H150" s="22">
        <f t="shared" si="7"/>
        <v>65736.320000000007</v>
      </c>
      <c r="I150" s="22">
        <f t="shared" si="8"/>
        <v>65736.320000000007</v>
      </c>
    </row>
    <row r="151" spans="1:9" ht="15.65" x14ac:dyDescent="0.3">
      <c r="A151" s="51"/>
      <c r="B151" s="90" t="s">
        <v>44</v>
      </c>
      <c r="C151" s="36" t="s">
        <v>34</v>
      </c>
      <c r="D151" s="21">
        <f>0.02*(SUM(D146:D150))</f>
        <v>4.0887953599999989</v>
      </c>
      <c r="E151" s="22"/>
      <c r="F151" s="22">
        <v>53104</v>
      </c>
      <c r="G151" s="22">
        <f t="shared" si="6"/>
        <v>0</v>
      </c>
      <c r="H151" s="22">
        <f t="shared" si="7"/>
        <v>217131.38879743995</v>
      </c>
      <c r="I151" s="22">
        <f t="shared" si="8"/>
        <v>217131.38879743995</v>
      </c>
    </row>
    <row r="152" spans="1:9" x14ac:dyDescent="0.3">
      <c r="A152" s="37" t="s">
        <v>168</v>
      </c>
      <c r="B152" s="58" t="s">
        <v>117</v>
      </c>
      <c r="C152" s="57" t="s">
        <v>11</v>
      </c>
      <c r="D152" s="50">
        <f>72+72+72*4+72*5+72*6+72*6+8</f>
        <v>1664</v>
      </c>
      <c r="E152" s="22"/>
      <c r="F152" s="22"/>
      <c r="G152" s="22">
        <f t="shared" si="6"/>
        <v>0</v>
      </c>
      <c r="H152" s="22">
        <f t="shared" si="7"/>
        <v>0</v>
      </c>
      <c r="I152" s="22">
        <f t="shared" si="8"/>
        <v>0</v>
      </c>
    </row>
    <row r="153" spans="1:9" x14ac:dyDescent="0.3">
      <c r="A153" s="37"/>
      <c r="B153" s="94" t="s">
        <v>136</v>
      </c>
      <c r="C153" s="42" t="s">
        <v>34</v>
      </c>
      <c r="D153" s="48">
        <f>(4*0.06*72*23+4*0.06*8)/1000</f>
        <v>0.39936000000000005</v>
      </c>
      <c r="E153" s="22"/>
      <c r="F153" s="22">
        <v>39400</v>
      </c>
      <c r="G153" s="22">
        <f t="shared" si="6"/>
        <v>0</v>
      </c>
      <c r="H153" s="22">
        <f t="shared" si="7"/>
        <v>15734.784000000001</v>
      </c>
      <c r="I153" s="22">
        <f t="shared" si="8"/>
        <v>15734.784000000001</v>
      </c>
    </row>
    <row r="154" spans="1:9" x14ac:dyDescent="0.3">
      <c r="A154" s="37"/>
      <c r="B154" s="94" t="s">
        <v>118</v>
      </c>
      <c r="C154" s="42" t="s">
        <v>34</v>
      </c>
      <c r="D154" s="48">
        <f>(1*0.08*72*23+1*0.08*8)/1000</f>
        <v>0.13311999999999999</v>
      </c>
      <c r="E154" s="22"/>
      <c r="F154" s="22">
        <v>46300</v>
      </c>
      <c r="G154" s="22">
        <f t="shared" si="6"/>
        <v>0</v>
      </c>
      <c r="H154" s="22">
        <f t="shared" si="7"/>
        <v>6163.4559999999992</v>
      </c>
      <c r="I154" s="22">
        <f t="shared" si="8"/>
        <v>6163.4559999999992</v>
      </c>
    </row>
    <row r="155" spans="1:9" x14ac:dyDescent="0.3">
      <c r="A155" s="37" t="s">
        <v>169</v>
      </c>
      <c r="B155" s="58" t="s">
        <v>170</v>
      </c>
      <c r="C155" s="57" t="s">
        <v>11</v>
      </c>
      <c r="D155" s="50">
        <v>56</v>
      </c>
      <c r="E155" s="22"/>
      <c r="F155" s="22"/>
      <c r="G155" s="22">
        <f t="shared" si="6"/>
        <v>0</v>
      </c>
      <c r="H155" s="22">
        <f t="shared" si="7"/>
        <v>0</v>
      </c>
      <c r="I155" s="22">
        <f t="shared" si="8"/>
        <v>0</v>
      </c>
    </row>
    <row r="156" spans="1:9" x14ac:dyDescent="0.3">
      <c r="A156" s="37"/>
      <c r="B156" s="94" t="s">
        <v>136</v>
      </c>
      <c r="C156" s="42" t="s">
        <v>34</v>
      </c>
      <c r="D156" s="48">
        <f>(2*0.119*56)/1000</f>
        <v>1.3328E-2</v>
      </c>
      <c r="E156" s="22"/>
      <c r="F156" s="22">
        <v>39400</v>
      </c>
      <c r="G156" s="22">
        <f t="shared" si="6"/>
        <v>0</v>
      </c>
      <c r="H156" s="22">
        <f t="shared" si="7"/>
        <v>525.1232</v>
      </c>
      <c r="I156" s="22">
        <f t="shared" si="8"/>
        <v>525.1232</v>
      </c>
    </row>
    <row r="157" spans="1:9" x14ac:dyDescent="0.3">
      <c r="A157" s="37"/>
      <c r="B157" s="94" t="s">
        <v>171</v>
      </c>
      <c r="C157" s="42" t="s">
        <v>34</v>
      </c>
      <c r="D157" s="48">
        <f>(1*0.157*56)/1000</f>
        <v>8.7919999999999995E-3</v>
      </c>
      <c r="E157" s="22"/>
      <c r="F157" s="22">
        <v>46300</v>
      </c>
      <c r="G157" s="22">
        <f t="shared" si="6"/>
        <v>0</v>
      </c>
      <c r="H157" s="22">
        <f t="shared" si="7"/>
        <v>407.06959999999998</v>
      </c>
      <c r="I157" s="22">
        <f t="shared" si="8"/>
        <v>407.06959999999998</v>
      </c>
    </row>
    <row r="158" spans="1:9" x14ac:dyDescent="0.3">
      <c r="A158" s="37" t="s">
        <v>172</v>
      </c>
      <c r="B158" s="58" t="s">
        <v>173</v>
      </c>
      <c r="C158" s="57" t="s">
        <v>11</v>
      </c>
      <c r="D158" s="50">
        <f>64</f>
        <v>64</v>
      </c>
      <c r="E158" s="22"/>
      <c r="F158" s="22"/>
      <c r="G158" s="22">
        <f t="shared" si="6"/>
        <v>0</v>
      </c>
      <c r="H158" s="22">
        <f t="shared" si="7"/>
        <v>0</v>
      </c>
      <c r="I158" s="22">
        <f t="shared" si="8"/>
        <v>0</v>
      </c>
    </row>
    <row r="159" spans="1:9" x14ac:dyDescent="0.3">
      <c r="A159" s="37"/>
      <c r="B159" s="94" t="s">
        <v>174</v>
      </c>
      <c r="C159" s="42" t="s">
        <v>34</v>
      </c>
      <c r="D159" s="48">
        <f>(8*0.133*64)/1000</f>
        <v>6.8096000000000004E-2</v>
      </c>
      <c r="E159" s="22"/>
      <c r="F159" s="22">
        <v>34400</v>
      </c>
      <c r="G159" s="22">
        <f t="shared" si="6"/>
        <v>0</v>
      </c>
      <c r="H159" s="22">
        <f t="shared" si="7"/>
        <v>2342.5024000000003</v>
      </c>
      <c r="I159" s="22">
        <f t="shared" si="8"/>
        <v>2342.5024000000003</v>
      </c>
    </row>
    <row r="160" spans="1:9" x14ac:dyDescent="0.3">
      <c r="A160" s="37"/>
      <c r="B160" s="94" t="s">
        <v>175</v>
      </c>
      <c r="C160" s="42" t="s">
        <v>34</v>
      </c>
      <c r="D160" s="48">
        <f>(1*0.471*64)/1000</f>
        <v>3.0143999999999997E-2</v>
      </c>
      <c r="E160" s="22"/>
      <c r="F160" s="22">
        <v>43000</v>
      </c>
      <c r="G160" s="22">
        <f t="shared" si="6"/>
        <v>0</v>
      </c>
      <c r="H160" s="22">
        <f t="shared" si="7"/>
        <v>1296.1919999999998</v>
      </c>
      <c r="I160" s="22">
        <f t="shared" si="8"/>
        <v>1296.1919999999998</v>
      </c>
    </row>
    <row r="161" spans="1:9" x14ac:dyDescent="0.3">
      <c r="A161" s="37" t="s">
        <v>176</v>
      </c>
      <c r="B161" s="58" t="s">
        <v>120</v>
      </c>
      <c r="C161" s="42"/>
      <c r="D161" s="48"/>
      <c r="E161" s="22"/>
      <c r="F161" s="22"/>
      <c r="G161" s="22">
        <f t="shared" si="6"/>
        <v>0</v>
      </c>
      <c r="H161" s="22">
        <f t="shared" si="7"/>
        <v>0</v>
      </c>
      <c r="I161" s="22">
        <f t="shared" si="8"/>
        <v>0</v>
      </c>
    </row>
    <row r="162" spans="1:9" x14ac:dyDescent="0.3">
      <c r="A162" s="37"/>
      <c r="B162" s="94" t="s">
        <v>121</v>
      </c>
      <c r="C162" s="42" t="s">
        <v>34</v>
      </c>
      <c r="D162" s="52">
        <f>(15*3.61*24)/1000</f>
        <v>1.2995999999999999</v>
      </c>
      <c r="E162" s="22"/>
      <c r="F162" s="22">
        <v>49067.5</v>
      </c>
      <c r="G162" s="22">
        <f t="shared" si="6"/>
        <v>0</v>
      </c>
      <c r="H162" s="22">
        <f t="shared" si="7"/>
        <v>63768.122999999992</v>
      </c>
      <c r="I162" s="22">
        <f t="shared" si="8"/>
        <v>63768.122999999992</v>
      </c>
    </row>
    <row r="163" spans="1:9" x14ac:dyDescent="0.3">
      <c r="A163" s="37"/>
      <c r="B163" s="94" t="s">
        <v>122</v>
      </c>
      <c r="C163" s="42" t="s">
        <v>34</v>
      </c>
      <c r="D163" s="52">
        <f>(7*1.87*24)/1000</f>
        <v>0.31415999999999999</v>
      </c>
      <c r="E163" s="22"/>
      <c r="F163" s="22">
        <v>49067.5</v>
      </c>
      <c r="G163" s="22">
        <f t="shared" si="6"/>
        <v>0</v>
      </c>
      <c r="H163" s="22">
        <f t="shared" si="7"/>
        <v>15415.0458</v>
      </c>
      <c r="I163" s="22">
        <f t="shared" si="8"/>
        <v>15415.0458</v>
      </c>
    </row>
    <row r="164" spans="1:9" x14ac:dyDescent="0.3">
      <c r="A164" s="37" t="s">
        <v>177</v>
      </c>
      <c r="B164" s="67" t="s">
        <v>178</v>
      </c>
      <c r="C164" s="46"/>
      <c r="D164" s="21"/>
      <c r="E164" s="22"/>
      <c r="F164" s="22"/>
      <c r="G164" s="22">
        <f t="shared" si="6"/>
        <v>0</v>
      </c>
      <c r="H164" s="22">
        <f t="shared" si="7"/>
        <v>0</v>
      </c>
      <c r="I164" s="22">
        <f t="shared" si="8"/>
        <v>0</v>
      </c>
    </row>
    <row r="165" spans="1:9" x14ac:dyDescent="0.3">
      <c r="A165" s="37"/>
      <c r="B165" s="94" t="s">
        <v>112</v>
      </c>
      <c r="C165" s="42" t="s">
        <v>34</v>
      </c>
      <c r="D165" s="48">
        <f>(569.5*6+569.5*5+569.5*6+569.5*6+569.5+353)/1000*1.04</f>
        <v>14.581840000000001</v>
      </c>
      <c r="E165" s="22"/>
      <c r="F165" s="22">
        <v>40000</v>
      </c>
      <c r="G165" s="22">
        <f t="shared" si="6"/>
        <v>0</v>
      </c>
      <c r="H165" s="22">
        <f t="shared" si="7"/>
        <v>583273.60000000009</v>
      </c>
      <c r="I165" s="22">
        <f t="shared" si="8"/>
        <v>583273.60000000009</v>
      </c>
    </row>
    <row r="166" spans="1:9" x14ac:dyDescent="0.3">
      <c r="A166" s="37" t="s">
        <v>179</v>
      </c>
      <c r="B166" s="67" t="s">
        <v>128</v>
      </c>
      <c r="C166" s="36"/>
      <c r="D166" s="60"/>
      <c r="E166" s="22"/>
      <c r="F166" s="22"/>
      <c r="G166" s="22">
        <f t="shared" si="6"/>
        <v>0</v>
      </c>
      <c r="H166" s="22">
        <f t="shared" si="7"/>
        <v>0</v>
      </c>
      <c r="I166" s="22">
        <f t="shared" si="8"/>
        <v>0</v>
      </c>
    </row>
    <row r="167" spans="1:9" x14ac:dyDescent="0.3">
      <c r="A167" s="37"/>
      <c r="B167" s="90" t="s">
        <v>129</v>
      </c>
      <c r="C167" s="36" t="s">
        <v>21</v>
      </c>
      <c r="D167" s="60">
        <f>(0.6*0.15*29+0.5*0.15*3+0.4*0.15*5+0.55*0.15*12+0.5*0.15*4*23+0.4*0.15*6*23+0.6*0.15*27*23+0.55*0.15*13*23+0.55*0.15*2+0.6*0.15*7)*0.2</f>
        <v>20.131500000000003</v>
      </c>
      <c r="E167" s="22"/>
      <c r="F167" s="22">
        <v>4200</v>
      </c>
      <c r="G167" s="22">
        <f t="shared" si="6"/>
        <v>0</v>
      </c>
      <c r="H167" s="22">
        <f t="shared" si="7"/>
        <v>84552.300000000017</v>
      </c>
      <c r="I167" s="22">
        <f t="shared" si="8"/>
        <v>84552.300000000017</v>
      </c>
    </row>
    <row r="168" spans="1:9" x14ac:dyDescent="0.3">
      <c r="A168" s="37" t="s">
        <v>180</v>
      </c>
      <c r="B168" s="58" t="s">
        <v>181</v>
      </c>
      <c r="C168" s="57" t="s">
        <v>11</v>
      </c>
      <c r="D168" s="50">
        <f>456</f>
        <v>456</v>
      </c>
      <c r="E168" s="22"/>
      <c r="F168" s="22"/>
      <c r="G168" s="22">
        <f t="shared" si="6"/>
        <v>0</v>
      </c>
      <c r="H168" s="22">
        <f t="shared" si="7"/>
        <v>0</v>
      </c>
      <c r="I168" s="22">
        <f t="shared" si="8"/>
        <v>0</v>
      </c>
    </row>
    <row r="169" spans="1:9" x14ac:dyDescent="0.3">
      <c r="A169" s="37"/>
      <c r="B169" s="94" t="s">
        <v>115</v>
      </c>
      <c r="C169" s="42" t="s">
        <v>34</v>
      </c>
      <c r="D169" s="48">
        <f>2*5.3*456/1000*1.04</f>
        <v>5.0269439999999994</v>
      </c>
      <c r="E169" s="22"/>
      <c r="F169" s="22">
        <v>35100</v>
      </c>
      <c r="G169" s="22">
        <f t="shared" si="6"/>
        <v>0</v>
      </c>
      <c r="H169" s="22">
        <f t="shared" si="7"/>
        <v>176445.73439999999</v>
      </c>
      <c r="I169" s="22">
        <f t="shared" si="8"/>
        <v>176445.73439999999</v>
      </c>
    </row>
    <row r="170" spans="1:9" x14ac:dyDescent="0.3">
      <c r="A170" s="37"/>
      <c r="B170" s="94" t="s">
        <v>86</v>
      </c>
      <c r="C170" s="42" t="s">
        <v>34</v>
      </c>
      <c r="D170" s="48">
        <f>2*1.4*456/1000*1.04</f>
        <v>1.3278719999999999</v>
      </c>
      <c r="E170" s="22"/>
      <c r="F170" s="22">
        <v>35100</v>
      </c>
      <c r="G170" s="22">
        <f t="shared" si="6"/>
        <v>0</v>
      </c>
      <c r="H170" s="22">
        <f t="shared" si="7"/>
        <v>46608.307199999996</v>
      </c>
      <c r="I170" s="22">
        <f t="shared" si="8"/>
        <v>46608.307199999996</v>
      </c>
    </row>
    <row r="171" spans="1:9" x14ac:dyDescent="0.3">
      <c r="A171" s="37"/>
      <c r="B171" s="94" t="s">
        <v>112</v>
      </c>
      <c r="C171" s="42" t="s">
        <v>34</v>
      </c>
      <c r="D171" s="48">
        <f>5*0.26*456/1000*1.04</f>
        <v>0.61651200000000017</v>
      </c>
      <c r="E171" s="22"/>
      <c r="F171" s="22">
        <v>40000</v>
      </c>
      <c r="G171" s="22">
        <f t="shared" si="6"/>
        <v>0</v>
      </c>
      <c r="H171" s="22">
        <f t="shared" si="7"/>
        <v>24660.480000000007</v>
      </c>
      <c r="I171" s="22">
        <f t="shared" si="8"/>
        <v>24660.480000000007</v>
      </c>
    </row>
    <row r="172" spans="1:9" x14ac:dyDescent="0.3">
      <c r="A172" s="37" t="s">
        <v>182</v>
      </c>
      <c r="B172" s="58" t="s">
        <v>183</v>
      </c>
      <c r="C172" s="57" t="s">
        <v>11</v>
      </c>
      <c r="D172" s="50">
        <v>336</v>
      </c>
      <c r="E172" s="22"/>
      <c r="F172" s="22"/>
      <c r="G172" s="22">
        <f t="shared" si="6"/>
        <v>0</v>
      </c>
      <c r="H172" s="22">
        <f t="shared" si="7"/>
        <v>0</v>
      </c>
      <c r="I172" s="22">
        <f t="shared" si="8"/>
        <v>0</v>
      </c>
    </row>
    <row r="173" spans="1:9" x14ac:dyDescent="0.3">
      <c r="A173" s="37"/>
      <c r="B173" s="94" t="s">
        <v>115</v>
      </c>
      <c r="C173" s="42" t="s">
        <v>34</v>
      </c>
      <c r="D173" s="48">
        <f>2*5.3*336/1000*1.04</f>
        <v>3.7040639999999998</v>
      </c>
      <c r="E173" s="22"/>
      <c r="F173" s="22">
        <v>35100</v>
      </c>
      <c r="G173" s="22">
        <f t="shared" si="6"/>
        <v>0</v>
      </c>
      <c r="H173" s="22">
        <f t="shared" si="7"/>
        <v>130012.6464</v>
      </c>
      <c r="I173" s="22">
        <f t="shared" si="8"/>
        <v>130012.6464</v>
      </c>
    </row>
    <row r="174" spans="1:9" x14ac:dyDescent="0.3">
      <c r="A174" s="37"/>
      <c r="B174" s="94" t="s">
        <v>86</v>
      </c>
      <c r="C174" s="42" t="s">
        <v>34</v>
      </c>
      <c r="D174" s="48">
        <f>2*1.4*336/1000*1.04</f>
        <v>0.97843199999999997</v>
      </c>
      <c r="E174" s="22"/>
      <c r="F174" s="22">
        <v>35100</v>
      </c>
      <c r="G174" s="22">
        <f t="shared" si="6"/>
        <v>0</v>
      </c>
      <c r="H174" s="22">
        <f t="shared" si="7"/>
        <v>34342.963199999998</v>
      </c>
      <c r="I174" s="22">
        <f t="shared" si="8"/>
        <v>34342.963199999998</v>
      </c>
    </row>
    <row r="175" spans="1:9" x14ac:dyDescent="0.3">
      <c r="A175" s="37"/>
      <c r="B175" s="94" t="s">
        <v>112</v>
      </c>
      <c r="C175" s="42" t="s">
        <v>34</v>
      </c>
      <c r="D175" s="48">
        <f>5*0.26*336/1000*1.04</f>
        <v>0.45427200000000006</v>
      </c>
      <c r="E175" s="22"/>
      <c r="F175" s="22">
        <v>40000</v>
      </c>
      <c r="G175" s="22">
        <f t="shared" ref="G175:G224" si="9">D175*E175</f>
        <v>0</v>
      </c>
      <c r="H175" s="22">
        <f t="shared" ref="H175:H224" si="10">D175*F175</f>
        <v>18170.88</v>
      </c>
      <c r="I175" s="22">
        <f t="shared" ref="I175:I224" si="11">G175+H175</f>
        <v>18170.88</v>
      </c>
    </row>
    <row r="176" spans="1:9" x14ac:dyDescent="0.3">
      <c r="A176" s="37" t="s">
        <v>184</v>
      </c>
      <c r="B176" s="58" t="s">
        <v>185</v>
      </c>
      <c r="C176" s="57" t="s">
        <v>11</v>
      </c>
      <c r="D176" s="50">
        <v>192</v>
      </c>
      <c r="E176" s="22"/>
      <c r="F176" s="22"/>
      <c r="G176" s="22">
        <f t="shared" si="9"/>
        <v>0</v>
      </c>
      <c r="H176" s="22">
        <f t="shared" si="10"/>
        <v>0</v>
      </c>
      <c r="I176" s="22">
        <f t="shared" si="11"/>
        <v>0</v>
      </c>
    </row>
    <row r="177" spans="1:9" x14ac:dyDescent="0.3">
      <c r="A177" s="37"/>
      <c r="B177" s="94" t="s">
        <v>115</v>
      </c>
      <c r="C177" s="42" t="s">
        <v>34</v>
      </c>
      <c r="D177" s="48">
        <f>2*5.6*192/1000*1.04</f>
        <v>2.2364159999999993</v>
      </c>
      <c r="E177" s="22"/>
      <c r="F177" s="22">
        <v>35100</v>
      </c>
      <c r="G177" s="22">
        <f t="shared" si="9"/>
        <v>0</v>
      </c>
      <c r="H177" s="22">
        <f t="shared" si="10"/>
        <v>78498.201599999971</v>
      </c>
      <c r="I177" s="22">
        <f t="shared" si="11"/>
        <v>78498.201599999971</v>
      </c>
    </row>
    <row r="178" spans="1:9" x14ac:dyDescent="0.3">
      <c r="A178" s="37"/>
      <c r="B178" s="94" t="s">
        <v>86</v>
      </c>
      <c r="C178" s="42" t="s">
        <v>34</v>
      </c>
      <c r="D178" s="48">
        <f>2*1.5*192/1000*1.04</f>
        <v>0.59904000000000002</v>
      </c>
      <c r="E178" s="22"/>
      <c r="F178" s="22">
        <v>35100</v>
      </c>
      <c r="G178" s="22">
        <f t="shared" si="9"/>
        <v>0</v>
      </c>
      <c r="H178" s="22">
        <f t="shared" si="10"/>
        <v>21026.304</v>
      </c>
      <c r="I178" s="22">
        <f t="shared" si="11"/>
        <v>21026.304</v>
      </c>
    </row>
    <row r="179" spans="1:9" x14ac:dyDescent="0.3">
      <c r="A179" s="37"/>
      <c r="B179" s="94" t="s">
        <v>112</v>
      </c>
      <c r="C179" s="42" t="s">
        <v>34</v>
      </c>
      <c r="D179" s="48">
        <f>5*0.26*192/1000*1.04</f>
        <v>0.25958400000000004</v>
      </c>
      <c r="E179" s="22"/>
      <c r="F179" s="22">
        <v>40000</v>
      </c>
      <c r="G179" s="22">
        <f t="shared" si="9"/>
        <v>0</v>
      </c>
      <c r="H179" s="22">
        <f t="shared" si="10"/>
        <v>10383.36</v>
      </c>
      <c r="I179" s="22">
        <f t="shared" si="11"/>
        <v>10383.36</v>
      </c>
    </row>
    <row r="180" spans="1:9" x14ac:dyDescent="0.3">
      <c r="A180" s="37" t="s">
        <v>186</v>
      </c>
      <c r="B180" s="58" t="s">
        <v>187</v>
      </c>
      <c r="C180" s="57" t="s">
        <v>11</v>
      </c>
      <c r="D180" s="50">
        <v>149</v>
      </c>
      <c r="E180" s="22"/>
      <c r="F180" s="22"/>
      <c r="G180" s="22">
        <f t="shared" si="9"/>
        <v>0</v>
      </c>
      <c r="H180" s="22">
        <f t="shared" si="10"/>
        <v>0</v>
      </c>
      <c r="I180" s="22">
        <f t="shared" si="11"/>
        <v>0</v>
      </c>
    </row>
    <row r="181" spans="1:9" x14ac:dyDescent="0.3">
      <c r="A181" s="37"/>
      <c r="B181" s="94" t="s">
        <v>115</v>
      </c>
      <c r="C181" s="42" t="s">
        <v>34</v>
      </c>
      <c r="D181" s="48">
        <f>2*6.1*149/1000*1.04</f>
        <v>1.890512</v>
      </c>
      <c r="E181" s="22"/>
      <c r="F181" s="22">
        <v>35100</v>
      </c>
      <c r="G181" s="22">
        <f t="shared" si="9"/>
        <v>0</v>
      </c>
      <c r="H181" s="22">
        <f t="shared" si="10"/>
        <v>66356.9712</v>
      </c>
      <c r="I181" s="22">
        <f t="shared" si="11"/>
        <v>66356.9712</v>
      </c>
    </row>
    <row r="182" spans="1:9" x14ac:dyDescent="0.3">
      <c r="A182" s="20"/>
      <c r="B182" s="94" t="s">
        <v>86</v>
      </c>
      <c r="C182" s="42" t="s">
        <v>34</v>
      </c>
      <c r="D182" s="48">
        <f>2*1.6*149/1000*1.04</f>
        <v>0.49587200000000003</v>
      </c>
      <c r="E182" s="22"/>
      <c r="F182" s="22">
        <v>35100</v>
      </c>
      <c r="G182" s="22">
        <f t="shared" si="9"/>
        <v>0</v>
      </c>
      <c r="H182" s="22">
        <f t="shared" si="10"/>
        <v>17405.107200000002</v>
      </c>
      <c r="I182" s="22">
        <f t="shared" si="11"/>
        <v>17405.107200000002</v>
      </c>
    </row>
    <row r="183" spans="1:9" x14ac:dyDescent="0.3">
      <c r="A183" s="20"/>
      <c r="B183" s="94" t="s">
        <v>112</v>
      </c>
      <c r="C183" s="42" t="s">
        <v>34</v>
      </c>
      <c r="D183" s="48">
        <f>5*0.26*149/1000*1.04</f>
        <v>0.20144800000000002</v>
      </c>
      <c r="E183" s="22"/>
      <c r="F183" s="22">
        <v>40000</v>
      </c>
      <c r="G183" s="22">
        <f t="shared" si="9"/>
        <v>0</v>
      </c>
      <c r="H183" s="22">
        <f t="shared" si="10"/>
        <v>8057.920000000001</v>
      </c>
      <c r="I183" s="22">
        <f t="shared" si="11"/>
        <v>8057.920000000001</v>
      </c>
    </row>
    <row r="184" spans="1:9" s="19" customFormat="1" ht="28.8" x14ac:dyDescent="0.3">
      <c r="A184" s="20" t="s">
        <v>188</v>
      </c>
      <c r="B184" s="31" t="s">
        <v>189</v>
      </c>
      <c r="C184" s="32" t="s">
        <v>21</v>
      </c>
      <c r="D184" s="33">
        <f>9.67+9.54*23+6.57</f>
        <v>235.65999999999997</v>
      </c>
      <c r="E184" s="34">
        <v>2700</v>
      </c>
      <c r="F184" s="34"/>
      <c r="G184" s="34">
        <f t="shared" si="9"/>
        <v>636281.99999999988</v>
      </c>
      <c r="H184" s="34">
        <f t="shared" si="10"/>
        <v>0</v>
      </c>
      <c r="I184" s="34">
        <f t="shared" si="11"/>
        <v>636281.99999999988</v>
      </c>
    </row>
    <row r="185" spans="1:9" x14ac:dyDescent="0.3">
      <c r="A185" s="37" t="s">
        <v>190</v>
      </c>
      <c r="B185" s="90" t="s">
        <v>144</v>
      </c>
      <c r="C185" s="36" t="s">
        <v>21</v>
      </c>
      <c r="D185" s="68">
        <f>(9.67+9.54*4)*1.05</f>
        <v>50.221499999999999</v>
      </c>
      <c r="E185" s="22"/>
      <c r="F185" s="22">
        <v>5450</v>
      </c>
      <c r="G185" s="22">
        <f t="shared" si="9"/>
        <v>0</v>
      </c>
      <c r="H185" s="22">
        <f t="shared" si="10"/>
        <v>273707.17499999999</v>
      </c>
      <c r="I185" s="22">
        <f t="shared" si="11"/>
        <v>273707.17499999999</v>
      </c>
    </row>
    <row r="186" spans="1:9" x14ac:dyDescent="0.3">
      <c r="A186" s="37" t="s">
        <v>191</v>
      </c>
      <c r="B186" s="99" t="s">
        <v>148</v>
      </c>
      <c r="C186" s="69" t="s">
        <v>21</v>
      </c>
      <c r="D186" s="70">
        <f>(9.54*19+6.57)*1.05</f>
        <v>197.22149999999999</v>
      </c>
      <c r="E186" s="62"/>
      <c r="F186" s="62">
        <v>5300</v>
      </c>
      <c r="G186" s="22">
        <f t="shared" si="9"/>
        <v>0</v>
      </c>
      <c r="H186" s="22">
        <f t="shared" si="10"/>
        <v>1045273.95</v>
      </c>
      <c r="I186" s="22">
        <f t="shared" si="11"/>
        <v>1045273.95</v>
      </c>
    </row>
    <row r="187" spans="1:9" x14ac:dyDescent="0.3">
      <c r="A187" s="37" t="s">
        <v>192</v>
      </c>
      <c r="B187" s="100" t="s">
        <v>32</v>
      </c>
      <c r="C187" s="36" t="s">
        <v>34</v>
      </c>
      <c r="D187" s="21"/>
      <c r="E187" s="22"/>
      <c r="F187" s="22"/>
      <c r="G187" s="22"/>
      <c r="H187" s="22"/>
      <c r="I187" s="22"/>
    </row>
    <row r="188" spans="1:9" x14ac:dyDescent="0.3">
      <c r="A188" s="20"/>
      <c r="B188" s="90" t="s">
        <v>151</v>
      </c>
      <c r="C188" s="36" t="s">
        <v>34</v>
      </c>
      <c r="D188" s="21">
        <f>(268.8+264.8*22+264.8+112.8)/1000*1.04</f>
        <v>6.7308800000000018</v>
      </c>
      <c r="E188" s="61"/>
      <c r="F188" s="22">
        <v>33500</v>
      </c>
      <c r="G188" s="22">
        <f t="shared" si="9"/>
        <v>0</v>
      </c>
      <c r="H188" s="22">
        <f t="shared" si="10"/>
        <v>225484.48000000007</v>
      </c>
      <c r="I188" s="22">
        <f t="shared" si="11"/>
        <v>225484.48000000007</v>
      </c>
    </row>
    <row r="189" spans="1:9" x14ac:dyDescent="0.3">
      <c r="A189" s="20"/>
      <c r="B189" s="90" t="s">
        <v>135</v>
      </c>
      <c r="C189" s="36" t="s">
        <v>34</v>
      </c>
      <c r="D189" s="21">
        <f>(448+435.4*22+444.4+290)/1000*1.04</f>
        <v>11.191647999999999</v>
      </c>
      <c r="E189" s="61"/>
      <c r="F189" s="22">
        <v>34400</v>
      </c>
      <c r="G189" s="22">
        <f t="shared" si="9"/>
        <v>0</v>
      </c>
      <c r="H189" s="22">
        <f t="shared" si="10"/>
        <v>384992.69119999994</v>
      </c>
      <c r="I189" s="22">
        <f t="shared" si="11"/>
        <v>384992.69119999994</v>
      </c>
    </row>
    <row r="190" spans="1:9" x14ac:dyDescent="0.3">
      <c r="A190" s="20"/>
      <c r="B190" s="90" t="s">
        <v>136</v>
      </c>
      <c r="C190" s="36" t="s">
        <v>34</v>
      </c>
      <c r="D190" s="21">
        <f>(236.1+244.2*22+244.2+185.7)/1000*1.04</f>
        <v>6.2799359999999993</v>
      </c>
      <c r="E190" s="61"/>
      <c r="F190" s="22">
        <v>39400</v>
      </c>
      <c r="G190" s="22">
        <f t="shared" si="9"/>
        <v>0</v>
      </c>
      <c r="H190" s="22">
        <f t="shared" si="10"/>
        <v>247429.47839999996</v>
      </c>
      <c r="I190" s="22">
        <f t="shared" si="11"/>
        <v>247429.47839999996</v>
      </c>
    </row>
    <row r="191" spans="1:9" x14ac:dyDescent="0.3">
      <c r="A191" s="20"/>
      <c r="B191" s="90" t="s">
        <v>152</v>
      </c>
      <c r="C191" s="36" t="s">
        <v>34</v>
      </c>
      <c r="D191" s="21">
        <f>(74.7+74.7*22+74.7+51.1)/1000*1.04</f>
        <v>1.9176560000000002</v>
      </c>
      <c r="E191" s="61"/>
      <c r="F191" s="22">
        <v>40000</v>
      </c>
      <c r="G191" s="22">
        <f t="shared" si="9"/>
        <v>0</v>
      </c>
      <c r="H191" s="22">
        <f t="shared" si="10"/>
        <v>76706.240000000005</v>
      </c>
      <c r="I191" s="22">
        <f t="shared" si="11"/>
        <v>76706.240000000005</v>
      </c>
    </row>
    <row r="192" spans="1:9" ht="15.65" x14ac:dyDescent="0.3">
      <c r="A192" s="51"/>
      <c r="B192" s="90" t="s">
        <v>44</v>
      </c>
      <c r="C192" s="36" t="s">
        <v>34</v>
      </c>
      <c r="D192" s="21">
        <f>0.02*D187</f>
        <v>0</v>
      </c>
      <c r="E192" s="22"/>
      <c r="F192" s="22">
        <v>53104</v>
      </c>
      <c r="G192" s="22">
        <f t="shared" si="9"/>
        <v>0</v>
      </c>
      <c r="H192" s="22">
        <f t="shared" si="10"/>
        <v>0</v>
      </c>
      <c r="I192" s="22">
        <f t="shared" si="11"/>
        <v>0</v>
      </c>
    </row>
    <row r="193" spans="1:9" s="19" customFormat="1" ht="28.8" x14ac:dyDescent="0.3">
      <c r="A193" s="20" t="s">
        <v>193</v>
      </c>
      <c r="B193" s="31" t="s">
        <v>194</v>
      </c>
      <c r="C193" s="32" t="s">
        <v>21</v>
      </c>
      <c r="D193" s="33">
        <f>5.42+5.35*23+3.75</f>
        <v>132.22</v>
      </c>
      <c r="E193" s="34">
        <v>2700</v>
      </c>
      <c r="F193" s="34"/>
      <c r="G193" s="34">
        <f t="shared" si="9"/>
        <v>356994</v>
      </c>
      <c r="H193" s="34">
        <f t="shared" si="10"/>
        <v>0</v>
      </c>
      <c r="I193" s="34">
        <f t="shared" si="11"/>
        <v>356994</v>
      </c>
    </row>
    <row r="194" spans="1:9" x14ac:dyDescent="0.3">
      <c r="A194" s="37" t="s">
        <v>195</v>
      </c>
      <c r="B194" s="90" t="s">
        <v>144</v>
      </c>
      <c r="C194" s="36" t="s">
        <v>21</v>
      </c>
      <c r="D194" s="68">
        <f>(5.42+5.35*4)*1.05</f>
        <v>28.161000000000001</v>
      </c>
      <c r="E194" s="22"/>
      <c r="F194" s="22">
        <v>5450</v>
      </c>
      <c r="G194" s="22">
        <f t="shared" si="9"/>
        <v>0</v>
      </c>
      <c r="H194" s="22">
        <f t="shared" si="10"/>
        <v>153477.45000000001</v>
      </c>
      <c r="I194" s="22">
        <f t="shared" si="11"/>
        <v>153477.45000000001</v>
      </c>
    </row>
    <row r="195" spans="1:9" x14ac:dyDescent="0.3">
      <c r="A195" s="37" t="s">
        <v>196</v>
      </c>
      <c r="B195" s="99" t="s">
        <v>148</v>
      </c>
      <c r="C195" s="69" t="s">
        <v>21</v>
      </c>
      <c r="D195" s="70">
        <f>(5.35*19+3.75)*1.05</f>
        <v>110.67</v>
      </c>
      <c r="E195" s="62"/>
      <c r="F195" s="62">
        <v>5300</v>
      </c>
      <c r="G195" s="22">
        <f t="shared" si="9"/>
        <v>0</v>
      </c>
      <c r="H195" s="22">
        <f t="shared" si="10"/>
        <v>586551</v>
      </c>
      <c r="I195" s="22">
        <f t="shared" si="11"/>
        <v>586551</v>
      </c>
    </row>
    <row r="196" spans="1:9" x14ac:dyDescent="0.3">
      <c r="A196" s="37" t="s">
        <v>197</v>
      </c>
      <c r="B196" s="101" t="s">
        <v>32</v>
      </c>
      <c r="C196" s="36"/>
      <c r="D196" s="21"/>
      <c r="E196" s="22"/>
      <c r="F196" s="22"/>
      <c r="G196" s="22"/>
      <c r="H196" s="22"/>
      <c r="I196" s="22"/>
    </row>
    <row r="197" spans="1:9" x14ac:dyDescent="0.3">
      <c r="A197" s="20"/>
      <c r="B197" s="90" t="s">
        <v>151</v>
      </c>
      <c r="C197" s="36" t="s">
        <v>34</v>
      </c>
      <c r="D197" s="21">
        <f>(161.2+158.8*22+175.2+69.2)/1000*1.04</f>
        <v>4.0551680000000001</v>
      </c>
      <c r="E197" s="61"/>
      <c r="F197" s="22">
        <v>33500</v>
      </c>
      <c r="G197" s="22">
        <f t="shared" si="9"/>
        <v>0</v>
      </c>
      <c r="H197" s="22">
        <f t="shared" si="10"/>
        <v>135848.128</v>
      </c>
      <c r="I197" s="22">
        <f t="shared" si="11"/>
        <v>135848.128</v>
      </c>
    </row>
    <row r="198" spans="1:9" x14ac:dyDescent="0.3">
      <c r="A198" s="20"/>
      <c r="B198" s="90" t="s">
        <v>135</v>
      </c>
      <c r="C198" s="36" t="s">
        <v>34</v>
      </c>
      <c r="D198" s="21">
        <f>(254.4+247.4*22+253.7+209.3)/1000*1.04</f>
        <v>6.4066080000000003</v>
      </c>
      <c r="E198" s="61"/>
      <c r="F198" s="22">
        <v>34400</v>
      </c>
      <c r="G198" s="22">
        <f t="shared" si="9"/>
        <v>0</v>
      </c>
      <c r="H198" s="22">
        <f t="shared" si="10"/>
        <v>220387.31520000001</v>
      </c>
      <c r="I198" s="22">
        <f t="shared" si="11"/>
        <v>220387.31520000001</v>
      </c>
    </row>
    <row r="199" spans="1:9" x14ac:dyDescent="0.3">
      <c r="A199" s="20"/>
      <c r="B199" s="90" t="s">
        <v>136</v>
      </c>
      <c r="C199" s="36" t="s">
        <v>34</v>
      </c>
      <c r="D199" s="21">
        <f>(143.6+149.1*22+149.1+98.6)/1000*1.04</f>
        <v>3.8183599999999998</v>
      </c>
      <c r="E199" s="61"/>
      <c r="F199" s="22">
        <v>39400</v>
      </c>
      <c r="G199" s="22">
        <f t="shared" si="9"/>
        <v>0</v>
      </c>
      <c r="H199" s="22">
        <f t="shared" si="10"/>
        <v>150443.38399999999</v>
      </c>
      <c r="I199" s="22">
        <f t="shared" si="11"/>
        <v>150443.38399999999</v>
      </c>
    </row>
    <row r="200" spans="1:9" x14ac:dyDescent="0.3">
      <c r="A200" s="20"/>
      <c r="B200" s="90" t="s">
        <v>152</v>
      </c>
      <c r="C200" s="36" t="s">
        <v>34</v>
      </c>
      <c r="D200" s="21">
        <f>(41.8+41.6*22+41.6+27.4)/1000*1.04</f>
        <v>1.06704</v>
      </c>
      <c r="E200" s="61"/>
      <c r="F200" s="22">
        <v>40000</v>
      </c>
      <c r="G200" s="22">
        <f t="shared" si="9"/>
        <v>0</v>
      </c>
      <c r="H200" s="22">
        <f t="shared" si="10"/>
        <v>42681.599999999999</v>
      </c>
      <c r="I200" s="22">
        <f t="shared" si="11"/>
        <v>42681.599999999999</v>
      </c>
    </row>
    <row r="201" spans="1:9" ht="15.65" x14ac:dyDescent="0.3">
      <c r="A201" s="51"/>
      <c r="B201" s="90" t="s">
        <v>44</v>
      </c>
      <c r="C201" s="36" t="s">
        <v>34</v>
      </c>
      <c r="D201" s="21">
        <f>0.02*D196</f>
        <v>0</v>
      </c>
      <c r="E201" s="22"/>
      <c r="F201" s="22">
        <v>53104</v>
      </c>
      <c r="G201" s="22">
        <f t="shared" si="9"/>
        <v>0</v>
      </c>
      <c r="H201" s="22">
        <f t="shared" si="10"/>
        <v>0</v>
      </c>
      <c r="I201" s="22">
        <f t="shared" si="11"/>
        <v>0</v>
      </c>
    </row>
    <row r="202" spans="1:9" s="19" customFormat="1" ht="28.8" x14ac:dyDescent="0.3">
      <c r="A202" s="20" t="s">
        <v>198</v>
      </c>
      <c r="B202" s="31" t="s">
        <v>199</v>
      </c>
      <c r="C202" s="32" t="s">
        <v>21</v>
      </c>
      <c r="D202" s="33">
        <f>10.06+9.92*23+6.15</f>
        <v>244.37</v>
      </c>
      <c r="E202" s="34">
        <v>2700</v>
      </c>
      <c r="F202" s="34"/>
      <c r="G202" s="34">
        <f t="shared" si="9"/>
        <v>659799</v>
      </c>
      <c r="H202" s="34">
        <f t="shared" si="10"/>
        <v>0</v>
      </c>
      <c r="I202" s="34">
        <f t="shared" si="11"/>
        <v>659799</v>
      </c>
    </row>
    <row r="203" spans="1:9" x14ac:dyDescent="0.3">
      <c r="A203" s="37" t="s">
        <v>200</v>
      </c>
      <c r="B203" s="90" t="s">
        <v>144</v>
      </c>
      <c r="C203" s="36" t="s">
        <v>21</v>
      </c>
      <c r="D203" s="68">
        <f>(10.06+9.92*22)*1.05</f>
        <v>239.71500000000003</v>
      </c>
      <c r="E203" s="22"/>
      <c r="F203" s="22">
        <v>5450</v>
      </c>
      <c r="G203" s="22">
        <f t="shared" si="9"/>
        <v>0</v>
      </c>
      <c r="H203" s="22">
        <f t="shared" si="10"/>
        <v>1306446.7500000002</v>
      </c>
      <c r="I203" s="22">
        <f t="shared" si="11"/>
        <v>1306446.7500000002</v>
      </c>
    </row>
    <row r="204" spans="1:9" x14ac:dyDescent="0.3">
      <c r="A204" s="37" t="s">
        <v>201</v>
      </c>
      <c r="B204" s="99" t="s">
        <v>148</v>
      </c>
      <c r="C204" s="69" t="s">
        <v>21</v>
      </c>
      <c r="D204" s="70">
        <f>(9.92+6.15)*1.05</f>
        <v>16.8735</v>
      </c>
      <c r="E204" s="62"/>
      <c r="F204" s="62">
        <v>5300</v>
      </c>
      <c r="G204" s="22">
        <f t="shared" si="9"/>
        <v>0</v>
      </c>
      <c r="H204" s="22">
        <f t="shared" si="10"/>
        <v>89429.55</v>
      </c>
      <c r="I204" s="22">
        <f t="shared" si="11"/>
        <v>89429.55</v>
      </c>
    </row>
    <row r="205" spans="1:9" x14ac:dyDescent="0.3">
      <c r="A205" s="37" t="s">
        <v>202</v>
      </c>
      <c r="B205" s="100" t="s">
        <v>32</v>
      </c>
      <c r="C205" s="36"/>
      <c r="D205" s="21"/>
      <c r="E205" s="22"/>
      <c r="F205" s="22"/>
      <c r="G205" s="22"/>
      <c r="H205" s="22"/>
      <c r="I205" s="22"/>
    </row>
    <row r="206" spans="1:9" x14ac:dyDescent="0.3">
      <c r="A206" s="20"/>
      <c r="B206" s="90" t="s">
        <v>151</v>
      </c>
      <c r="C206" s="36" t="s">
        <v>34</v>
      </c>
      <c r="D206" s="21">
        <f>(118+116*22+111.6+51.2)/1000*1.04</f>
        <v>2.9461119999999998</v>
      </c>
      <c r="E206" s="61"/>
      <c r="F206" s="22">
        <v>33500</v>
      </c>
      <c r="G206" s="22">
        <f t="shared" si="9"/>
        <v>0</v>
      </c>
      <c r="H206" s="22">
        <f t="shared" si="10"/>
        <v>98694.751999999993</v>
      </c>
      <c r="I206" s="22">
        <f t="shared" si="11"/>
        <v>98694.751999999993</v>
      </c>
    </row>
    <row r="207" spans="1:9" x14ac:dyDescent="0.3">
      <c r="A207" s="20"/>
      <c r="B207" s="90" t="s">
        <v>135</v>
      </c>
      <c r="C207" s="36" t="s">
        <v>34</v>
      </c>
      <c r="D207" s="21">
        <f>(521.6+506.4*22+503.2+294.4)/1000*1.04</f>
        <v>12.958400000000001</v>
      </c>
      <c r="E207" s="61"/>
      <c r="F207" s="22">
        <v>34400</v>
      </c>
      <c r="G207" s="22">
        <f t="shared" si="9"/>
        <v>0</v>
      </c>
      <c r="H207" s="22">
        <f t="shared" si="10"/>
        <v>445768.96000000002</v>
      </c>
      <c r="I207" s="22">
        <f t="shared" si="11"/>
        <v>445768.96000000002</v>
      </c>
    </row>
    <row r="208" spans="1:9" x14ac:dyDescent="0.3">
      <c r="A208" s="20"/>
      <c r="B208" s="90" t="s">
        <v>136</v>
      </c>
      <c r="C208" s="36" t="s">
        <v>34</v>
      </c>
      <c r="D208" s="21">
        <f>(225.5+225.5*22+225.5+152.2)/1000*1.04</f>
        <v>5.7867679999999995</v>
      </c>
      <c r="E208" s="61"/>
      <c r="F208" s="22">
        <v>39400</v>
      </c>
      <c r="G208" s="22">
        <f t="shared" si="9"/>
        <v>0</v>
      </c>
      <c r="H208" s="22">
        <f t="shared" si="10"/>
        <v>227998.65919999997</v>
      </c>
      <c r="I208" s="22">
        <f t="shared" si="11"/>
        <v>227998.65919999997</v>
      </c>
    </row>
    <row r="209" spans="1:9" x14ac:dyDescent="0.3">
      <c r="A209" s="20"/>
      <c r="B209" s="90" t="s">
        <v>152</v>
      </c>
      <c r="C209" s="36" t="s">
        <v>34</v>
      </c>
      <c r="D209" s="21">
        <f>(60.6+60.6*22+60.6+30.2)/1000*1.04</f>
        <v>1.543984</v>
      </c>
      <c r="E209" s="61"/>
      <c r="F209" s="22">
        <v>40000</v>
      </c>
      <c r="G209" s="22">
        <f t="shared" si="9"/>
        <v>0</v>
      </c>
      <c r="H209" s="22">
        <f t="shared" si="10"/>
        <v>61759.360000000001</v>
      </c>
      <c r="I209" s="22">
        <f t="shared" si="11"/>
        <v>61759.360000000001</v>
      </c>
    </row>
    <row r="210" spans="1:9" ht="15.65" x14ac:dyDescent="0.3">
      <c r="A210" s="51"/>
      <c r="B210" s="90" t="s">
        <v>44</v>
      </c>
      <c r="C210" s="36" t="s">
        <v>34</v>
      </c>
      <c r="D210" s="21">
        <f>0.02*D205</f>
        <v>0</v>
      </c>
      <c r="E210" s="22"/>
      <c r="F210" s="22">
        <v>53104</v>
      </c>
      <c r="G210" s="22">
        <f t="shared" si="9"/>
        <v>0</v>
      </c>
      <c r="H210" s="22">
        <f t="shared" si="10"/>
        <v>0</v>
      </c>
      <c r="I210" s="22">
        <f t="shared" si="11"/>
        <v>0</v>
      </c>
    </row>
    <row r="211" spans="1:9" s="19" customFormat="1" ht="28.8" x14ac:dyDescent="0.3">
      <c r="A211" s="20" t="s">
        <v>203</v>
      </c>
      <c r="B211" s="31" t="s">
        <v>204</v>
      </c>
      <c r="C211" s="32" t="s">
        <v>21</v>
      </c>
      <c r="D211" s="29">
        <f>0.82*24+0.83</f>
        <v>20.509999999999998</v>
      </c>
      <c r="E211" s="34">
        <v>2700</v>
      </c>
      <c r="F211" s="34"/>
      <c r="G211" s="34">
        <f t="shared" si="9"/>
        <v>55376.999999999993</v>
      </c>
      <c r="H211" s="34">
        <f t="shared" si="10"/>
        <v>0</v>
      </c>
      <c r="I211" s="34">
        <f t="shared" si="11"/>
        <v>55376.999999999993</v>
      </c>
    </row>
    <row r="212" spans="1:9" x14ac:dyDescent="0.3">
      <c r="A212" s="37" t="s">
        <v>205</v>
      </c>
      <c r="B212" s="90" t="s">
        <v>148</v>
      </c>
      <c r="C212" s="36" t="s">
        <v>21</v>
      </c>
      <c r="D212" s="60">
        <f>D211*1.04</f>
        <v>21.330399999999997</v>
      </c>
      <c r="E212" s="22"/>
      <c r="F212" s="22">
        <v>5300</v>
      </c>
      <c r="G212" s="22">
        <f t="shared" si="9"/>
        <v>0</v>
      </c>
      <c r="H212" s="22">
        <f t="shared" si="10"/>
        <v>113051.11999999998</v>
      </c>
      <c r="I212" s="22">
        <f t="shared" si="11"/>
        <v>113051.11999999998</v>
      </c>
    </row>
    <row r="213" spans="1:9" x14ac:dyDescent="0.3">
      <c r="A213" s="37" t="s">
        <v>206</v>
      </c>
      <c r="B213" s="100" t="s">
        <v>32</v>
      </c>
      <c r="C213" s="36"/>
      <c r="D213" s="60"/>
      <c r="E213" s="22"/>
      <c r="F213" s="22"/>
      <c r="G213" s="22"/>
      <c r="H213" s="22"/>
      <c r="I213" s="22"/>
    </row>
    <row r="214" spans="1:9" x14ac:dyDescent="0.3">
      <c r="A214" s="20"/>
      <c r="B214" s="90" t="s">
        <v>151</v>
      </c>
      <c r="C214" s="36" t="s">
        <v>34</v>
      </c>
      <c r="D214" s="21">
        <f>(765)/1000*1.04</f>
        <v>0.79560000000000008</v>
      </c>
      <c r="E214" s="61"/>
      <c r="F214" s="22">
        <v>33500</v>
      </c>
      <c r="G214" s="22">
        <f t="shared" si="9"/>
        <v>0</v>
      </c>
      <c r="H214" s="22">
        <f t="shared" si="10"/>
        <v>26652.600000000002</v>
      </c>
      <c r="I214" s="22">
        <f t="shared" si="11"/>
        <v>26652.600000000002</v>
      </c>
    </row>
    <row r="215" spans="1:9" x14ac:dyDescent="0.3">
      <c r="A215" s="20"/>
      <c r="B215" s="90" t="s">
        <v>207</v>
      </c>
      <c r="C215" s="36" t="s">
        <v>34</v>
      </c>
      <c r="D215" s="21">
        <f>(1791)/1000*1.04</f>
        <v>1.8626400000000001</v>
      </c>
      <c r="E215" s="61"/>
      <c r="F215" s="22">
        <v>35100</v>
      </c>
      <c r="G215" s="22">
        <f t="shared" si="9"/>
        <v>0</v>
      </c>
      <c r="H215" s="22">
        <f t="shared" si="10"/>
        <v>65378.664000000004</v>
      </c>
      <c r="I215" s="22">
        <f t="shared" si="11"/>
        <v>65378.664000000004</v>
      </c>
    </row>
    <row r="216" spans="1:9" x14ac:dyDescent="0.3">
      <c r="A216" s="20"/>
      <c r="B216" s="90" t="s">
        <v>152</v>
      </c>
      <c r="C216" s="36" t="s">
        <v>34</v>
      </c>
      <c r="D216" s="21">
        <f>(111+46.9)/1000*1.04</f>
        <v>0.16421600000000003</v>
      </c>
      <c r="E216" s="61"/>
      <c r="F216" s="22">
        <v>40000</v>
      </c>
      <c r="G216" s="22">
        <f t="shared" si="9"/>
        <v>0</v>
      </c>
      <c r="H216" s="22">
        <f t="shared" si="10"/>
        <v>6568.6400000000012</v>
      </c>
      <c r="I216" s="22">
        <f t="shared" si="11"/>
        <v>6568.6400000000012</v>
      </c>
    </row>
    <row r="217" spans="1:9" ht="15.65" x14ac:dyDescent="0.3">
      <c r="A217" s="51"/>
      <c r="B217" s="90" t="s">
        <v>44</v>
      </c>
      <c r="C217" s="36" t="s">
        <v>34</v>
      </c>
      <c r="D217" s="21">
        <f>0.02*D213</f>
        <v>0</v>
      </c>
      <c r="E217" s="22"/>
      <c r="F217" s="22">
        <v>53104</v>
      </c>
      <c r="G217" s="22">
        <f t="shared" si="9"/>
        <v>0</v>
      </c>
      <c r="H217" s="22">
        <f t="shared" si="10"/>
        <v>0</v>
      </c>
      <c r="I217" s="22">
        <f t="shared" si="11"/>
        <v>0</v>
      </c>
    </row>
    <row r="218" spans="1:9" s="19" customFormat="1" ht="15.65" x14ac:dyDescent="0.3">
      <c r="A218" s="53" t="s">
        <v>208</v>
      </c>
      <c r="B218" s="71" t="s">
        <v>209</v>
      </c>
      <c r="C218" s="32"/>
      <c r="D218" s="33"/>
      <c r="E218" s="34"/>
      <c r="F218" s="34"/>
      <c r="G218" s="34">
        <f t="shared" si="9"/>
        <v>0</v>
      </c>
      <c r="H218" s="34">
        <f t="shared" si="10"/>
        <v>0</v>
      </c>
      <c r="I218" s="34">
        <f t="shared" si="11"/>
        <v>0</v>
      </c>
    </row>
    <row r="219" spans="1:9" ht="15.65" x14ac:dyDescent="0.3">
      <c r="A219" s="51" t="s">
        <v>210</v>
      </c>
      <c r="B219" s="102" t="s">
        <v>211</v>
      </c>
      <c r="C219" s="72" t="s">
        <v>11</v>
      </c>
      <c r="D219" s="40">
        <f>902</f>
        <v>902</v>
      </c>
      <c r="E219" s="44">
        <v>15</v>
      </c>
      <c r="F219" s="22"/>
      <c r="G219" s="22">
        <f t="shared" si="9"/>
        <v>13530</v>
      </c>
      <c r="H219" s="22">
        <f t="shared" si="10"/>
        <v>0</v>
      </c>
      <c r="I219" s="22">
        <f t="shared" si="11"/>
        <v>13530</v>
      </c>
    </row>
    <row r="220" spans="1:9" ht="15.65" x14ac:dyDescent="0.3">
      <c r="A220" s="51" t="s">
        <v>212</v>
      </c>
      <c r="B220" s="102" t="s">
        <v>213</v>
      </c>
      <c r="C220" s="72" t="s">
        <v>11</v>
      </c>
      <c r="D220" s="40">
        <f>809+806+806*5+917*5+919*4+920*3+920+921</f>
        <v>18507</v>
      </c>
      <c r="E220" s="44">
        <v>15</v>
      </c>
      <c r="F220" s="22"/>
      <c r="G220" s="22">
        <f t="shared" si="9"/>
        <v>277605</v>
      </c>
      <c r="H220" s="22">
        <f t="shared" si="10"/>
        <v>0</v>
      </c>
      <c r="I220" s="22">
        <f t="shared" si="11"/>
        <v>277605</v>
      </c>
    </row>
    <row r="221" spans="1:9" ht="31.3" x14ac:dyDescent="0.3">
      <c r="A221" s="51" t="s">
        <v>214</v>
      </c>
      <c r="B221" s="102" t="s">
        <v>215</v>
      </c>
      <c r="C221" s="72" t="s">
        <v>11</v>
      </c>
      <c r="D221" s="40">
        <f>1274</f>
        <v>1274</v>
      </c>
      <c r="E221" s="44">
        <v>50</v>
      </c>
      <c r="F221" s="22"/>
      <c r="G221" s="22">
        <f t="shared" si="9"/>
        <v>63700</v>
      </c>
      <c r="H221" s="22">
        <f t="shared" si="10"/>
        <v>0</v>
      </c>
      <c r="I221" s="22">
        <f t="shared" si="11"/>
        <v>63700</v>
      </c>
    </row>
    <row r="222" spans="1:9" ht="15.65" x14ac:dyDescent="0.3">
      <c r="A222" s="51" t="s">
        <v>216</v>
      </c>
      <c r="B222" s="102" t="s">
        <v>217</v>
      </c>
      <c r="C222" s="72" t="s">
        <v>11</v>
      </c>
      <c r="D222" s="40">
        <f>1*18</f>
        <v>18</v>
      </c>
      <c r="E222" s="44">
        <v>15</v>
      </c>
      <c r="F222" s="22"/>
      <c r="G222" s="22">
        <f t="shared" si="9"/>
        <v>270</v>
      </c>
      <c r="H222" s="22">
        <f t="shared" si="10"/>
        <v>0</v>
      </c>
      <c r="I222" s="22">
        <f t="shared" si="11"/>
        <v>270</v>
      </c>
    </row>
    <row r="223" spans="1:9" ht="15.65" x14ac:dyDescent="0.3">
      <c r="A223" s="51" t="s">
        <v>218</v>
      </c>
      <c r="B223" s="102" t="s">
        <v>219</v>
      </c>
      <c r="C223" s="72" t="s">
        <v>11</v>
      </c>
      <c r="D223" s="40">
        <f>24*47+36*2</f>
        <v>1200</v>
      </c>
      <c r="E223" s="44">
        <v>15</v>
      </c>
      <c r="F223" s="22"/>
      <c r="G223" s="22">
        <f t="shared" si="9"/>
        <v>18000</v>
      </c>
      <c r="H223" s="22">
        <f t="shared" si="10"/>
        <v>0</v>
      </c>
      <c r="I223" s="22">
        <f t="shared" si="11"/>
        <v>18000</v>
      </c>
    </row>
    <row r="224" spans="1:9" ht="15.65" x14ac:dyDescent="0.3">
      <c r="A224" s="51" t="s">
        <v>220</v>
      </c>
      <c r="B224" s="103" t="s">
        <v>221</v>
      </c>
      <c r="C224" s="72" t="s">
        <v>11</v>
      </c>
      <c r="D224" s="36">
        <f>1*47+2*2</f>
        <v>51</v>
      </c>
      <c r="E224" s="44">
        <v>15</v>
      </c>
      <c r="F224" s="22"/>
      <c r="G224" s="22">
        <f t="shared" si="9"/>
        <v>765</v>
      </c>
      <c r="H224" s="22">
        <f t="shared" si="10"/>
        <v>0</v>
      </c>
      <c r="I224" s="22">
        <f t="shared" si="11"/>
        <v>765</v>
      </c>
    </row>
    <row r="225" spans="1:10" x14ac:dyDescent="0.3">
      <c r="A225" s="104"/>
      <c r="B225" s="15" t="s">
        <v>140</v>
      </c>
      <c r="C225" s="16"/>
      <c r="D225" s="73"/>
      <c r="E225" s="74"/>
      <c r="F225" s="75"/>
      <c r="G225" s="76"/>
      <c r="H225" s="76"/>
      <c r="I225" s="76"/>
    </row>
    <row r="226" spans="1:10" s="19" customFormat="1" x14ac:dyDescent="0.3">
      <c r="A226" s="105" t="s">
        <v>245</v>
      </c>
      <c r="B226" s="54" t="s">
        <v>223</v>
      </c>
      <c r="C226" s="32" t="s">
        <v>11</v>
      </c>
      <c r="D226" s="77">
        <f>49</f>
        <v>49</v>
      </c>
      <c r="E226" s="78">
        <v>1100</v>
      </c>
      <c r="F226" s="79"/>
      <c r="G226" s="80">
        <f>D226*E226</f>
        <v>53900</v>
      </c>
      <c r="H226" s="80">
        <f>D226*F226</f>
        <v>0</v>
      </c>
      <c r="I226" s="80">
        <f>G226+H226</f>
        <v>53900</v>
      </c>
    </row>
    <row r="227" spans="1:10" x14ac:dyDescent="0.3">
      <c r="A227" s="106" t="s">
        <v>246</v>
      </c>
      <c r="B227" s="90" t="s">
        <v>225</v>
      </c>
      <c r="C227" s="36" t="s">
        <v>11</v>
      </c>
      <c r="D227" s="81">
        <f>49</f>
        <v>49</v>
      </c>
      <c r="E227" s="82"/>
      <c r="F227" s="83">
        <v>15850</v>
      </c>
      <c r="G227" s="84">
        <f>D227*E227</f>
        <v>0</v>
      </c>
      <c r="H227" s="84">
        <f>D227*F227</f>
        <v>776650</v>
      </c>
      <c r="I227" s="84">
        <f>G227+H227</f>
        <v>776650</v>
      </c>
    </row>
    <row r="228" spans="1:10" x14ac:dyDescent="0.3">
      <c r="A228" s="106" t="s">
        <v>247</v>
      </c>
      <c r="B228" s="90" t="s">
        <v>227</v>
      </c>
      <c r="C228" s="36" t="s">
        <v>34</v>
      </c>
      <c r="D228" s="85">
        <f>4.52/1000*1.04</f>
        <v>4.7007999999999998E-3</v>
      </c>
      <c r="E228" s="82"/>
      <c r="F228" s="83">
        <v>44100</v>
      </c>
      <c r="G228" s="84">
        <f>D228*E228</f>
        <v>0</v>
      </c>
      <c r="H228" s="84">
        <f>D228*F228</f>
        <v>207.30527999999998</v>
      </c>
      <c r="I228" s="84">
        <f>G228+H228</f>
        <v>207.30527999999998</v>
      </c>
    </row>
    <row r="229" spans="1:10" x14ac:dyDescent="0.3">
      <c r="A229" s="106" t="s">
        <v>248</v>
      </c>
      <c r="B229" s="90" t="s">
        <v>228</v>
      </c>
      <c r="C229" s="36" t="s">
        <v>11</v>
      </c>
      <c r="D229" s="81">
        <v>2</v>
      </c>
      <c r="E229" s="82"/>
      <c r="F229" s="83">
        <v>27.96</v>
      </c>
      <c r="G229" s="84">
        <f>D229*E229</f>
        <v>0</v>
      </c>
      <c r="H229" s="84">
        <f>D229*F229</f>
        <v>55.92</v>
      </c>
      <c r="I229" s="84">
        <f>G229+H229</f>
        <v>55.92</v>
      </c>
      <c r="J229" s="86"/>
    </row>
    <row r="230" spans="1:10" x14ac:dyDescent="0.3">
      <c r="A230" s="106" t="s">
        <v>249</v>
      </c>
      <c r="B230" s="90" t="s">
        <v>229</v>
      </c>
      <c r="C230" s="36" t="s">
        <v>34</v>
      </c>
      <c r="D230" s="36">
        <v>2.5</v>
      </c>
      <c r="E230" s="82">
        <v>25000</v>
      </c>
      <c r="F230" s="83">
        <v>45000</v>
      </c>
      <c r="G230" s="84">
        <f>D230*E230</f>
        <v>62500</v>
      </c>
      <c r="H230" s="84">
        <f>D230*F230</f>
        <v>112500</v>
      </c>
      <c r="I230" s="84">
        <f>G230+H230</f>
        <v>175000</v>
      </c>
    </row>
    <row r="231" spans="1:10" x14ac:dyDescent="0.3">
      <c r="A231" s="14" t="s">
        <v>222</v>
      </c>
      <c r="B231" s="15" t="s">
        <v>244</v>
      </c>
      <c r="C231" s="87"/>
      <c r="D231" s="88"/>
      <c r="E231" s="30"/>
      <c r="F231" s="30"/>
      <c r="G231" s="30"/>
      <c r="H231" s="30"/>
      <c r="I231" s="30"/>
    </row>
    <row r="232" spans="1:10" s="19" customFormat="1" ht="28.8" x14ac:dyDescent="0.3">
      <c r="A232" s="20" t="s">
        <v>230</v>
      </c>
      <c r="B232" s="31" t="s">
        <v>231</v>
      </c>
      <c r="C232" s="32" t="s">
        <v>21</v>
      </c>
      <c r="D232" s="29">
        <f>SUM(D233,D239)</f>
        <v>28.280999999999999</v>
      </c>
      <c r="E232" s="34"/>
      <c r="F232" s="34"/>
      <c r="G232" s="34">
        <f>D232*E232</f>
        <v>0</v>
      </c>
      <c r="H232" s="34">
        <f>D232*F232</f>
        <v>0</v>
      </c>
      <c r="I232" s="34">
        <f>G232+H232</f>
        <v>0</v>
      </c>
    </row>
    <row r="233" spans="1:10" x14ac:dyDescent="0.3">
      <c r="A233" s="37" t="s">
        <v>224</v>
      </c>
      <c r="B233" s="67" t="s">
        <v>250</v>
      </c>
      <c r="C233" s="36" t="s">
        <v>21</v>
      </c>
      <c r="D233" s="60">
        <f>11.62*1.05</f>
        <v>12.201000000000001</v>
      </c>
      <c r="E233" s="22">
        <v>2700</v>
      </c>
      <c r="F233" s="22"/>
      <c r="G233" s="22">
        <f t="shared" ref="G233:G267" si="12">D233*E233</f>
        <v>32942.700000000004</v>
      </c>
      <c r="H233" s="22">
        <f t="shared" ref="H233:H267" si="13">D233*F233</f>
        <v>0</v>
      </c>
      <c r="I233" s="22">
        <f t="shared" ref="I233:I267" si="14">G233+H233</f>
        <v>32942.700000000004</v>
      </c>
    </row>
    <row r="234" spans="1:10" x14ac:dyDescent="0.3">
      <c r="A234" s="37"/>
      <c r="B234" s="90" t="s">
        <v>232</v>
      </c>
      <c r="C234" s="36" t="s">
        <v>21</v>
      </c>
      <c r="D234" s="60">
        <f>11.62*1.05</f>
        <v>12.201000000000001</v>
      </c>
      <c r="E234" s="22"/>
      <c r="F234" s="22">
        <v>5450</v>
      </c>
      <c r="G234" s="22"/>
      <c r="H234" s="22">
        <f t="shared" si="13"/>
        <v>66495.45</v>
      </c>
      <c r="I234" s="22">
        <f t="shared" si="14"/>
        <v>66495.45</v>
      </c>
    </row>
    <row r="235" spans="1:10" x14ac:dyDescent="0.3">
      <c r="A235" s="37"/>
      <c r="B235" s="100" t="s">
        <v>32</v>
      </c>
      <c r="C235" s="36"/>
      <c r="D235" s="60"/>
      <c r="E235" s="22"/>
      <c r="F235" s="22"/>
      <c r="G235" s="22"/>
      <c r="H235" s="22"/>
      <c r="I235" s="22"/>
    </row>
    <row r="236" spans="1:10" x14ac:dyDescent="0.3">
      <c r="A236" s="37"/>
      <c r="B236" s="90" t="s">
        <v>135</v>
      </c>
      <c r="C236" s="36" t="s">
        <v>34</v>
      </c>
      <c r="D236" s="21">
        <f>1231.68/1000*1.04</f>
        <v>1.2809472000000002</v>
      </c>
      <c r="E236" s="61"/>
      <c r="F236" s="22">
        <v>34400</v>
      </c>
      <c r="G236" s="22">
        <f t="shared" si="12"/>
        <v>0</v>
      </c>
      <c r="H236" s="22">
        <f t="shared" si="13"/>
        <v>44064.583680000003</v>
      </c>
      <c r="I236" s="22">
        <f t="shared" si="14"/>
        <v>44064.583680000003</v>
      </c>
    </row>
    <row r="237" spans="1:10" x14ac:dyDescent="0.3">
      <c r="A237" s="37"/>
      <c r="B237" s="90" t="s">
        <v>152</v>
      </c>
      <c r="C237" s="36" t="s">
        <v>34</v>
      </c>
      <c r="D237" s="21">
        <f>30.51/1000*1.04</f>
        <v>3.1730400000000006E-2</v>
      </c>
      <c r="E237" s="61"/>
      <c r="F237" s="22">
        <v>40000</v>
      </c>
      <c r="G237" s="22">
        <f t="shared" si="12"/>
        <v>0</v>
      </c>
      <c r="H237" s="22">
        <f t="shared" si="13"/>
        <v>1269.2160000000001</v>
      </c>
      <c r="I237" s="22">
        <f t="shared" si="14"/>
        <v>1269.2160000000001</v>
      </c>
    </row>
    <row r="238" spans="1:10" ht="15.65" x14ac:dyDescent="0.3">
      <c r="A238" s="51"/>
      <c r="B238" s="90" t="s">
        <v>44</v>
      </c>
      <c r="C238" s="36" t="s">
        <v>34</v>
      </c>
      <c r="D238" s="21">
        <f>0.02*D235</f>
        <v>0</v>
      </c>
      <c r="E238" s="22"/>
      <c r="F238" s="22">
        <v>53104</v>
      </c>
      <c r="G238" s="22">
        <f t="shared" si="12"/>
        <v>0</v>
      </c>
      <c r="H238" s="22">
        <f t="shared" si="13"/>
        <v>0</v>
      </c>
      <c r="I238" s="22">
        <f t="shared" si="14"/>
        <v>0</v>
      </c>
    </row>
    <row r="239" spans="1:10" x14ac:dyDescent="0.3">
      <c r="A239" s="37" t="s">
        <v>226</v>
      </c>
      <c r="B239" s="59" t="s">
        <v>254</v>
      </c>
      <c r="C239" s="36" t="s">
        <v>21</v>
      </c>
      <c r="D239" s="60">
        <f>11.69+4.39</f>
        <v>16.079999999999998</v>
      </c>
      <c r="E239" s="22"/>
      <c r="F239" s="22"/>
      <c r="G239" s="22">
        <f t="shared" si="12"/>
        <v>0</v>
      </c>
      <c r="H239" s="22">
        <f t="shared" si="13"/>
        <v>0</v>
      </c>
      <c r="I239" s="22">
        <f t="shared" si="14"/>
        <v>0</v>
      </c>
    </row>
    <row r="240" spans="1:10" x14ac:dyDescent="0.3">
      <c r="A240" s="37"/>
      <c r="B240" s="35" t="s">
        <v>252</v>
      </c>
      <c r="C240" s="36" t="s">
        <v>21</v>
      </c>
      <c r="D240" s="60">
        <f>11.69*1.05</f>
        <v>12.2745</v>
      </c>
      <c r="E240" s="22">
        <v>2700</v>
      </c>
      <c r="F240" s="22"/>
      <c r="G240" s="22">
        <f t="shared" ref="G240" si="15">D240*E240</f>
        <v>33141.15</v>
      </c>
      <c r="H240" s="22">
        <f t="shared" ref="H240" si="16">D240*F240</f>
        <v>0</v>
      </c>
      <c r="I240" s="22">
        <f t="shared" ref="I240" si="17">G240+H240</f>
        <v>33141.15</v>
      </c>
    </row>
    <row r="241" spans="1:9" x14ac:dyDescent="0.3">
      <c r="A241" s="37"/>
      <c r="B241" s="90" t="s">
        <v>232</v>
      </c>
      <c r="C241" s="36" t="s">
        <v>21</v>
      </c>
      <c r="D241" s="60">
        <f>11.69*1.05</f>
        <v>12.2745</v>
      </c>
      <c r="E241" s="22"/>
      <c r="F241" s="22">
        <v>5450</v>
      </c>
      <c r="G241" s="22">
        <f t="shared" si="12"/>
        <v>0</v>
      </c>
      <c r="H241" s="22">
        <f t="shared" si="13"/>
        <v>66896.024999999994</v>
      </c>
      <c r="I241" s="22">
        <f t="shared" si="14"/>
        <v>66896.024999999994</v>
      </c>
    </row>
    <row r="242" spans="1:9" x14ac:dyDescent="0.3">
      <c r="A242" s="37"/>
      <c r="B242" s="35" t="s">
        <v>253</v>
      </c>
      <c r="C242" s="36" t="s">
        <v>21</v>
      </c>
      <c r="D242" s="60">
        <f>4.39*1.05</f>
        <v>4.6094999999999997</v>
      </c>
      <c r="E242" s="22">
        <v>1200</v>
      </c>
      <c r="F242" s="22"/>
      <c r="G242" s="22">
        <f t="shared" si="12"/>
        <v>5531.4</v>
      </c>
      <c r="H242" s="22">
        <f t="shared" si="13"/>
        <v>0</v>
      </c>
      <c r="I242" s="22">
        <f t="shared" si="14"/>
        <v>5531.4</v>
      </c>
    </row>
    <row r="243" spans="1:9" x14ac:dyDescent="0.3">
      <c r="A243" s="37"/>
      <c r="B243" s="90" t="s">
        <v>233</v>
      </c>
      <c r="C243" s="36" t="s">
        <v>21</v>
      </c>
      <c r="D243" s="60">
        <f>4.39*1.05</f>
        <v>4.6094999999999997</v>
      </c>
      <c r="E243" s="22"/>
      <c r="F243" s="22">
        <v>4300</v>
      </c>
      <c r="G243" s="22">
        <f t="shared" si="12"/>
        <v>0</v>
      </c>
      <c r="H243" s="22">
        <f t="shared" si="13"/>
        <v>19820.849999999999</v>
      </c>
      <c r="I243" s="22">
        <f t="shared" si="14"/>
        <v>19820.849999999999</v>
      </c>
    </row>
    <row r="244" spans="1:9" x14ac:dyDescent="0.3">
      <c r="A244" s="37"/>
      <c r="B244" s="100" t="s">
        <v>32</v>
      </c>
      <c r="C244" s="36"/>
      <c r="D244" s="60"/>
      <c r="E244" s="22"/>
      <c r="F244" s="22"/>
      <c r="G244" s="22"/>
      <c r="H244" s="22"/>
      <c r="I244" s="22"/>
    </row>
    <row r="245" spans="1:9" x14ac:dyDescent="0.3">
      <c r="A245" s="37"/>
      <c r="B245" s="90" t="s">
        <v>135</v>
      </c>
      <c r="C245" s="36" t="s">
        <v>34</v>
      </c>
      <c r="D245" s="21">
        <f>1534.34/1000*1.04</f>
        <v>1.5957135999999998</v>
      </c>
      <c r="E245" s="61"/>
      <c r="F245" s="22">
        <v>34400</v>
      </c>
      <c r="G245" s="22">
        <f t="shared" si="12"/>
        <v>0</v>
      </c>
      <c r="H245" s="22">
        <f t="shared" si="13"/>
        <v>54892.547839999992</v>
      </c>
      <c r="I245" s="22">
        <f t="shared" si="14"/>
        <v>54892.547839999992</v>
      </c>
    </row>
    <row r="246" spans="1:9" x14ac:dyDescent="0.3">
      <c r="A246" s="37"/>
      <c r="B246" s="90" t="s">
        <v>234</v>
      </c>
      <c r="C246" s="36" t="s">
        <v>34</v>
      </c>
      <c r="D246" s="21">
        <f>37.62/1000*1.04</f>
        <v>3.9124800000000001E-2</v>
      </c>
      <c r="E246" s="61"/>
      <c r="F246" s="22">
        <v>40000</v>
      </c>
      <c r="G246" s="22">
        <f t="shared" si="12"/>
        <v>0</v>
      </c>
      <c r="H246" s="22">
        <f t="shared" si="13"/>
        <v>1564.992</v>
      </c>
      <c r="I246" s="22">
        <f t="shared" si="14"/>
        <v>1564.992</v>
      </c>
    </row>
    <row r="247" spans="1:9" ht="15.65" x14ac:dyDescent="0.3">
      <c r="A247" s="51"/>
      <c r="B247" s="90" t="s">
        <v>44</v>
      </c>
      <c r="C247" s="36" t="s">
        <v>34</v>
      </c>
      <c r="D247" s="21">
        <f>0.02*D244</f>
        <v>0</v>
      </c>
      <c r="E247" s="22"/>
      <c r="F247" s="22">
        <v>53104</v>
      </c>
      <c r="G247" s="22">
        <f t="shared" si="12"/>
        <v>0</v>
      </c>
      <c r="H247" s="22">
        <f t="shared" si="13"/>
        <v>0</v>
      </c>
      <c r="I247" s="22">
        <f t="shared" si="14"/>
        <v>0</v>
      </c>
    </row>
    <row r="248" spans="1:9" x14ac:dyDescent="0.3">
      <c r="A248" s="37"/>
      <c r="B248" s="90" t="s">
        <v>235</v>
      </c>
      <c r="C248" s="36" t="s">
        <v>21</v>
      </c>
      <c r="D248" s="21">
        <f>((1.05+0.78+1.13+0.84+0.84+1.12+3.69+1.43+0.9+1.06+1+0.84+1.16+4.715+1.065)*0.15*0.27)*1.05</f>
        <v>0.9193905</v>
      </c>
      <c r="E248" s="61"/>
      <c r="F248" s="22">
        <v>4200</v>
      </c>
      <c r="G248" s="22">
        <f t="shared" si="12"/>
        <v>0</v>
      </c>
      <c r="H248" s="22">
        <f t="shared" si="13"/>
        <v>3861.4400999999998</v>
      </c>
      <c r="I248" s="22">
        <f t="shared" si="14"/>
        <v>3861.4400999999998</v>
      </c>
    </row>
    <row r="249" spans="1:9" x14ac:dyDescent="0.3">
      <c r="A249" s="37"/>
      <c r="B249" s="90" t="s">
        <v>236</v>
      </c>
      <c r="C249" s="36" t="s">
        <v>47</v>
      </c>
      <c r="D249" s="21">
        <f>(2.2*1.82*14+2.4*1.82*10)</f>
        <v>99.736000000000018</v>
      </c>
      <c r="E249" s="61"/>
      <c r="F249" s="22">
        <v>209.96</v>
      </c>
      <c r="G249" s="22">
        <f t="shared" si="12"/>
        <v>0</v>
      </c>
      <c r="H249" s="22">
        <f t="shared" si="13"/>
        <v>20940.570560000004</v>
      </c>
      <c r="I249" s="22">
        <f t="shared" si="14"/>
        <v>20940.570560000004</v>
      </c>
    </row>
    <row r="250" spans="1:9" s="19" customFormat="1" x14ac:dyDescent="0.3">
      <c r="A250" s="20" t="s">
        <v>237</v>
      </c>
      <c r="B250" s="31" t="s">
        <v>238</v>
      </c>
      <c r="C250" s="32" t="s">
        <v>21</v>
      </c>
      <c r="D250" s="29">
        <f>SUM(D251,D257)</f>
        <v>2.9609999999999999</v>
      </c>
      <c r="E250" s="34"/>
      <c r="F250" s="34"/>
      <c r="G250" s="34">
        <f t="shared" si="12"/>
        <v>0</v>
      </c>
      <c r="H250" s="34">
        <f t="shared" si="13"/>
        <v>0</v>
      </c>
      <c r="I250" s="34">
        <f t="shared" si="14"/>
        <v>0</v>
      </c>
    </row>
    <row r="251" spans="1:9" x14ac:dyDescent="0.3">
      <c r="A251" s="37" t="s">
        <v>239</v>
      </c>
      <c r="B251" s="67" t="s">
        <v>251</v>
      </c>
      <c r="C251" s="36" t="s">
        <v>21</v>
      </c>
      <c r="D251" s="60">
        <f>2.82*1.05</f>
        <v>2.9609999999999999</v>
      </c>
      <c r="E251" s="22">
        <v>2700</v>
      </c>
      <c r="F251" s="22"/>
      <c r="G251" s="22">
        <f t="shared" si="12"/>
        <v>7994.7</v>
      </c>
      <c r="H251" s="22">
        <f t="shared" si="13"/>
        <v>0</v>
      </c>
      <c r="I251" s="22">
        <f t="shared" si="14"/>
        <v>7994.7</v>
      </c>
    </row>
    <row r="252" spans="1:9" x14ac:dyDescent="0.3">
      <c r="A252" s="37"/>
      <c r="B252" s="90" t="s">
        <v>232</v>
      </c>
      <c r="C252" s="36" t="s">
        <v>21</v>
      </c>
      <c r="D252" s="60">
        <f>2.82*1.05</f>
        <v>2.9609999999999999</v>
      </c>
      <c r="E252" s="22"/>
      <c r="F252" s="22">
        <v>5450</v>
      </c>
      <c r="G252" s="22">
        <f t="shared" si="12"/>
        <v>0</v>
      </c>
      <c r="H252" s="22">
        <f t="shared" si="13"/>
        <v>16137.449999999999</v>
      </c>
      <c r="I252" s="22">
        <f t="shared" si="14"/>
        <v>16137.449999999999</v>
      </c>
    </row>
    <row r="253" spans="1:9" x14ac:dyDescent="0.3">
      <c r="A253" s="37"/>
      <c r="B253" s="100" t="s">
        <v>32</v>
      </c>
      <c r="C253" s="36"/>
      <c r="D253" s="60"/>
      <c r="E253" s="22"/>
      <c r="F253" s="22"/>
      <c r="G253" s="22"/>
      <c r="H253" s="22"/>
      <c r="I253" s="22"/>
    </row>
    <row r="254" spans="1:9" x14ac:dyDescent="0.3">
      <c r="A254" s="37"/>
      <c r="B254" s="90" t="s">
        <v>135</v>
      </c>
      <c r="C254" s="36" t="s">
        <v>34</v>
      </c>
      <c r="D254" s="21">
        <f>389.22/1000*1.04</f>
        <v>0.4047888</v>
      </c>
      <c r="E254" s="61"/>
      <c r="F254" s="22">
        <v>34400</v>
      </c>
      <c r="G254" s="22">
        <f t="shared" si="12"/>
        <v>0</v>
      </c>
      <c r="H254" s="22">
        <f t="shared" si="13"/>
        <v>13924.73472</v>
      </c>
      <c r="I254" s="22">
        <f t="shared" si="14"/>
        <v>13924.73472</v>
      </c>
    </row>
    <row r="255" spans="1:9" x14ac:dyDescent="0.3">
      <c r="A255" s="37"/>
      <c r="B255" s="90" t="s">
        <v>152</v>
      </c>
      <c r="C255" s="36" t="s">
        <v>34</v>
      </c>
      <c r="D255" s="21">
        <f>10.14/1000*1.04</f>
        <v>1.05456E-2</v>
      </c>
      <c r="E255" s="61"/>
      <c r="F255" s="22">
        <v>40000</v>
      </c>
      <c r="G255" s="22">
        <f t="shared" si="12"/>
        <v>0</v>
      </c>
      <c r="H255" s="22">
        <f t="shared" si="13"/>
        <v>421.82400000000001</v>
      </c>
      <c r="I255" s="22">
        <f t="shared" si="14"/>
        <v>421.82400000000001</v>
      </c>
    </row>
    <row r="256" spans="1:9" ht="15.65" x14ac:dyDescent="0.3">
      <c r="A256" s="51"/>
      <c r="B256" s="90" t="s">
        <v>44</v>
      </c>
      <c r="C256" s="36" t="s">
        <v>34</v>
      </c>
      <c r="D256" s="21">
        <f>0.02*D253</f>
        <v>0</v>
      </c>
      <c r="E256" s="22"/>
      <c r="F256" s="22">
        <v>53104</v>
      </c>
      <c r="G256" s="22">
        <f t="shared" si="12"/>
        <v>0</v>
      </c>
      <c r="H256" s="22">
        <f t="shared" si="13"/>
        <v>0</v>
      </c>
      <c r="I256" s="22">
        <f t="shared" si="14"/>
        <v>0</v>
      </c>
    </row>
    <row r="257" spans="1:9" x14ac:dyDescent="0.3">
      <c r="A257" s="37" t="s">
        <v>240</v>
      </c>
      <c r="B257" s="107" t="s">
        <v>255</v>
      </c>
      <c r="C257" s="36"/>
      <c r="D257" s="60"/>
      <c r="E257" s="22"/>
      <c r="F257" s="22"/>
      <c r="G257" s="22"/>
      <c r="H257" s="22"/>
      <c r="I257" s="22"/>
    </row>
    <row r="258" spans="1:9" x14ac:dyDescent="0.3">
      <c r="A258" s="37"/>
      <c r="B258" s="108" t="s">
        <v>252</v>
      </c>
      <c r="C258" s="36" t="s">
        <v>21</v>
      </c>
      <c r="D258" s="60">
        <f>3.08*1.05</f>
        <v>3.2340000000000004</v>
      </c>
      <c r="E258" s="22">
        <v>2700</v>
      </c>
      <c r="F258" s="22"/>
      <c r="G258" s="22">
        <f t="shared" ref="G258" si="18">D258*E258</f>
        <v>8731.8000000000011</v>
      </c>
      <c r="H258" s="22">
        <f t="shared" ref="H258" si="19">D258*F258</f>
        <v>0</v>
      </c>
      <c r="I258" s="22">
        <f t="shared" ref="I258" si="20">G258+H258</f>
        <v>8731.8000000000011</v>
      </c>
    </row>
    <row r="259" spans="1:9" x14ac:dyDescent="0.3">
      <c r="A259" s="37"/>
      <c r="B259" s="109" t="s">
        <v>232</v>
      </c>
      <c r="C259" s="36" t="s">
        <v>21</v>
      </c>
      <c r="D259" s="60">
        <f>3.08*1.05</f>
        <v>3.2340000000000004</v>
      </c>
      <c r="E259" s="22"/>
      <c r="F259" s="22">
        <v>5450</v>
      </c>
      <c r="G259" s="22">
        <f t="shared" si="12"/>
        <v>0</v>
      </c>
      <c r="H259" s="22">
        <f t="shared" si="13"/>
        <v>17625.300000000003</v>
      </c>
      <c r="I259" s="22">
        <f t="shared" si="14"/>
        <v>17625.300000000003</v>
      </c>
    </row>
    <row r="260" spans="1:9" x14ac:dyDescent="0.3">
      <c r="A260" s="37"/>
      <c r="B260" s="35" t="s">
        <v>256</v>
      </c>
      <c r="C260" s="36" t="s">
        <v>21</v>
      </c>
      <c r="D260" s="60">
        <f>1.32*1.05</f>
        <v>1.3860000000000001</v>
      </c>
      <c r="E260" s="22">
        <v>1200</v>
      </c>
      <c r="F260" s="22"/>
      <c r="G260" s="22">
        <f t="shared" ref="G260" si="21">D260*E260</f>
        <v>1663.2</v>
      </c>
      <c r="H260" s="22">
        <f t="shared" ref="H260" si="22">D260*F260</f>
        <v>0</v>
      </c>
      <c r="I260" s="22">
        <f t="shared" ref="I260" si="23">G260+H260</f>
        <v>1663.2</v>
      </c>
    </row>
    <row r="261" spans="1:9" x14ac:dyDescent="0.3">
      <c r="A261" s="37"/>
      <c r="B261" s="109" t="s">
        <v>233</v>
      </c>
      <c r="C261" s="36" t="s">
        <v>21</v>
      </c>
      <c r="D261" s="60">
        <f>1.32*1.05</f>
        <v>1.3860000000000001</v>
      </c>
      <c r="E261" s="22"/>
      <c r="F261" s="22">
        <v>4300</v>
      </c>
      <c r="G261" s="22">
        <f t="shared" si="12"/>
        <v>0</v>
      </c>
      <c r="H261" s="22">
        <f t="shared" si="13"/>
        <v>5959.8</v>
      </c>
      <c r="I261" s="22">
        <f t="shared" si="14"/>
        <v>5959.8</v>
      </c>
    </row>
    <row r="262" spans="1:9" x14ac:dyDescent="0.3">
      <c r="A262" s="37"/>
      <c r="B262" s="100" t="s">
        <v>32</v>
      </c>
      <c r="C262" s="36"/>
      <c r="D262" s="60"/>
      <c r="E262" s="22"/>
      <c r="F262" s="22"/>
      <c r="G262" s="22"/>
      <c r="H262" s="22"/>
      <c r="I262" s="22"/>
    </row>
    <row r="263" spans="1:9" x14ac:dyDescent="0.3">
      <c r="A263" s="37"/>
      <c r="B263" s="90" t="s">
        <v>135</v>
      </c>
      <c r="C263" s="36" t="s">
        <v>34</v>
      </c>
      <c r="D263" s="21">
        <f>370.34/1000*1.04</f>
        <v>0.38515360000000004</v>
      </c>
      <c r="E263" s="61"/>
      <c r="F263" s="22">
        <v>34400</v>
      </c>
      <c r="G263" s="22">
        <f t="shared" si="12"/>
        <v>0</v>
      </c>
      <c r="H263" s="22">
        <f t="shared" si="13"/>
        <v>13249.283840000002</v>
      </c>
      <c r="I263" s="22">
        <f t="shared" si="14"/>
        <v>13249.283840000002</v>
      </c>
    </row>
    <row r="264" spans="1:9" x14ac:dyDescent="0.3">
      <c r="A264" s="37"/>
      <c r="B264" s="90" t="s">
        <v>241</v>
      </c>
      <c r="C264" s="36" t="s">
        <v>34</v>
      </c>
      <c r="D264" s="21">
        <f>10.48/1000*1.04</f>
        <v>1.08992E-2</v>
      </c>
      <c r="E264" s="61"/>
      <c r="F264" s="22">
        <v>40000</v>
      </c>
      <c r="G264" s="22">
        <f t="shared" si="12"/>
        <v>0</v>
      </c>
      <c r="H264" s="22">
        <f t="shared" si="13"/>
        <v>435.96799999999996</v>
      </c>
      <c r="I264" s="22">
        <f t="shared" si="14"/>
        <v>435.96799999999996</v>
      </c>
    </row>
    <row r="265" spans="1:9" ht="15.65" x14ac:dyDescent="0.3">
      <c r="A265" s="51"/>
      <c r="B265" s="90" t="s">
        <v>44</v>
      </c>
      <c r="C265" s="36" t="s">
        <v>34</v>
      </c>
      <c r="D265" s="21">
        <f>0.02*D262</f>
        <v>0</v>
      </c>
      <c r="E265" s="22"/>
      <c r="F265" s="22">
        <v>53104</v>
      </c>
      <c r="G265" s="22">
        <f t="shared" si="12"/>
        <v>0</v>
      </c>
      <c r="H265" s="22">
        <f t="shared" si="13"/>
        <v>0</v>
      </c>
      <c r="I265" s="22">
        <f t="shared" si="14"/>
        <v>0</v>
      </c>
    </row>
    <row r="266" spans="1:9" x14ac:dyDescent="0.3">
      <c r="A266" s="37"/>
      <c r="B266" s="90" t="s">
        <v>235</v>
      </c>
      <c r="C266" s="36" t="s">
        <v>21</v>
      </c>
      <c r="D266" s="21">
        <f>(3.31*0.15*0.27)*1.05</f>
        <v>0.14075775000000001</v>
      </c>
      <c r="E266" s="61"/>
      <c r="F266" s="22">
        <v>4200</v>
      </c>
      <c r="G266" s="22">
        <f t="shared" si="12"/>
        <v>0</v>
      </c>
      <c r="H266" s="22">
        <f t="shared" si="13"/>
        <v>591.18255000000011</v>
      </c>
      <c r="I266" s="22">
        <f t="shared" si="14"/>
        <v>591.18255000000011</v>
      </c>
    </row>
    <row r="267" spans="1:9" x14ac:dyDescent="0.3">
      <c r="A267" s="37"/>
      <c r="B267" s="90" t="s">
        <v>236</v>
      </c>
      <c r="C267" s="36" t="s">
        <v>47</v>
      </c>
      <c r="D267" s="21">
        <f>(2.2*2.6*4+2.4*2.6*2)</f>
        <v>35.36</v>
      </c>
      <c r="E267" s="61"/>
      <c r="F267" s="22">
        <v>209.96</v>
      </c>
      <c r="G267" s="22">
        <f t="shared" si="12"/>
        <v>0</v>
      </c>
      <c r="H267" s="22">
        <f t="shared" si="13"/>
        <v>7424.1855999999998</v>
      </c>
      <c r="I267" s="22">
        <f t="shared" si="14"/>
        <v>7424.1855999999998</v>
      </c>
    </row>
  </sheetData>
  <mergeCells count="9">
    <mergeCell ref="I1:I2"/>
    <mergeCell ref="J1:M1"/>
    <mergeCell ref="N1:O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pi@mstagency.ru</dc:creator>
  <cp:lastModifiedBy>pi@mstagency.ru</cp:lastModifiedBy>
  <dcterms:created xsi:type="dcterms:W3CDTF">2020-06-05T04:42:01Z</dcterms:created>
  <dcterms:modified xsi:type="dcterms:W3CDTF">2020-06-05T11:40:27Z</dcterms:modified>
</cp:coreProperties>
</file>