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iCO\CCM\"/>
    </mc:Choice>
  </mc:AlternateContent>
  <bookViews>
    <workbookView xWindow="0" yWindow="0" windowWidth="21400" windowHeight="7075" tabRatio="949" activeTab="3"/>
  </bookViews>
  <sheets>
    <sheet name="Удор" sheetId="31" r:id="rId1"/>
    <sheet name="Общая" sheetId="1" r:id="rId2"/>
    <sheet name="Общая себестоимость" sheetId="32" r:id="rId3"/>
    <sheet name="Р.1" sheetId="2" r:id="rId4"/>
    <sheet name="Р.2" sheetId="3" r:id="rId5"/>
    <sheet name="КЖ" sheetId="4" r:id="rId6"/>
    <sheet name="АС" sheetId="20" r:id="rId7"/>
    <sheet name="СФТК-Weber" sheetId="26" r:id="rId8"/>
    <sheet name="НВФ" sheetId="30" r:id="rId9"/>
    <sheet name="АР-Неправильно" sheetId="6" r:id="rId10"/>
    <sheet name="Двери" sheetId="24" r:id="rId11"/>
    <sheet name="Кровля" sheetId="7" r:id="rId12"/>
    <sheet name="Отделка" sheetId="29" r:id="rId13"/>
    <sheet name="Разные работы" sheetId="17" r:id="rId14"/>
    <sheet name="В" sheetId="28" r:id="rId15"/>
    <sheet name="К" sheetId="27" r:id="rId16"/>
    <sheet name="Лифты" sheetId="21" r:id="rId17"/>
    <sheet name="От" sheetId="22" r:id="rId18"/>
    <sheet name="Вт" sheetId="8" r:id="rId19"/>
    <sheet name="Сводная Сафин" sheetId="12" r:id="rId20"/>
    <sheet name="ВГ" sheetId="23" r:id="rId21"/>
    <sheet name="ЭОМ" sheetId="13" r:id="rId22"/>
    <sheet name="СС" sheetId="14" r:id="rId23"/>
    <sheet name="ОС" sheetId="15" r:id="rId24"/>
    <sheet name="АК" sheetId="16" r:id="rId25"/>
    <sheet name="КБ" sheetId="18" r:id="rId26"/>
    <sheet name="СФТК-Ceresit" sheetId="25" r:id="rId27"/>
  </sheets>
  <externalReferences>
    <externalReference r:id="rId28"/>
    <externalReference r:id="rId29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73" i="32" l="1"/>
  <c r="F1764" i="32"/>
  <c r="H1764" i="32" s="1"/>
  <c r="I1764" i="32" s="1"/>
  <c r="H1763" i="32"/>
  <c r="I1763" i="32" s="1"/>
  <c r="D1763" i="32"/>
  <c r="F1763" i="32"/>
  <c r="D1747" i="32"/>
  <c r="D846" i="32"/>
  <c r="D583" i="32"/>
  <c r="D555" i="32"/>
  <c r="D502" i="32"/>
  <c r="D499" i="32"/>
  <c r="D436" i="32"/>
  <c r="D363" i="32"/>
  <c r="D276" i="32"/>
  <c r="F1770" i="32"/>
  <c r="H1770" i="32" s="1"/>
  <c r="I1770" i="32" s="1"/>
  <c r="G1765" i="32"/>
  <c r="H1767" i="32"/>
  <c r="I1767" i="32" s="1"/>
  <c r="H1768" i="32"/>
  <c r="I1768" i="32" s="1"/>
  <c r="H1769" i="32"/>
  <c r="I1769" i="32" s="1"/>
  <c r="H1766" i="32"/>
  <c r="F1769" i="32"/>
  <c r="F1768" i="32"/>
  <c r="F1767" i="32"/>
  <c r="F1766" i="32"/>
  <c r="H1762" i="32"/>
  <c r="I1762" i="32" s="1"/>
  <c r="G1760" i="32"/>
  <c r="H1761" i="32"/>
  <c r="I1761" i="32" s="1"/>
  <c r="F1762" i="32"/>
  <c r="F1761" i="32"/>
  <c r="H1760" i="32" l="1"/>
  <c r="H1765" i="32"/>
  <c r="I1766" i="32"/>
  <c r="I1765" i="32" s="1"/>
  <c r="I1760" i="32"/>
  <c r="I4" i="18"/>
  <c r="G1759" i="32"/>
  <c r="F1759" i="32"/>
  <c r="H1759" i="32" s="1"/>
  <c r="H1758" i="32"/>
  <c r="G1758" i="32"/>
  <c r="H1757" i="32"/>
  <c r="E1757" i="32"/>
  <c r="G1757" i="32" s="1"/>
  <c r="H1755" i="32"/>
  <c r="I1755" i="32" s="1"/>
  <c r="H1754" i="32"/>
  <c r="G1754" i="32"/>
  <c r="H1753" i="32"/>
  <c r="G1753" i="32"/>
  <c r="H1752" i="32"/>
  <c r="G1752" i="32"/>
  <c r="H1751" i="32"/>
  <c r="G1751" i="32"/>
  <c r="H1749" i="32"/>
  <c r="G1749" i="32"/>
  <c r="F20" i="14"/>
  <c r="G1582" i="32"/>
  <c r="H1699" i="32"/>
  <c r="H1676" i="32"/>
  <c r="H1675" i="32"/>
  <c r="H1674" i="32"/>
  <c r="H1673" i="32"/>
  <c r="H1671" i="32"/>
  <c r="H1670" i="32"/>
  <c r="H1669" i="32"/>
  <c r="H1668" i="32"/>
  <c r="H1667" i="32"/>
  <c r="H1666" i="32"/>
  <c r="H1665" i="32"/>
  <c r="H1664" i="32"/>
  <c r="H1663" i="32"/>
  <c r="H1662" i="32"/>
  <c r="H1661" i="32"/>
  <c r="H1586" i="32"/>
  <c r="H1657" i="32"/>
  <c r="H1656" i="32"/>
  <c r="H1655" i="32"/>
  <c r="H1654" i="32"/>
  <c r="H1653" i="32"/>
  <c r="H1652" i="32"/>
  <c r="H1651" i="32"/>
  <c r="H1650" i="32"/>
  <c r="H1649" i="32"/>
  <c r="H1648" i="32"/>
  <c r="H1644" i="32"/>
  <c r="H1643" i="32"/>
  <c r="H1642" i="32"/>
  <c r="H1641" i="32"/>
  <c r="H1640" i="32"/>
  <c r="H1639" i="32"/>
  <c r="H1638" i="32"/>
  <c r="H1637" i="32"/>
  <c r="H1636" i="32"/>
  <c r="H1635" i="32"/>
  <c r="H1634" i="32"/>
  <c r="H1633" i="32"/>
  <c r="H1632" i="32"/>
  <c r="H1631" i="32"/>
  <c r="H1630" i="32"/>
  <c r="H1629" i="32"/>
  <c r="H1628" i="32"/>
  <c r="H1627" i="32"/>
  <c r="H1626" i="32"/>
  <c r="H1625" i="32"/>
  <c r="H1624" i="32"/>
  <c r="H1623" i="32"/>
  <c r="H1622" i="32"/>
  <c r="H1621" i="32"/>
  <c r="H1620" i="32"/>
  <c r="H1619" i="32"/>
  <c r="H1618" i="32"/>
  <c r="H1617" i="32"/>
  <c r="H1616" i="32"/>
  <c r="H1615" i="32"/>
  <c r="H1614" i="32"/>
  <c r="H1613" i="32"/>
  <c r="H1612" i="32"/>
  <c r="H1611" i="32"/>
  <c r="H1610" i="32"/>
  <c r="H1609" i="32"/>
  <c r="H1608" i="32"/>
  <c r="H1607" i="32"/>
  <c r="H1606" i="32"/>
  <c r="H1605" i="32"/>
  <c r="H1604" i="32"/>
  <c r="H1603" i="32"/>
  <c r="H1602" i="32"/>
  <c r="H1601" i="32"/>
  <c r="H1600" i="32"/>
  <c r="H1599" i="32"/>
  <c r="H1598" i="32"/>
  <c r="H1597" i="32"/>
  <c r="H1596" i="32"/>
  <c r="H1595" i="32"/>
  <c r="H1594" i="32"/>
  <c r="H1593" i="32"/>
  <c r="H1592" i="32"/>
  <c r="H1591" i="32"/>
  <c r="H1590" i="32"/>
  <c r="H1589" i="32"/>
  <c r="H1588" i="32"/>
  <c r="H1587" i="32"/>
  <c r="H1585" i="32"/>
  <c r="H1584" i="32"/>
  <c r="H1579" i="32"/>
  <c r="G1579" i="32"/>
  <c r="H1578" i="32"/>
  <c r="G1578" i="32"/>
  <c r="H1577" i="32"/>
  <c r="G1577" i="32"/>
  <c r="H1576" i="32"/>
  <c r="G1576" i="32"/>
  <c r="H1575" i="32"/>
  <c r="G1575" i="32"/>
  <c r="H1574" i="32"/>
  <c r="G1574" i="32"/>
  <c r="H1573" i="32"/>
  <c r="G1573" i="32"/>
  <c r="H1572" i="32"/>
  <c r="G1572" i="32"/>
  <c r="H1571" i="32"/>
  <c r="G1571" i="32"/>
  <c r="H1570" i="32"/>
  <c r="G1570" i="32"/>
  <c r="H1569" i="32"/>
  <c r="G1569" i="32"/>
  <c r="H1568" i="32"/>
  <c r="G1568" i="32"/>
  <c r="H1567" i="32"/>
  <c r="G1567" i="32"/>
  <c r="H1566" i="32"/>
  <c r="G1566" i="32"/>
  <c r="H1565" i="32"/>
  <c r="G1565" i="32"/>
  <c r="G1557" i="32"/>
  <c r="I1557" i="32" s="1"/>
  <c r="G1556" i="32"/>
  <c r="I1556" i="32" s="1"/>
  <c r="G1555" i="32"/>
  <c r="I1555" i="32" s="1"/>
  <c r="G1554" i="32"/>
  <c r="I1554" i="32" s="1"/>
  <c r="G1553" i="32"/>
  <c r="I1553" i="32" s="1"/>
  <c r="G1552" i="32"/>
  <c r="I1552" i="32" s="1"/>
  <c r="G1551" i="32"/>
  <c r="I1551" i="32" s="1"/>
  <c r="G1550" i="32"/>
  <c r="I1550" i="32" s="1"/>
  <c r="G1549" i="32"/>
  <c r="I1549" i="32" s="1"/>
  <c r="G1548" i="32"/>
  <c r="I1548" i="32" s="1"/>
  <c r="G1547" i="32"/>
  <c r="I1547" i="32" s="1"/>
  <c r="G1546" i="32"/>
  <c r="I1546" i="32" s="1"/>
  <c r="G1545" i="32"/>
  <c r="I1545" i="32" s="1"/>
  <c r="H1544" i="32"/>
  <c r="G1544" i="32"/>
  <c r="H1543" i="32"/>
  <c r="G1543" i="32"/>
  <c r="H1542" i="32"/>
  <c r="G1542" i="32"/>
  <c r="H1541" i="32"/>
  <c r="G1541" i="32"/>
  <c r="H1540" i="32"/>
  <c r="G1540" i="32"/>
  <c r="H1539" i="32"/>
  <c r="G1539" i="32"/>
  <c r="H1538" i="32"/>
  <c r="G1538" i="32"/>
  <c r="H1537" i="32"/>
  <c r="G1537" i="32"/>
  <c r="H1536" i="32"/>
  <c r="G1536" i="32"/>
  <c r="H1535" i="32"/>
  <c r="G1535" i="32"/>
  <c r="H1534" i="32"/>
  <c r="G1534" i="32"/>
  <c r="H1533" i="32"/>
  <c r="G1533" i="32"/>
  <c r="H1532" i="32"/>
  <c r="G1532" i="32"/>
  <c r="H1531" i="32"/>
  <c r="G1531" i="32"/>
  <c r="H1530" i="32"/>
  <c r="G1530" i="32"/>
  <c r="H1529" i="32"/>
  <c r="G1529" i="32"/>
  <c r="H1528" i="32"/>
  <c r="G1528" i="32"/>
  <c r="H1527" i="32"/>
  <c r="G1527" i="32"/>
  <c r="H1526" i="32"/>
  <c r="G1526" i="32"/>
  <c r="H1525" i="32"/>
  <c r="G1525" i="32"/>
  <c r="H1524" i="32"/>
  <c r="G1524" i="32"/>
  <c r="H1523" i="32"/>
  <c r="G1523" i="32"/>
  <c r="H1522" i="32"/>
  <c r="G1522" i="32"/>
  <c r="H1521" i="32"/>
  <c r="G1521" i="32"/>
  <c r="H1520" i="32"/>
  <c r="G1520" i="32"/>
  <c r="H1519" i="32"/>
  <c r="G1519" i="32"/>
  <c r="H1518" i="32"/>
  <c r="G1518" i="32"/>
  <c r="H1517" i="32"/>
  <c r="G1517" i="32"/>
  <c r="H1516" i="32"/>
  <c r="G1516" i="32"/>
  <c r="H1515" i="32"/>
  <c r="G1515" i="32"/>
  <c r="H1514" i="32"/>
  <c r="G1514" i="32"/>
  <c r="H1513" i="32"/>
  <c r="G1513" i="32"/>
  <c r="H1512" i="32"/>
  <c r="G1512" i="32"/>
  <c r="H1511" i="32"/>
  <c r="G1511" i="32"/>
  <c r="H1510" i="32"/>
  <c r="G1510" i="32"/>
  <c r="H1509" i="32"/>
  <c r="G1509" i="32"/>
  <c r="H1508" i="32"/>
  <c r="G1508" i="32"/>
  <c r="H1507" i="32"/>
  <c r="G1507" i="32"/>
  <c r="H1506" i="32"/>
  <c r="F1506" i="32"/>
  <c r="G1506" i="32" s="1"/>
  <c r="H1505" i="32"/>
  <c r="G1505" i="32"/>
  <c r="H1504" i="32"/>
  <c r="G1504" i="32"/>
  <c r="H1503" i="32"/>
  <c r="G1503" i="32"/>
  <c r="H1502" i="32"/>
  <c r="G1502" i="32"/>
  <c r="H1501" i="32"/>
  <c r="G1501" i="32"/>
  <c r="H1500" i="32"/>
  <c r="G1500" i="32"/>
  <c r="H1499" i="32"/>
  <c r="G1499" i="32"/>
  <c r="H1498" i="32"/>
  <c r="G1498" i="32"/>
  <c r="H1497" i="32"/>
  <c r="G1497" i="32"/>
  <c r="H1496" i="32"/>
  <c r="G1496" i="32"/>
  <c r="H1495" i="32"/>
  <c r="G1495" i="32"/>
  <c r="H1494" i="32"/>
  <c r="G1494" i="32"/>
  <c r="H1493" i="32"/>
  <c r="G1493" i="32"/>
  <c r="H1492" i="32"/>
  <c r="G1492" i="32"/>
  <c r="H1491" i="32"/>
  <c r="G1491" i="32"/>
  <c r="H1490" i="32"/>
  <c r="G1490" i="32"/>
  <c r="H1489" i="32"/>
  <c r="G1489" i="32"/>
  <c r="H1488" i="32"/>
  <c r="G1488" i="32"/>
  <c r="H1487" i="32"/>
  <c r="G1487" i="32"/>
  <c r="H1486" i="32"/>
  <c r="G1486" i="32"/>
  <c r="H1485" i="32"/>
  <c r="G1485" i="32"/>
  <c r="H1484" i="32"/>
  <c r="G1484" i="32"/>
  <c r="H1483" i="32"/>
  <c r="G1483" i="32"/>
  <c r="H1482" i="32"/>
  <c r="G1482" i="32"/>
  <c r="H1478" i="32"/>
  <c r="H1477" i="32" s="1"/>
  <c r="G1478" i="32"/>
  <c r="G1477" i="32"/>
  <c r="H1476" i="32"/>
  <c r="G1476" i="32"/>
  <c r="H1475" i="32"/>
  <c r="G1475" i="32"/>
  <c r="H1474" i="32"/>
  <c r="G1474" i="32"/>
  <c r="H1473" i="32"/>
  <c r="G1473" i="32"/>
  <c r="H1472" i="32"/>
  <c r="G1472" i="32"/>
  <c r="H1471" i="32"/>
  <c r="G1471" i="32"/>
  <c r="H1470" i="32"/>
  <c r="G1470" i="32"/>
  <c r="D1469" i="32"/>
  <c r="H1468" i="32"/>
  <c r="G1468" i="32"/>
  <c r="G1467" i="32"/>
  <c r="H1466" i="32"/>
  <c r="H1465" i="32" s="1"/>
  <c r="G1466" i="32"/>
  <c r="G1465" i="32"/>
  <c r="H1464" i="32"/>
  <c r="G1464" i="32"/>
  <c r="D1463" i="32"/>
  <c r="G1463" i="32" s="1"/>
  <c r="H1462" i="32"/>
  <c r="G1462" i="32"/>
  <c r="D1461" i="32"/>
  <c r="H1461" i="32" s="1"/>
  <c r="H1460" i="32"/>
  <c r="G1460" i="32"/>
  <c r="H1459" i="32"/>
  <c r="G1459" i="32"/>
  <c r="H1458" i="32"/>
  <c r="G1458" i="32"/>
  <c r="H1457" i="32"/>
  <c r="G1457" i="32"/>
  <c r="H1455" i="32"/>
  <c r="H1454" i="32" s="1"/>
  <c r="G1455" i="32"/>
  <c r="G1454" i="32"/>
  <c r="H1453" i="32"/>
  <c r="G1453" i="32"/>
  <c r="H1452" i="32"/>
  <c r="G1452" i="32"/>
  <c r="D1451" i="32"/>
  <c r="G1451" i="32" s="1"/>
  <c r="H1450" i="32"/>
  <c r="H1449" i="32" s="1"/>
  <c r="G1450" i="32"/>
  <c r="G1449" i="32"/>
  <c r="H1448" i="32"/>
  <c r="G1448" i="32"/>
  <c r="H1447" i="32"/>
  <c r="G1447" i="32"/>
  <c r="G1446" i="32"/>
  <c r="H1445" i="32"/>
  <c r="G1445" i="32"/>
  <c r="H1444" i="32"/>
  <c r="G1444" i="32"/>
  <c r="H1443" i="32"/>
  <c r="G1443" i="32"/>
  <c r="H1442" i="32"/>
  <c r="G1442" i="32"/>
  <c r="H1441" i="32"/>
  <c r="G1441" i="32"/>
  <c r="G1440" i="32"/>
  <c r="H1439" i="32"/>
  <c r="I1439" i="32" s="1"/>
  <c r="H1438" i="32"/>
  <c r="I1438" i="32" s="1"/>
  <c r="H1437" i="32"/>
  <c r="G1437" i="32"/>
  <c r="H1436" i="32"/>
  <c r="G1436" i="32"/>
  <c r="G1435" i="32"/>
  <c r="H1434" i="32"/>
  <c r="G1434" i="32"/>
  <c r="H1433" i="32"/>
  <c r="G1433" i="32"/>
  <c r="H1432" i="32"/>
  <c r="G1432" i="32"/>
  <c r="H1431" i="32"/>
  <c r="G1431" i="32"/>
  <c r="H1430" i="32"/>
  <c r="G1430" i="32"/>
  <c r="H1429" i="32"/>
  <c r="G1429" i="32"/>
  <c r="H1428" i="32"/>
  <c r="G1428" i="32"/>
  <c r="H1427" i="32"/>
  <c r="G1427" i="32"/>
  <c r="H1426" i="32"/>
  <c r="G1426" i="32"/>
  <c r="H1425" i="32"/>
  <c r="G1425" i="32"/>
  <c r="H1424" i="32"/>
  <c r="G1424" i="32"/>
  <c r="H1423" i="32"/>
  <c r="G1423" i="32"/>
  <c r="H1422" i="32"/>
  <c r="G1422" i="32"/>
  <c r="H1421" i="32"/>
  <c r="G1421" i="32"/>
  <c r="H1420" i="32"/>
  <c r="G1420" i="32"/>
  <c r="H1419" i="32"/>
  <c r="G1419" i="32"/>
  <c r="H1418" i="32"/>
  <c r="G1418" i="32"/>
  <c r="H1417" i="32"/>
  <c r="G1417" i="32"/>
  <c r="H1416" i="32"/>
  <c r="G1416" i="32"/>
  <c r="H1415" i="32"/>
  <c r="G1415" i="32"/>
  <c r="H1414" i="32"/>
  <c r="G1414" i="32"/>
  <c r="H1413" i="32"/>
  <c r="G1413" i="32"/>
  <c r="D1412" i="32"/>
  <c r="H1411" i="32"/>
  <c r="G1411" i="32"/>
  <c r="H1410" i="32"/>
  <c r="G1410" i="32"/>
  <c r="D1409" i="32"/>
  <c r="G1409" i="32" s="1"/>
  <c r="H1408" i="32"/>
  <c r="G1408" i="32"/>
  <c r="H1407" i="32"/>
  <c r="G1407" i="32"/>
  <c r="H1406" i="32"/>
  <c r="G1406" i="32"/>
  <c r="H1405" i="32"/>
  <c r="G1405" i="32"/>
  <c r="H1404" i="32"/>
  <c r="G1404" i="32"/>
  <c r="H1403" i="32"/>
  <c r="G1403" i="32"/>
  <c r="H1402" i="32"/>
  <c r="G1402" i="32"/>
  <c r="H1401" i="32"/>
  <c r="G1401" i="32"/>
  <c r="H1400" i="32"/>
  <c r="G1400" i="32"/>
  <c r="H1399" i="32"/>
  <c r="G1399" i="32"/>
  <c r="D1398" i="32"/>
  <c r="H1397" i="32"/>
  <c r="G1397" i="32"/>
  <c r="H1396" i="32"/>
  <c r="G1396" i="32"/>
  <c r="H1395" i="32"/>
  <c r="G1395" i="32"/>
  <c r="H1394" i="32"/>
  <c r="G1394" i="32"/>
  <c r="H1393" i="32"/>
  <c r="G1393" i="32"/>
  <c r="H1392" i="32"/>
  <c r="G1392" i="32"/>
  <c r="H1391" i="32"/>
  <c r="G1391" i="32"/>
  <c r="H1390" i="32"/>
  <c r="G1390" i="32"/>
  <c r="H1387" i="32"/>
  <c r="G1387" i="32"/>
  <c r="H1386" i="32"/>
  <c r="G1386" i="32"/>
  <c r="H1385" i="32"/>
  <c r="G1385" i="32"/>
  <c r="H1384" i="32"/>
  <c r="G1384" i="32"/>
  <c r="H1383" i="32"/>
  <c r="G1383" i="32"/>
  <c r="H1382" i="32"/>
  <c r="G1382" i="32"/>
  <c r="H1380" i="32"/>
  <c r="G1380" i="32"/>
  <c r="H1379" i="32"/>
  <c r="G1379" i="32"/>
  <c r="H1378" i="32"/>
  <c r="G1378" i="32"/>
  <c r="H1377" i="32"/>
  <c r="G1377" i="32"/>
  <c r="H1376" i="32"/>
  <c r="G1376" i="32"/>
  <c r="H1375" i="32"/>
  <c r="G1375" i="32"/>
  <c r="H1374" i="32"/>
  <c r="G1374" i="32"/>
  <c r="H1373" i="32"/>
  <c r="G1373" i="32"/>
  <c r="H1372" i="32"/>
  <c r="G1372" i="32"/>
  <c r="H1371" i="32"/>
  <c r="G1371" i="32"/>
  <c r="H1370" i="32"/>
  <c r="G1370" i="32"/>
  <c r="H1369" i="32"/>
  <c r="G1369" i="32"/>
  <c r="H1368" i="32"/>
  <c r="G1368" i="32"/>
  <c r="H1367" i="32"/>
  <c r="G1367" i="32"/>
  <c r="H1366" i="32"/>
  <c r="G1366" i="32"/>
  <c r="H1365" i="32"/>
  <c r="G1365" i="32"/>
  <c r="H1364" i="32"/>
  <c r="G1364" i="32"/>
  <c r="H1363" i="32"/>
  <c r="G1363" i="32"/>
  <c r="H1362" i="32"/>
  <c r="G1362" i="32"/>
  <c r="H1361" i="32"/>
  <c r="G1361" i="32"/>
  <c r="H1360" i="32"/>
  <c r="G1360" i="32"/>
  <c r="H1359" i="32"/>
  <c r="G1359" i="32"/>
  <c r="H1358" i="32"/>
  <c r="G1358" i="32"/>
  <c r="H1357" i="32"/>
  <c r="G1357" i="32"/>
  <c r="H1356" i="32"/>
  <c r="G1356" i="32"/>
  <c r="H1355" i="32"/>
  <c r="G1355" i="32"/>
  <c r="H1354" i="32"/>
  <c r="G1354" i="32"/>
  <c r="H1353" i="32"/>
  <c r="G1353" i="32"/>
  <c r="H1351" i="32"/>
  <c r="G1351" i="32"/>
  <c r="H1350" i="32"/>
  <c r="I1350" i="32" s="1"/>
  <c r="H1349" i="32"/>
  <c r="I1349" i="32" s="1"/>
  <c r="H1348" i="32"/>
  <c r="D1347" i="32"/>
  <c r="G1347" i="32" s="1"/>
  <c r="H1346" i="32"/>
  <c r="I1346" i="32" s="1"/>
  <c r="H1345" i="32"/>
  <c r="G1345" i="32"/>
  <c r="G1344" i="32" s="1"/>
  <c r="D1344" i="32"/>
  <c r="H1343" i="32"/>
  <c r="H1342" i="32" s="1"/>
  <c r="G1342" i="32"/>
  <c r="H1341" i="32"/>
  <c r="I1341" i="32" s="1"/>
  <c r="H1340" i="32"/>
  <c r="G1340" i="32"/>
  <c r="G1339" i="32"/>
  <c r="H1338" i="32"/>
  <c r="G1338" i="32"/>
  <c r="H1337" i="32"/>
  <c r="G1337" i="32"/>
  <c r="H1336" i="32"/>
  <c r="G1336" i="32"/>
  <c r="H1335" i="32"/>
  <c r="G1335" i="32"/>
  <c r="H1334" i="32"/>
  <c r="G1334" i="32"/>
  <c r="H1333" i="32"/>
  <c r="G1333" i="32"/>
  <c r="H1332" i="32"/>
  <c r="G1332" i="32"/>
  <c r="H1331" i="32"/>
  <c r="G1331" i="32"/>
  <c r="H1330" i="32"/>
  <c r="G1330" i="32"/>
  <c r="H1329" i="32"/>
  <c r="G1329" i="32"/>
  <c r="H1328" i="32"/>
  <c r="G1328" i="32"/>
  <c r="H1327" i="32"/>
  <c r="G1327" i="32"/>
  <c r="H1326" i="32"/>
  <c r="G1326" i="32"/>
  <c r="H1325" i="32"/>
  <c r="G1325" i="32"/>
  <c r="H1324" i="32"/>
  <c r="G1324" i="32"/>
  <c r="H1323" i="32"/>
  <c r="G1323" i="32"/>
  <c r="H1322" i="32"/>
  <c r="G1322" i="32"/>
  <c r="H1321" i="32"/>
  <c r="G1321" i="32"/>
  <c r="H1320" i="32"/>
  <c r="G1320" i="32"/>
  <c r="D1319" i="32"/>
  <c r="G1319" i="32" s="1"/>
  <c r="H1318" i="32"/>
  <c r="G1318" i="32"/>
  <c r="H1317" i="32"/>
  <c r="G1317" i="32"/>
  <c r="G1316" i="32"/>
  <c r="H1315" i="32"/>
  <c r="G1315" i="32"/>
  <c r="H1314" i="32"/>
  <c r="G1314" i="32"/>
  <c r="H1313" i="32"/>
  <c r="G1313" i="32"/>
  <c r="H1312" i="32"/>
  <c r="G1312" i="32"/>
  <c r="H1311" i="32"/>
  <c r="G1311" i="32"/>
  <c r="G1310" i="32"/>
  <c r="H1309" i="32"/>
  <c r="G1309" i="32"/>
  <c r="H1308" i="32"/>
  <c r="G1308" i="32"/>
  <c r="H1307" i="32"/>
  <c r="G1307" i="32"/>
  <c r="H1306" i="32"/>
  <c r="G1306" i="32"/>
  <c r="H1305" i="32"/>
  <c r="G1305" i="32"/>
  <c r="H1302" i="32"/>
  <c r="G1302" i="32"/>
  <c r="H1301" i="32"/>
  <c r="G1301" i="32"/>
  <c r="D1300" i="32"/>
  <c r="H1299" i="32"/>
  <c r="G1299" i="32"/>
  <c r="H1298" i="32"/>
  <c r="G1298" i="32"/>
  <c r="H1297" i="32"/>
  <c r="G1297" i="32"/>
  <c r="H1296" i="32"/>
  <c r="G1296" i="32"/>
  <c r="H1295" i="32"/>
  <c r="G1295" i="32"/>
  <c r="H1294" i="32"/>
  <c r="G1294" i="32"/>
  <c r="H1293" i="32"/>
  <c r="G1293" i="32"/>
  <c r="H1292" i="32"/>
  <c r="G1292" i="32"/>
  <c r="H1291" i="32"/>
  <c r="G1291" i="32"/>
  <c r="H1290" i="32"/>
  <c r="G1290" i="32"/>
  <c r="H1289" i="32"/>
  <c r="G1289" i="32"/>
  <c r="H1288" i="32"/>
  <c r="G1288" i="32"/>
  <c r="H1287" i="32"/>
  <c r="G1287" i="32"/>
  <c r="H1286" i="32"/>
  <c r="G1286" i="32"/>
  <c r="H1285" i="32"/>
  <c r="G1285" i="32"/>
  <c r="H1284" i="32"/>
  <c r="G1284" i="32"/>
  <c r="H1283" i="32"/>
  <c r="G1283" i="32"/>
  <c r="H1282" i="32"/>
  <c r="G1282" i="32"/>
  <c r="H1281" i="32"/>
  <c r="G1281" i="32"/>
  <c r="H1280" i="32"/>
  <c r="G1280" i="32"/>
  <c r="H1279" i="32"/>
  <c r="G1279" i="32"/>
  <c r="H1278" i="32"/>
  <c r="G1278" i="32"/>
  <c r="H1277" i="32"/>
  <c r="G1277" i="32"/>
  <c r="H1276" i="32"/>
  <c r="G1276" i="32"/>
  <c r="H1275" i="32"/>
  <c r="G1275" i="32"/>
  <c r="H1274" i="32"/>
  <c r="G1274" i="32"/>
  <c r="H1273" i="32"/>
  <c r="G1273" i="32"/>
  <c r="H1272" i="32"/>
  <c r="G1272" i="32"/>
  <c r="H1271" i="32"/>
  <c r="G1271" i="32"/>
  <c r="H1270" i="32"/>
  <c r="G1270" i="32"/>
  <c r="H1269" i="32"/>
  <c r="G1269" i="32"/>
  <c r="H1268" i="32"/>
  <c r="G1268" i="32"/>
  <c r="H1267" i="32"/>
  <c r="G1267" i="32"/>
  <c r="H1266" i="32"/>
  <c r="G1266" i="32"/>
  <c r="H1265" i="32"/>
  <c r="G1265" i="32"/>
  <c r="H1264" i="32"/>
  <c r="G1264" i="32"/>
  <c r="H1263" i="32"/>
  <c r="G1263" i="32"/>
  <c r="H1262" i="32"/>
  <c r="G1262" i="32"/>
  <c r="H1261" i="32"/>
  <c r="G1261" i="32"/>
  <c r="H1260" i="32"/>
  <c r="G1260" i="32"/>
  <c r="H1259" i="32"/>
  <c r="G1259" i="32"/>
  <c r="H1258" i="32"/>
  <c r="G1258" i="32"/>
  <c r="H1257" i="32"/>
  <c r="G1257" i="32"/>
  <c r="H1256" i="32"/>
  <c r="G1256" i="32"/>
  <c r="H1255" i="32"/>
  <c r="G1255" i="32"/>
  <c r="D1254" i="32"/>
  <c r="H1253" i="32"/>
  <c r="G1253" i="32"/>
  <c r="H1252" i="32"/>
  <c r="G1252" i="32"/>
  <c r="H1251" i="32"/>
  <c r="G1251" i="32"/>
  <c r="H1250" i="32"/>
  <c r="G1250" i="32"/>
  <c r="H1249" i="32"/>
  <c r="G1249" i="32"/>
  <c r="H1248" i="32"/>
  <c r="G1248" i="32"/>
  <c r="H1247" i="32"/>
  <c r="G1247" i="32"/>
  <c r="H1246" i="32"/>
  <c r="G1246" i="32"/>
  <c r="H1245" i="32"/>
  <c r="G1245" i="32"/>
  <c r="H1244" i="32"/>
  <c r="G1244" i="32"/>
  <c r="H1243" i="32"/>
  <c r="G1243" i="32"/>
  <c r="H1242" i="32"/>
  <c r="G1242" i="32"/>
  <c r="H1240" i="32"/>
  <c r="G1240" i="32"/>
  <c r="H1239" i="32"/>
  <c r="G1239" i="32"/>
  <c r="H1238" i="32"/>
  <c r="G1238" i="32"/>
  <c r="H1237" i="32"/>
  <c r="G1237" i="32"/>
  <c r="H1235" i="32"/>
  <c r="G1235" i="32"/>
  <c r="H1234" i="32"/>
  <c r="G1234" i="32"/>
  <c r="H1233" i="32"/>
  <c r="G1233" i="32"/>
  <c r="H1232" i="32"/>
  <c r="G1232" i="32"/>
  <c r="H1231" i="32"/>
  <c r="G1231" i="32"/>
  <c r="H1230" i="32"/>
  <c r="G1230" i="32"/>
  <c r="H1229" i="32"/>
  <c r="G1229" i="32"/>
  <c r="H1228" i="32"/>
  <c r="G1228" i="32"/>
  <c r="H1227" i="32"/>
  <c r="G1227" i="32"/>
  <c r="H1226" i="32"/>
  <c r="G1226" i="32"/>
  <c r="H1225" i="32"/>
  <c r="G1225" i="32"/>
  <c r="H1224" i="32"/>
  <c r="G1224" i="32"/>
  <c r="H1223" i="32"/>
  <c r="G1223" i="32"/>
  <c r="H1222" i="32"/>
  <c r="G1222" i="32"/>
  <c r="H1221" i="32"/>
  <c r="G1221" i="32"/>
  <c r="H1220" i="32"/>
  <c r="G1220" i="32"/>
  <c r="H1219" i="32"/>
  <c r="G1219" i="32"/>
  <c r="H1218" i="32"/>
  <c r="G1218" i="32"/>
  <c r="H1217" i="32"/>
  <c r="G1217" i="32"/>
  <c r="H1216" i="32"/>
  <c r="G1216" i="32"/>
  <c r="H1215" i="32"/>
  <c r="G1215" i="32"/>
  <c r="H1212" i="32"/>
  <c r="G1212" i="32"/>
  <c r="H1211" i="32"/>
  <c r="G1211" i="32"/>
  <c r="H1210" i="32"/>
  <c r="G1210" i="32"/>
  <c r="G1209" i="32" s="1"/>
  <c r="D1209" i="32"/>
  <c r="H1208" i="32"/>
  <c r="I1208" i="32" s="1"/>
  <c r="H1207" i="32"/>
  <c r="G1207" i="32"/>
  <c r="H1206" i="32"/>
  <c r="G1206" i="32"/>
  <c r="H1205" i="32"/>
  <c r="G1205" i="32"/>
  <c r="H1204" i="32"/>
  <c r="G1204" i="32"/>
  <c r="D1203" i="32"/>
  <c r="D1202" i="32"/>
  <c r="H1202" i="32" s="1"/>
  <c r="D1201" i="32"/>
  <c r="H1201" i="32" s="1"/>
  <c r="H1200" i="32"/>
  <c r="G1200" i="32"/>
  <c r="H1199" i="32"/>
  <c r="G1199" i="32"/>
  <c r="D1198" i="32"/>
  <c r="G1198" i="32" s="1"/>
  <c r="H1197" i="32"/>
  <c r="G1197" i="32"/>
  <c r="H1196" i="32"/>
  <c r="G1196" i="32"/>
  <c r="H1195" i="32"/>
  <c r="G1195" i="32"/>
  <c r="H1194" i="32"/>
  <c r="G1194" i="32"/>
  <c r="H1193" i="32"/>
  <c r="G1193" i="32"/>
  <c r="H1192" i="32"/>
  <c r="I1192" i="32" s="1"/>
  <c r="H1191" i="32"/>
  <c r="G1191" i="32"/>
  <c r="H1190" i="32"/>
  <c r="G1190" i="32"/>
  <c r="H1189" i="32"/>
  <c r="G1189" i="32"/>
  <c r="H1188" i="32"/>
  <c r="G1188" i="32"/>
  <c r="H1187" i="32"/>
  <c r="G1187" i="32"/>
  <c r="H1186" i="32"/>
  <c r="G1186" i="32"/>
  <c r="H1185" i="32"/>
  <c r="G1185" i="32"/>
  <c r="H1184" i="32"/>
  <c r="G1184" i="32"/>
  <c r="H1183" i="32"/>
  <c r="G1183" i="32"/>
  <c r="H1182" i="32"/>
  <c r="G1182" i="32"/>
  <c r="H1181" i="32"/>
  <c r="G1181" i="32"/>
  <c r="H1180" i="32"/>
  <c r="G1180" i="32"/>
  <c r="H1179" i="32"/>
  <c r="G1179" i="32"/>
  <c r="H1178" i="32"/>
  <c r="G1178" i="32"/>
  <c r="H1177" i="32"/>
  <c r="G1177" i="32"/>
  <c r="H1176" i="32"/>
  <c r="G1176" i="32"/>
  <c r="H1175" i="32"/>
  <c r="G1175" i="32"/>
  <c r="H1174" i="32"/>
  <c r="G1174" i="32"/>
  <c r="H1173" i="32"/>
  <c r="G1173" i="32"/>
  <c r="H1172" i="32"/>
  <c r="G1172" i="32"/>
  <c r="H1171" i="32"/>
  <c r="G1171" i="32"/>
  <c r="H1170" i="32"/>
  <c r="G1170" i="32"/>
  <c r="H1169" i="32"/>
  <c r="G1169" i="32"/>
  <c r="D1168" i="32"/>
  <c r="H1167" i="32"/>
  <c r="G1167" i="32"/>
  <c r="H1166" i="32"/>
  <c r="G1166" i="32"/>
  <c r="D1165" i="32"/>
  <c r="H1164" i="32"/>
  <c r="G1164" i="32"/>
  <c r="H1163" i="32"/>
  <c r="G1163" i="32"/>
  <c r="H1162" i="32"/>
  <c r="G1162" i="32"/>
  <c r="H1161" i="32"/>
  <c r="G1161" i="32"/>
  <c r="G1160" i="32"/>
  <c r="H1159" i="32"/>
  <c r="G1159" i="32"/>
  <c r="H1158" i="32"/>
  <c r="G1158" i="32"/>
  <c r="H1157" i="32"/>
  <c r="G1157" i="32"/>
  <c r="H1156" i="32"/>
  <c r="G1156" i="32"/>
  <c r="H1155" i="32"/>
  <c r="G1155" i="32"/>
  <c r="H1154" i="32"/>
  <c r="G1154" i="32"/>
  <c r="H1153" i="32"/>
  <c r="G1153" i="32"/>
  <c r="H1152" i="32"/>
  <c r="G1152" i="32"/>
  <c r="H1151" i="32"/>
  <c r="G1151" i="32"/>
  <c r="H1150" i="32"/>
  <c r="G1150" i="32"/>
  <c r="H1149" i="32"/>
  <c r="G1149" i="32"/>
  <c r="H1148" i="32"/>
  <c r="G1148" i="32"/>
  <c r="H1147" i="32"/>
  <c r="G1147" i="32"/>
  <c r="H1146" i="32"/>
  <c r="G1146" i="32"/>
  <c r="H1145" i="32"/>
  <c r="G1145" i="32"/>
  <c r="H1144" i="32"/>
  <c r="G1144" i="32"/>
  <c r="H1143" i="32"/>
  <c r="G1143" i="32"/>
  <c r="H1142" i="32"/>
  <c r="G1142" i="32"/>
  <c r="H1141" i="32"/>
  <c r="G1141" i="32"/>
  <c r="H1140" i="32"/>
  <c r="G1140" i="32"/>
  <c r="H1139" i="32"/>
  <c r="G1139" i="32"/>
  <c r="H1138" i="32"/>
  <c r="G1138" i="32"/>
  <c r="H1137" i="32"/>
  <c r="G1137" i="32"/>
  <c r="H1136" i="32"/>
  <c r="G1136" i="32"/>
  <c r="H1135" i="32"/>
  <c r="G1135" i="32"/>
  <c r="H1134" i="32"/>
  <c r="G1134" i="32"/>
  <c r="H1133" i="32"/>
  <c r="G1133" i="32"/>
  <c r="H1132" i="32"/>
  <c r="G1132" i="32"/>
  <c r="H1131" i="32"/>
  <c r="G1131" i="32"/>
  <c r="H1130" i="32"/>
  <c r="G1130" i="32"/>
  <c r="H1129" i="32"/>
  <c r="G1129" i="32"/>
  <c r="H1128" i="32"/>
  <c r="G1128" i="32"/>
  <c r="H1127" i="32"/>
  <c r="G1127" i="32"/>
  <c r="H1126" i="32"/>
  <c r="G1126" i="32"/>
  <c r="H1125" i="32"/>
  <c r="G1125" i="32"/>
  <c r="H1124" i="32"/>
  <c r="G1124" i="32"/>
  <c r="H1123" i="32"/>
  <c r="G1123" i="32"/>
  <c r="H1122" i="32"/>
  <c r="G1122" i="32"/>
  <c r="H1121" i="32"/>
  <c r="G1121" i="32"/>
  <c r="H1120" i="32"/>
  <c r="G1120" i="32"/>
  <c r="H1119" i="32"/>
  <c r="G1119" i="32"/>
  <c r="H1118" i="32"/>
  <c r="G1118" i="32"/>
  <c r="H1117" i="32"/>
  <c r="G1117" i="32"/>
  <c r="H1116" i="32"/>
  <c r="G1116" i="32"/>
  <c r="H1115" i="32"/>
  <c r="G1115" i="32"/>
  <c r="H1114" i="32"/>
  <c r="G1114" i="32"/>
  <c r="H1113" i="32"/>
  <c r="G1113" i="32"/>
  <c r="H1112" i="32"/>
  <c r="G1112" i="32"/>
  <c r="H1111" i="32"/>
  <c r="G1111" i="32"/>
  <c r="H1110" i="32"/>
  <c r="G1110" i="32"/>
  <c r="H1109" i="32"/>
  <c r="G1109" i="32"/>
  <c r="H1108" i="32"/>
  <c r="G1108" i="32"/>
  <c r="H1107" i="32"/>
  <c r="G1107" i="32"/>
  <c r="H1106" i="32"/>
  <c r="G1106" i="32"/>
  <c r="H1105" i="32"/>
  <c r="G1105" i="32"/>
  <c r="H1104" i="32"/>
  <c r="G1104" i="32"/>
  <c r="H1103" i="32"/>
  <c r="G1103" i="32"/>
  <c r="H1102" i="32"/>
  <c r="G1102" i="32"/>
  <c r="H1101" i="32"/>
  <c r="G1101" i="32"/>
  <c r="H1100" i="32"/>
  <c r="G1100" i="32"/>
  <c r="H1099" i="32"/>
  <c r="G1099" i="32"/>
  <c r="H1098" i="32"/>
  <c r="G1098" i="32"/>
  <c r="H1097" i="32"/>
  <c r="G1097" i="32"/>
  <c r="H1096" i="32"/>
  <c r="G1096" i="32"/>
  <c r="H1095" i="32"/>
  <c r="G1095" i="32"/>
  <c r="H1094" i="32"/>
  <c r="G1094" i="32"/>
  <c r="H1093" i="32"/>
  <c r="G1093" i="32"/>
  <c r="H1092" i="32"/>
  <c r="G1092" i="32"/>
  <c r="H1091" i="32"/>
  <c r="G1091" i="32"/>
  <c r="H1090" i="32"/>
  <c r="G1090" i="32"/>
  <c r="H1089" i="32"/>
  <c r="G1089" i="32"/>
  <c r="H1088" i="32"/>
  <c r="G1088" i="32"/>
  <c r="H1087" i="32"/>
  <c r="G1087" i="32"/>
  <c r="D1086" i="32"/>
  <c r="H1085" i="32"/>
  <c r="H1084" i="32" s="1"/>
  <c r="G1084" i="32"/>
  <c r="H1083" i="32"/>
  <c r="G1083" i="32"/>
  <c r="H1082" i="32"/>
  <c r="G1082" i="32"/>
  <c r="H1081" i="32"/>
  <c r="G1081" i="32"/>
  <c r="H1080" i="32"/>
  <c r="G1080" i="32"/>
  <c r="H1079" i="32"/>
  <c r="G1079" i="32"/>
  <c r="H1078" i="32"/>
  <c r="G1078" i="32"/>
  <c r="H1077" i="32"/>
  <c r="G1077" i="32"/>
  <c r="H1076" i="32"/>
  <c r="G1076" i="32"/>
  <c r="H1075" i="32"/>
  <c r="G1075" i="32"/>
  <c r="D1074" i="32"/>
  <c r="G1074" i="32" s="1"/>
  <c r="H1073" i="32"/>
  <c r="H1072" i="32" s="1"/>
  <c r="G1072" i="32"/>
  <c r="H1071" i="32"/>
  <c r="H1070" i="32" s="1"/>
  <c r="G1070" i="32"/>
  <c r="H1069" i="32"/>
  <c r="G1069" i="32"/>
  <c r="H1068" i="32"/>
  <c r="G1068" i="32"/>
  <c r="H1067" i="32"/>
  <c r="G1067" i="32"/>
  <c r="H1066" i="32"/>
  <c r="G1066" i="32"/>
  <c r="H1065" i="32"/>
  <c r="G1065" i="32"/>
  <c r="H1064" i="32"/>
  <c r="G1064" i="32"/>
  <c r="D1063" i="32"/>
  <c r="H1062" i="32"/>
  <c r="G1062" i="32"/>
  <c r="H1061" i="32"/>
  <c r="G1061" i="32"/>
  <c r="H1060" i="32"/>
  <c r="G1060" i="32"/>
  <c r="H1059" i="32"/>
  <c r="G1059" i="32"/>
  <c r="H1058" i="32"/>
  <c r="G1058" i="32"/>
  <c r="G1057" i="32"/>
  <c r="H1056" i="32"/>
  <c r="I1056" i="32" s="1"/>
  <c r="H1055" i="32"/>
  <c r="I1055" i="32" s="1"/>
  <c r="H1054" i="32"/>
  <c r="G1054" i="32"/>
  <c r="H1053" i="32"/>
  <c r="G1053" i="32"/>
  <c r="G1052" i="32"/>
  <c r="H1051" i="32"/>
  <c r="H1050" i="32" s="1"/>
  <c r="G1051" i="32"/>
  <c r="G1050" i="32"/>
  <c r="H1049" i="32"/>
  <c r="G1049" i="32"/>
  <c r="H1048" i="32"/>
  <c r="G1048" i="32"/>
  <c r="H1047" i="32"/>
  <c r="G1047" i="32"/>
  <c r="G1046" i="32"/>
  <c r="D1045" i="32"/>
  <c r="H1044" i="32"/>
  <c r="G1044" i="32"/>
  <c r="H1043" i="32"/>
  <c r="G1043" i="32"/>
  <c r="H1039" i="32"/>
  <c r="G1039" i="32"/>
  <c r="H1038" i="32"/>
  <c r="G1038" i="32"/>
  <c r="H1037" i="32"/>
  <c r="G1037" i="32"/>
  <c r="H1036" i="32"/>
  <c r="G1036" i="32"/>
  <c r="H1035" i="32"/>
  <c r="G1035" i="32"/>
  <c r="H1034" i="32"/>
  <c r="G1034" i="32"/>
  <c r="H1033" i="32"/>
  <c r="G1033" i="32"/>
  <c r="H1032" i="32"/>
  <c r="G1032" i="32"/>
  <c r="H1031" i="32"/>
  <c r="G1031" i="32"/>
  <c r="H1030" i="32"/>
  <c r="G1030" i="32"/>
  <c r="H1029" i="32"/>
  <c r="G1029" i="32"/>
  <c r="H1028" i="32"/>
  <c r="G1028" i="32"/>
  <c r="H1027" i="32"/>
  <c r="G1027" i="32"/>
  <c r="H1026" i="32"/>
  <c r="G1026" i="32"/>
  <c r="H1025" i="32"/>
  <c r="G1025" i="32"/>
  <c r="H1024" i="32"/>
  <c r="G1024" i="32"/>
  <c r="H1023" i="32"/>
  <c r="G1023" i="32"/>
  <c r="H1022" i="32"/>
  <c r="G1022" i="32"/>
  <c r="H1021" i="32"/>
  <c r="G1021" i="32"/>
  <c r="H1020" i="32"/>
  <c r="G1020" i="32"/>
  <c r="H1019" i="32"/>
  <c r="G1019" i="32"/>
  <c r="H1018" i="32"/>
  <c r="G1018" i="32"/>
  <c r="H1017" i="32"/>
  <c r="G1017" i="32"/>
  <c r="H1016" i="32"/>
  <c r="G1016" i="32"/>
  <c r="H1015" i="32"/>
  <c r="G1015" i="32"/>
  <c r="H1014" i="32"/>
  <c r="G1014" i="32"/>
  <c r="H1013" i="32"/>
  <c r="G1013" i="32"/>
  <c r="H1012" i="32"/>
  <c r="G1012" i="32"/>
  <c r="H1011" i="32"/>
  <c r="G1011" i="32"/>
  <c r="H1010" i="32"/>
  <c r="G1010" i="32"/>
  <c r="H1009" i="32"/>
  <c r="G1009" i="32"/>
  <c r="H1008" i="32"/>
  <c r="G1008" i="32"/>
  <c r="H1007" i="32"/>
  <c r="G1007" i="32"/>
  <c r="H1006" i="32"/>
  <c r="G1006" i="32"/>
  <c r="H1005" i="32"/>
  <c r="G1005" i="32"/>
  <c r="H1004" i="32"/>
  <c r="G1004" i="32"/>
  <c r="H1003" i="32"/>
  <c r="G1003" i="32"/>
  <c r="H1002" i="32"/>
  <c r="G1002" i="32"/>
  <c r="H1001" i="32"/>
  <c r="G1001" i="32"/>
  <c r="H1000" i="32"/>
  <c r="G1000" i="32"/>
  <c r="H999" i="32"/>
  <c r="G999" i="32"/>
  <c r="H998" i="32"/>
  <c r="G998" i="32"/>
  <c r="H997" i="32"/>
  <c r="G997" i="32"/>
  <c r="H996" i="32"/>
  <c r="G996" i="32"/>
  <c r="H995" i="32"/>
  <c r="G995" i="32"/>
  <c r="D994" i="32"/>
  <c r="D1042" i="32" s="1"/>
  <c r="F992" i="32"/>
  <c r="H992" i="32" s="1"/>
  <c r="E992" i="32"/>
  <c r="G992" i="32" s="1"/>
  <c r="F991" i="32"/>
  <c r="H991" i="32" s="1"/>
  <c r="E991" i="32"/>
  <c r="G991" i="32" s="1"/>
  <c r="D990" i="32"/>
  <c r="G990" i="32" s="1"/>
  <c r="H989" i="32"/>
  <c r="G989" i="32"/>
  <c r="D987" i="32"/>
  <c r="D988" i="32" s="1"/>
  <c r="D986" i="32"/>
  <c r="G986" i="32" s="1"/>
  <c r="D65" i="29"/>
  <c r="H65" i="29" s="1"/>
  <c r="D64" i="29"/>
  <c r="H64" i="29" s="1"/>
  <c r="D63" i="29"/>
  <c r="H63" i="29" s="1"/>
  <c r="D62" i="29"/>
  <c r="H62" i="29" s="1"/>
  <c r="D61" i="29"/>
  <c r="H61" i="29" s="1"/>
  <c r="G60" i="29"/>
  <c r="I60" i="29" s="1"/>
  <c r="D60" i="29"/>
  <c r="G53" i="29"/>
  <c r="I53" i="29" s="1"/>
  <c r="D53" i="29"/>
  <c r="D59" i="29" s="1"/>
  <c r="D50" i="29"/>
  <c r="G50" i="29" s="1"/>
  <c r="I50" i="29" s="1"/>
  <c r="D47" i="29"/>
  <c r="D46" i="29"/>
  <c r="H46" i="29" s="1"/>
  <c r="D45" i="29"/>
  <c r="H45" i="29" s="1"/>
  <c r="D44" i="29"/>
  <c r="H44" i="29" s="1"/>
  <c r="G43" i="29"/>
  <c r="I43" i="29" s="1"/>
  <c r="D43" i="29"/>
  <c r="G40" i="29"/>
  <c r="I40" i="29" s="1"/>
  <c r="D40" i="29"/>
  <c r="D42" i="29" s="1"/>
  <c r="H36" i="29"/>
  <c r="D36" i="29"/>
  <c r="G36" i="29" s="1"/>
  <c r="I36" i="29" s="1"/>
  <c r="H35" i="29"/>
  <c r="D35" i="29"/>
  <c r="G35" i="29" s="1"/>
  <c r="I35" i="29" s="1"/>
  <c r="D34" i="29"/>
  <c r="G34" i="29" s="1"/>
  <c r="I34" i="29" s="1"/>
  <c r="G66" i="29"/>
  <c r="H66" i="29"/>
  <c r="G67" i="29"/>
  <c r="I67" i="29" s="1"/>
  <c r="H67" i="29"/>
  <c r="D983" i="32"/>
  <c r="D984" i="32" s="1"/>
  <c r="H984" i="32" s="1"/>
  <c r="D980" i="32"/>
  <c r="D982" i="32" s="1"/>
  <c r="H982" i="32" s="1"/>
  <c r="D976" i="32"/>
  <c r="G976" i="32" s="1"/>
  <c r="D975" i="32"/>
  <c r="G975" i="32" s="1"/>
  <c r="D974" i="32"/>
  <c r="G974" i="32" s="1"/>
  <c r="D972" i="32"/>
  <c r="D971" i="32"/>
  <c r="D970" i="32"/>
  <c r="D967" i="32"/>
  <c r="D969" i="32" s="1"/>
  <c r="H969" i="32" s="1"/>
  <c r="D966" i="32"/>
  <c r="G966" i="32" s="1"/>
  <c r="D965" i="32"/>
  <c r="G964" i="32"/>
  <c r="I964" i="32" s="1"/>
  <c r="D961" i="32"/>
  <c r="D963" i="32" s="1"/>
  <c r="D959" i="32"/>
  <c r="D957" i="32"/>
  <c r="D955" i="32"/>
  <c r="D952" i="32"/>
  <c r="D949" i="32"/>
  <c r="D946" i="32"/>
  <c r="H946" i="32" s="1"/>
  <c r="D943" i="32"/>
  <c r="D941" i="32"/>
  <c r="H940" i="32"/>
  <c r="G940" i="32"/>
  <c r="D937" i="32"/>
  <c r="D938" i="32" s="1"/>
  <c r="G938" i="32" s="1"/>
  <c r="D934" i="32"/>
  <c r="H933" i="32"/>
  <c r="G933" i="32"/>
  <c r="D930" i="32"/>
  <c r="D926" i="32"/>
  <c r="D929" i="32" s="1"/>
  <c r="D923" i="32"/>
  <c r="D920" i="32"/>
  <c r="D915" i="32"/>
  <c r="D918" i="32" s="1"/>
  <c r="G918" i="32" s="1"/>
  <c r="D912" i="32"/>
  <c r="D908" i="32"/>
  <c r="D911" i="32" s="1"/>
  <c r="D903" i="32"/>
  <c r="H902" i="32"/>
  <c r="G902" i="32"/>
  <c r="H901" i="32"/>
  <c r="G901" i="32"/>
  <c r="D898" i="32"/>
  <c r="D897" i="32"/>
  <c r="D896" i="32"/>
  <c r="H896" i="32" s="1"/>
  <c r="D895" i="32"/>
  <c r="D900" i="32" s="1"/>
  <c r="D888" i="32"/>
  <c r="D889" i="32" s="1"/>
  <c r="D885" i="32"/>
  <c r="G885" i="32" s="1"/>
  <c r="I885" i="32" s="1"/>
  <c r="D882" i="32"/>
  <c r="D878" i="32"/>
  <c r="D881" i="32" s="1"/>
  <c r="D875" i="32"/>
  <c r="D877" i="32" s="1"/>
  <c r="H877" i="32" s="1"/>
  <c r="D871" i="32"/>
  <c r="G871" i="32" s="1"/>
  <c r="D870" i="32"/>
  <c r="G870" i="32" s="1"/>
  <c r="D869" i="32"/>
  <c r="D872" i="32" s="1"/>
  <c r="G872" i="32" s="1"/>
  <c r="D866" i="32"/>
  <c r="D865" i="32"/>
  <c r="D863" i="32"/>
  <c r="I863" i="32" s="1"/>
  <c r="D860" i="32"/>
  <c r="D856" i="32"/>
  <c r="D858" i="32" s="1"/>
  <c r="D852" i="32"/>
  <c r="I852" i="32" s="1"/>
  <c r="D849" i="32"/>
  <c r="H848" i="32"/>
  <c r="G848" i="32"/>
  <c r="H847" i="32"/>
  <c r="G847" i="32"/>
  <c r="D845" i="32"/>
  <c r="H845" i="32" s="1"/>
  <c r="D843" i="32"/>
  <c r="H843" i="32" s="1"/>
  <c r="H842" i="32"/>
  <c r="G842" i="32"/>
  <c r="D841" i="32"/>
  <c r="H841" i="32" s="1"/>
  <c r="D840" i="32"/>
  <c r="H840" i="32" s="1"/>
  <c r="D839" i="32"/>
  <c r="H839" i="32" s="1"/>
  <c r="D838" i="32"/>
  <c r="H838" i="32" s="1"/>
  <c r="H837" i="32"/>
  <c r="G837" i="32"/>
  <c r="D836" i="32"/>
  <c r="D832" i="32"/>
  <c r="G832" i="32" s="1"/>
  <c r="D831" i="32"/>
  <c r="D830" i="32"/>
  <c r="G830" i="32" s="1"/>
  <c r="H828" i="32"/>
  <c r="G828" i="32"/>
  <c r="H827" i="32"/>
  <c r="G827" i="32"/>
  <c r="H826" i="32"/>
  <c r="G826" i="32"/>
  <c r="H825" i="32"/>
  <c r="G825" i="32"/>
  <c r="D824" i="32"/>
  <c r="D823" i="32"/>
  <c r="G823" i="32" s="1"/>
  <c r="H822" i="32"/>
  <c r="G822" i="32"/>
  <c r="H821" i="32"/>
  <c r="G821" i="32"/>
  <c r="H820" i="32"/>
  <c r="G820" i="32"/>
  <c r="H818" i="32"/>
  <c r="G818" i="32"/>
  <c r="H817" i="32"/>
  <c r="G817" i="32"/>
  <c r="D816" i="32"/>
  <c r="H816" i="32" s="1"/>
  <c r="D815" i="32"/>
  <c r="H815" i="32" s="1"/>
  <c r="D814" i="32"/>
  <c r="H814" i="32" s="1"/>
  <c r="D813" i="32"/>
  <c r="H813" i="32" s="1"/>
  <c r="D812" i="32"/>
  <c r="H812" i="32" s="1"/>
  <c r="D811" i="32"/>
  <c r="H811" i="32" s="1"/>
  <c r="D810" i="32"/>
  <c r="H810" i="32" s="1"/>
  <c r="D809" i="32"/>
  <c r="H809" i="32" s="1"/>
  <c r="H807" i="32"/>
  <c r="G807" i="32"/>
  <c r="H806" i="32"/>
  <c r="G806" i="32"/>
  <c r="H805" i="32"/>
  <c r="G805" i="32"/>
  <c r="H804" i="32"/>
  <c r="G804" i="32"/>
  <c r="D803" i="32"/>
  <c r="H803" i="32" s="1"/>
  <c r="D802" i="32"/>
  <c r="H802" i="32" s="1"/>
  <c r="H801" i="32"/>
  <c r="G801" i="32"/>
  <c r="H800" i="32"/>
  <c r="G800" i="32"/>
  <c r="H799" i="32"/>
  <c r="G799" i="32"/>
  <c r="H798" i="32"/>
  <c r="G798" i="32"/>
  <c r="D797" i="32"/>
  <c r="H797" i="32" s="1"/>
  <c r="D796" i="32"/>
  <c r="H796" i="32" s="1"/>
  <c r="D795" i="32"/>
  <c r="H795" i="32" s="1"/>
  <c r="H793" i="32"/>
  <c r="G793" i="32"/>
  <c r="H792" i="32"/>
  <c r="G792" i="32"/>
  <c r="H791" i="32"/>
  <c r="G791" i="32"/>
  <c r="H790" i="32"/>
  <c r="G790" i="32"/>
  <c r="D789" i="32"/>
  <c r="G789" i="32" s="1"/>
  <c r="D788" i="32"/>
  <c r="G788" i="32" s="1"/>
  <c r="H787" i="32"/>
  <c r="G787" i="32"/>
  <c r="H786" i="32"/>
  <c r="G786" i="32"/>
  <c r="H785" i="32"/>
  <c r="G785" i="32"/>
  <c r="H784" i="32"/>
  <c r="G784" i="32"/>
  <c r="D783" i="32"/>
  <c r="D782" i="32"/>
  <c r="D781" i="32"/>
  <c r="D780" i="32"/>
  <c r="G780" i="32" s="1"/>
  <c r="H778" i="32"/>
  <c r="G778" i="32"/>
  <c r="H777" i="32"/>
  <c r="G777" i="32"/>
  <c r="H776" i="32"/>
  <c r="G776" i="32"/>
  <c r="H775" i="32"/>
  <c r="G775" i="32"/>
  <c r="D774" i="32"/>
  <c r="H774" i="32" s="1"/>
  <c r="D773" i="32"/>
  <c r="H773" i="32" s="1"/>
  <c r="H772" i="32"/>
  <c r="G772" i="32"/>
  <c r="H771" i="32"/>
  <c r="G771" i="32"/>
  <c r="H770" i="32"/>
  <c r="G770" i="32"/>
  <c r="H769" i="32"/>
  <c r="G769" i="32"/>
  <c r="H768" i="32"/>
  <c r="G768" i="32"/>
  <c r="H767" i="32"/>
  <c r="G767" i="32"/>
  <c r="D766" i="32"/>
  <c r="H766" i="32" s="1"/>
  <c r="D765" i="32"/>
  <c r="H765" i="32" s="1"/>
  <c r="H763" i="32"/>
  <c r="G763" i="32"/>
  <c r="H762" i="32"/>
  <c r="G762" i="32"/>
  <c r="H761" i="32"/>
  <c r="G761" i="32"/>
  <c r="H760" i="32"/>
  <c r="G760" i="32"/>
  <c r="D759" i="32"/>
  <c r="G759" i="32" s="1"/>
  <c r="H758" i="32"/>
  <c r="G758" i="32"/>
  <c r="D757" i="32"/>
  <c r="H757" i="32" s="1"/>
  <c r="H756" i="32"/>
  <c r="G756" i="32"/>
  <c r="H755" i="32"/>
  <c r="G755" i="32"/>
  <c r="H754" i="32"/>
  <c r="G754" i="32"/>
  <c r="D753" i="32"/>
  <c r="D752" i="32"/>
  <c r="G752" i="32" s="1"/>
  <c r="D751" i="32"/>
  <c r="H750" i="32"/>
  <c r="G750" i="32"/>
  <c r="D749" i="32"/>
  <c r="D748" i="32"/>
  <c r="D747" i="32"/>
  <c r="G747" i="32" s="1"/>
  <c r="D746" i="32"/>
  <c r="G746" i="32" s="1"/>
  <c r="D745" i="32"/>
  <c r="D744" i="32"/>
  <c r="H744" i="32" s="1"/>
  <c r="D740" i="32"/>
  <c r="D739" i="32"/>
  <c r="D738" i="32"/>
  <c r="D721" i="32" s="1"/>
  <c r="D737" i="32"/>
  <c r="D736" i="32"/>
  <c r="H735" i="32"/>
  <c r="G735" i="32"/>
  <c r="D734" i="32"/>
  <c r="H734" i="32" s="1"/>
  <c r="D733" i="32"/>
  <c r="H733" i="32" s="1"/>
  <c r="H732" i="32"/>
  <c r="G732" i="32"/>
  <c r="D731" i="32"/>
  <c r="G731" i="32" s="1"/>
  <c r="D730" i="32"/>
  <c r="D729" i="32"/>
  <c r="G729" i="32" s="1"/>
  <c r="D728" i="32"/>
  <c r="D727" i="32"/>
  <c r="D726" i="32"/>
  <c r="D725" i="32"/>
  <c r="H724" i="32"/>
  <c r="G724" i="32"/>
  <c r="D723" i="32"/>
  <c r="H723" i="32" s="1"/>
  <c r="H722" i="32"/>
  <c r="G722" i="32"/>
  <c r="D718" i="32"/>
  <c r="D717" i="32"/>
  <c r="D716" i="32"/>
  <c r="D715" i="32"/>
  <c r="H714" i="32"/>
  <c r="G714" i="32"/>
  <c r="D713" i="32"/>
  <c r="H713" i="32" s="1"/>
  <c r="H712" i="32"/>
  <c r="G712" i="32"/>
  <c r="D711" i="32"/>
  <c r="G711" i="32" s="1"/>
  <c r="H710" i="32"/>
  <c r="G710" i="32"/>
  <c r="D707" i="32"/>
  <c r="D706" i="32"/>
  <c r="H706" i="32" s="1"/>
  <c r="D705" i="32"/>
  <c r="H705" i="32" s="1"/>
  <c r="D704" i="32"/>
  <c r="H704" i="32" s="1"/>
  <c r="D703" i="32"/>
  <c r="H703" i="32" s="1"/>
  <c r="D702" i="32"/>
  <c r="H702" i="32" s="1"/>
  <c r="D701" i="32"/>
  <c r="D696" i="32"/>
  <c r="H696" i="32" s="1"/>
  <c r="D695" i="32"/>
  <c r="G695" i="32" s="1"/>
  <c r="D694" i="32"/>
  <c r="D693" i="32"/>
  <c r="H693" i="32" s="1"/>
  <c r="D692" i="32"/>
  <c r="H692" i="32" s="1"/>
  <c r="D691" i="32"/>
  <c r="G691" i="32" s="1"/>
  <c r="H689" i="32"/>
  <c r="G689" i="32"/>
  <c r="H686" i="32"/>
  <c r="G686" i="32"/>
  <c r="D685" i="32"/>
  <c r="G685" i="32" s="1"/>
  <c r="D684" i="32"/>
  <c r="D683" i="32"/>
  <c r="D682" i="32"/>
  <c r="D681" i="32"/>
  <c r="G681" i="32" s="1"/>
  <c r="D679" i="32"/>
  <c r="D676" i="32"/>
  <c r="H675" i="32"/>
  <c r="G675" i="32"/>
  <c r="H674" i="32"/>
  <c r="G674" i="32"/>
  <c r="D673" i="32"/>
  <c r="H673" i="32" s="1"/>
  <c r="D672" i="32"/>
  <c r="D671" i="32"/>
  <c r="G671" i="32" s="1"/>
  <c r="D670" i="32"/>
  <c r="D669" i="32"/>
  <c r="H669" i="32" s="1"/>
  <c r="H667" i="32"/>
  <c r="G667" i="32"/>
  <c r="H666" i="32"/>
  <c r="G666" i="32"/>
  <c r="H665" i="32"/>
  <c r="G665" i="32"/>
  <c r="D663" i="32"/>
  <c r="D659" i="32"/>
  <c r="G659" i="32" s="1"/>
  <c r="D658" i="32"/>
  <c r="D657" i="32"/>
  <c r="D653" i="32"/>
  <c r="H652" i="32"/>
  <c r="G652" i="32"/>
  <c r="H651" i="32"/>
  <c r="G651" i="32"/>
  <c r="H650" i="32"/>
  <c r="G650" i="32"/>
  <c r="D649" i="32"/>
  <c r="G649" i="32" s="1"/>
  <c r="D648" i="32"/>
  <c r="G648" i="32" s="1"/>
  <c r="D647" i="32"/>
  <c r="G647" i="32" s="1"/>
  <c r="D646" i="32"/>
  <c r="D645" i="32"/>
  <c r="G645" i="32" s="1"/>
  <c r="D644" i="32"/>
  <c r="G644" i="32" s="1"/>
  <c r="H643" i="32"/>
  <c r="G643" i="32"/>
  <c r="D642" i="32"/>
  <c r="G642" i="32" s="1"/>
  <c r="D641" i="32"/>
  <c r="H641" i="32" s="1"/>
  <c r="D640" i="32"/>
  <c r="D639" i="32"/>
  <c r="G639" i="32" s="1"/>
  <c r="D638" i="32"/>
  <c r="H637" i="32"/>
  <c r="G637" i="32"/>
  <c r="D636" i="32"/>
  <c r="H636" i="32" s="1"/>
  <c r="D635" i="32"/>
  <c r="H635" i="32" s="1"/>
  <c r="D633" i="32"/>
  <c r="D634" i="32" s="1"/>
  <c r="H632" i="32"/>
  <c r="G632" i="32"/>
  <c r="D623" i="32"/>
  <c r="D626" i="32" s="1"/>
  <c r="H626" i="32" s="1"/>
  <c r="D622" i="32"/>
  <c r="H622" i="32" s="1"/>
  <c r="H621" i="32"/>
  <c r="G621" i="32"/>
  <c r="H620" i="32"/>
  <c r="G620" i="32"/>
  <c r="D619" i="32"/>
  <c r="H619" i="32" s="1"/>
  <c r="D618" i="32"/>
  <c r="H618" i="32" s="1"/>
  <c r="D617" i="32"/>
  <c r="H617" i="32" s="1"/>
  <c r="D616" i="32"/>
  <c r="H616" i="32" s="1"/>
  <c r="H615" i="32"/>
  <c r="G615" i="32"/>
  <c r="H614" i="32"/>
  <c r="G614" i="32"/>
  <c r="D613" i="32"/>
  <c r="H613" i="32" s="1"/>
  <c r="H612" i="32"/>
  <c r="G612" i="32"/>
  <c r="H611" i="32"/>
  <c r="G611" i="32"/>
  <c r="D609" i="32"/>
  <c r="D610" i="32" s="1"/>
  <c r="G610" i="32" s="1"/>
  <c r="D608" i="32"/>
  <c r="H608" i="32" s="1"/>
  <c r="D607" i="32"/>
  <c r="H607" i="32" s="1"/>
  <c r="D605" i="32"/>
  <c r="D604" i="32"/>
  <c r="D603" i="32"/>
  <c r="D602" i="32"/>
  <c r="H601" i="32"/>
  <c r="G601" i="32"/>
  <c r="D600" i="32"/>
  <c r="H600" i="32" s="1"/>
  <c r="D599" i="32"/>
  <c r="H599" i="32" s="1"/>
  <c r="D598" i="32"/>
  <c r="G598" i="32" s="1"/>
  <c r="D597" i="32"/>
  <c r="G597" i="32" s="1"/>
  <c r="D595" i="32"/>
  <c r="D596" i="32" s="1"/>
  <c r="D594" i="32"/>
  <c r="G594" i="32" s="1"/>
  <c r="H593" i="32"/>
  <c r="G593" i="32"/>
  <c r="D592" i="32"/>
  <c r="H592" i="32" s="1"/>
  <c r="D591" i="32"/>
  <c r="H591" i="32" s="1"/>
  <c r="D589" i="32"/>
  <c r="D588" i="32"/>
  <c r="H588" i="32" s="1"/>
  <c r="D587" i="32"/>
  <c r="H587" i="32" s="1"/>
  <c r="D586" i="32"/>
  <c r="H586" i="32" s="1"/>
  <c r="D585" i="32"/>
  <c r="H585" i="32" s="1"/>
  <c r="H584" i="32"/>
  <c r="G584" i="32"/>
  <c r="H555" i="32"/>
  <c r="I555" i="32"/>
  <c r="G555" i="32"/>
  <c r="D500" i="32"/>
  <c r="H500" i="32" s="1"/>
  <c r="D554" i="32"/>
  <c r="H554" i="32" s="1"/>
  <c r="D552" i="32"/>
  <c r="H552" i="32" s="1"/>
  <c r="D551" i="32"/>
  <c r="H551" i="32" s="1"/>
  <c r="D550" i="32"/>
  <c r="H550" i="32" s="1"/>
  <c r="D549" i="32"/>
  <c r="H549" i="32" s="1"/>
  <c r="D548" i="32"/>
  <c r="H548" i="32" s="1"/>
  <c r="D547" i="32"/>
  <c r="H547" i="32" s="1"/>
  <c r="D546" i="32"/>
  <c r="H546" i="32" s="1"/>
  <c r="D545" i="32"/>
  <c r="H545" i="32" s="1"/>
  <c r="D544" i="32"/>
  <c r="H544" i="32" s="1"/>
  <c r="D543" i="32"/>
  <c r="H543" i="32" s="1"/>
  <c r="D542" i="32"/>
  <c r="H542" i="32" s="1"/>
  <c r="D541" i="32"/>
  <c r="H541" i="32" s="1"/>
  <c r="D540" i="32"/>
  <c r="H540" i="32" s="1"/>
  <c r="H539" i="32"/>
  <c r="G539" i="32"/>
  <c r="D538" i="32"/>
  <c r="H538" i="32" s="1"/>
  <c r="D537" i="32"/>
  <c r="H537" i="32" s="1"/>
  <c r="D536" i="32"/>
  <c r="H536" i="32" s="1"/>
  <c r="D535" i="32"/>
  <c r="H535" i="32" s="1"/>
  <c r="D534" i="32"/>
  <c r="H534" i="32" s="1"/>
  <c r="D533" i="32"/>
  <c r="H533" i="32" s="1"/>
  <c r="D532" i="32"/>
  <c r="H532" i="32" s="1"/>
  <c r="D531" i="32"/>
  <c r="H531" i="32" s="1"/>
  <c r="D530" i="32"/>
  <c r="H530" i="32" s="1"/>
  <c r="D529" i="32"/>
  <c r="H529" i="32" s="1"/>
  <c r="H528" i="32"/>
  <c r="G528" i="32"/>
  <c r="D527" i="32"/>
  <c r="D526" i="32"/>
  <c r="G526" i="32" s="1"/>
  <c r="D525" i="32"/>
  <c r="D524" i="32"/>
  <c r="G524" i="32" s="1"/>
  <c r="H523" i="32"/>
  <c r="G523" i="32"/>
  <c r="D522" i="32"/>
  <c r="H522" i="32" s="1"/>
  <c r="D521" i="32"/>
  <c r="G521" i="32" s="1"/>
  <c r="D520" i="32"/>
  <c r="D519" i="32"/>
  <c r="G519" i="32" s="1"/>
  <c r="D518" i="32"/>
  <c r="D517" i="32"/>
  <c r="D516" i="32"/>
  <c r="H516" i="32" s="1"/>
  <c r="D515" i="32"/>
  <c r="D514" i="32"/>
  <c r="H514" i="32" s="1"/>
  <c r="D513" i="32"/>
  <c r="G513" i="32" s="1"/>
  <c r="D512" i="32"/>
  <c r="D511" i="32"/>
  <c r="G511" i="32" s="1"/>
  <c r="D510" i="32"/>
  <c r="D509" i="32"/>
  <c r="D508" i="32"/>
  <c r="H508" i="32" s="1"/>
  <c r="D507" i="32"/>
  <c r="D506" i="32"/>
  <c r="H506" i="32" s="1"/>
  <c r="D505" i="32"/>
  <c r="H505" i="32" s="1"/>
  <c r="D504" i="32"/>
  <c r="D503" i="32"/>
  <c r="G503" i="32" s="1"/>
  <c r="D501" i="32"/>
  <c r="D498" i="32"/>
  <c r="H498" i="32" s="1"/>
  <c r="I498" i="32" s="1"/>
  <c r="D497" i="32"/>
  <c r="H497" i="32" s="1"/>
  <c r="I497" i="32" s="1"/>
  <c r="D496" i="32"/>
  <c r="H496" i="32" s="1"/>
  <c r="I496" i="32" s="1"/>
  <c r="D495" i="32"/>
  <c r="H495" i="32" s="1"/>
  <c r="D493" i="32"/>
  <c r="H493" i="32" s="1"/>
  <c r="I493" i="32" s="1"/>
  <c r="D492" i="32"/>
  <c r="H492" i="32" s="1"/>
  <c r="I492" i="32" s="1"/>
  <c r="D491" i="32"/>
  <c r="H491" i="32" s="1"/>
  <c r="I491" i="32" s="1"/>
  <c r="D490" i="32"/>
  <c r="H490" i="32" s="1"/>
  <c r="I490" i="32" s="1"/>
  <c r="D489" i="32"/>
  <c r="H489" i="32" s="1"/>
  <c r="I489" i="32" s="1"/>
  <c r="D488" i="32"/>
  <c r="H488" i="32" s="1"/>
  <c r="D487" i="32"/>
  <c r="D486" i="32"/>
  <c r="H486" i="32" s="1"/>
  <c r="I486" i="32" s="1"/>
  <c r="D485" i="32"/>
  <c r="D483" i="32"/>
  <c r="H483" i="32" s="1"/>
  <c r="I483" i="32" s="1"/>
  <c r="D482" i="32"/>
  <c r="H482" i="32" s="1"/>
  <c r="I482" i="32" s="1"/>
  <c r="D481" i="32"/>
  <c r="H481" i="32" s="1"/>
  <c r="I481" i="32" s="1"/>
  <c r="D480" i="32"/>
  <c r="H480" i="32" s="1"/>
  <c r="I480" i="32" s="1"/>
  <c r="H479" i="32"/>
  <c r="G479" i="32"/>
  <c r="I477" i="32"/>
  <c r="D477" i="32"/>
  <c r="D478" i="32" s="1"/>
  <c r="H478" i="32" s="1"/>
  <c r="I478" i="32" s="1"/>
  <c r="I475" i="32"/>
  <c r="D475" i="32"/>
  <c r="D476" i="32" s="1"/>
  <c r="H476" i="32" s="1"/>
  <c r="I476" i="32" s="1"/>
  <c r="I473" i="32"/>
  <c r="D473" i="32"/>
  <c r="D474" i="32" s="1"/>
  <c r="H474" i="32" s="1"/>
  <c r="I474" i="32" s="1"/>
  <c r="D470" i="32"/>
  <c r="H470" i="32" s="1"/>
  <c r="D469" i="32"/>
  <c r="H469" i="32" s="1"/>
  <c r="D468" i="32"/>
  <c r="H468" i="32" s="1"/>
  <c r="D463" i="32"/>
  <c r="D467" i="32" s="1"/>
  <c r="H467" i="32" s="1"/>
  <c r="D457" i="32"/>
  <c r="G462" i="32" s="1"/>
  <c r="D456" i="32"/>
  <c r="H456" i="32" s="1"/>
  <c r="D447" i="32"/>
  <c r="G453" i="32" s="1"/>
  <c r="D446" i="32"/>
  <c r="H446" i="32" s="1"/>
  <c r="D437" i="32"/>
  <c r="G446" i="32" s="1"/>
  <c r="H435" i="32"/>
  <c r="G435" i="32"/>
  <c r="D432" i="32"/>
  <c r="G432" i="32" s="1"/>
  <c r="D431" i="32"/>
  <c r="D430" i="32"/>
  <c r="G430" i="32" s="1"/>
  <c r="D429" i="32"/>
  <c r="D425" i="32"/>
  <c r="D426" i="32" s="1"/>
  <c r="G426" i="32" s="1"/>
  <c r="H424" i="32"/>
  <c r="G424" i="32"/>
  <c r="H423" i="32"/>
  <c r="G423" i="32"/>
  <c r="D421" i="32"/>
  <c r="D422" i="32" s="1"/>
  <c r="D418" i="32"/>
  <c r="G418" i="32" s="1"/>
  <c r="D415" i="32"/>
  <c r="H415" i="32" s="1"/>
  <c r="D414" i="32"/>
  <c r="H414" i="32" s="1"/>
  <c r="H412" i="32"/>
  <c r="G412" i="32"/>
  <c r="D407" i="32"/>
  <c r="D404" i="32"/>
  <c r="D405" i="32" s="1"/>
  <c r="D403" i="32"/>
  <c r="H403" i="32" s="1"/>
  <c r="D402" i="32"/>
  <c r="D401" i="32"/>
  <c r="H400" i="32"/>
  <c r="G400" i="32"/>
  <c r="D396" i="32"/>
  <c r="G396" i="32" s="1"/>
  <c r="H395" i="32"/>
  <c r="G395" i="32"/>
  <c r="H394" i="32"/>
  <c r="G394" i="32"/>
  <c r="D393" i="32"/>
  <c r="D392" i="32"/>
  <c r="G392" i="32" s="1"/>
  <c r="D391" i="32"/>
  <c r="D390" i="32"/>
  <c r="D387" i="32"/>
  <c r="H387" i="32" s="1"/>
  <c r="D386" i="32"/>
  <c r="H386" i="32" s="1"/>
  <c r="D385" i="32"/>
  <c r="D384" i="32"/>
  <c r="G384" i="32" s="1"/>
  <c r="D383" i="32"/>
  <c r="D380" i="32"/>
  <c r="D382" i="32" s="1"/>
  <c r="H382" i="32" s="1"/>
  <c r="D377" i="32"/>
  <c r="D378" i="32" s="1"/>
  <c r="D376" i="32"/>
  <c r="G376" i="32" s="1"/>
  <c r="D375" i="32"/>
  <c r="G375" i="32" s="1"/>
  <c r="D374" i="32"/>
  <c r="D373" i="32"/>
  <c r="F371" i="32"/>
  <c r="D369" i="32"/>
  <c r="H368" i="32"/>
  <c r="G368" i="32"/>
  <c r="D364" i="32"/>
  <c r="D365" i="32" s="1"/>
  <c r="H365" i="32" s="1"/>
  <c r="D362" i="32"/>
  <c r="G362" i="32" s="1"/>
  <c r="D361" i="32"/>
  <c r="H361" i="32" s="1"/>
  <c r="D360" i="32"/>
  <c r="H360" i="32" s="1"/>
  <c r="D359" i="32"/>
  <c r="H359" i="32" s="1"/>
  <c r="D358" i="32"/>
  <c r="G358" i="32" s="1"/>
  <c r="D357" i="32"/>
  <c r="D354" i="32"/>
  <c r="G354" i="32" s="1"/>
  <c r="D353" i="32"/>
  <c r="D352" i="32"/>
  <c r="H352" i="32" s="1"/>
  <c r="D351" i="32"/>
  <c r="H351" i="32" s="1"/>
  <c r="D350" i="32"/>
  <c r="H350" i="32" s="1"/>
  <c r="D348" i="32"/>
  <c r="H348" i="32" s="1"/>
  <c r="H347" i="32"/>
  <c r="G347" i="32"/>
  <c r="D344" i="32"/>
  <c r="D345" i="32" s="1"/>
  <c r="H345" i="32" s="1"/>
  <c r="D341" i="32"/>
  <c r="G341" i="32" s="1"/>
  <c r="H340" i="32"/>
  <c r="G340" i="32"/>
  <c r="D339" i="32"/>
  <c r="H339" i="32" s="1"/>
  <c r="D338" i="32"/>
  <c r="G338" i="32" s="1"/>
  <c r="D337" i="32"/>
  <c r="G337" i="32" s="1"/>
  <c r="D336" i="32"/>
  <c r="H336" i="32" s="1"/>
  <c r="D333" i="32"/>
  <c r="G333" i="32" s="1"/>
  <c r="H331" i="32"/>
  <c r="G331" i="32"/>
  <c r="D330" i="32"/>
  <c r="H330" i="32" s="1"/>
  <c r="D329" i="32"/>
  <c r="H329" i="32" s="1"/>
  <c r="D328" i="32"/>
  <c r="H328" i="32" s="1"/>
  <c r="D327" i="32"/>
  <c r="H327" i="32" s="1"/>
  <c r="D326" i="32"/>
  <c r="H326" i="32" s="1"/>
  <c r="D325" i="32"/>
  <c r="H325" i="32" s="1"/>
  <c r="D324" i="32"/>
  <c r="H324" i="32" s="1"/>
  <c r="D323" i="32"/>
  <c r="H321" i="32"/>
  <c r="D320" i="32"/>
  <c r="G320" i="32" s="1"/>
  <c r="D319" i="32"/>
  <c r="D318" i="32"/>
  <c r="G318" i="32" s="1"/>
  <c r="D317" i="32"/>
  <c r="G317" i="32" s="1"/>
  <c r="D316" i="32"/>
  <c r="G316" i="32" s="1"/>
  <c r="D314" i="32"/>
  <c r="G314" i="32" s="1"/>
  <c r="D313" i="32"/>
  <c r="G313" i="32" s="1"/>
  <c r="D312" i="32"/>
  <c r="G312" i="32" s="1"/>
  <c r="D311" i="32"/>
  <c r="G311" i="32" s="1"/>
  <c r="D310" i="32"/>
  <c r="G310" i="32" s="1"/>
  <c r="D309" i="32"/>
  <c r="G309" i="32" s="1"/>
  <c r="D308" i="32"/>
  <c r="G308" i="32" s="1"/>
  <c r="D306" i="32"/>
  <c r="G306" i="32" s="1"/>
  <c r="D303" i="32"/>
  <c r="H303" i="32" s="1"/>
  <c r="D302" i="32"/>
  <c r="D305" i="32" s="1"/>
  <c r="D301" i="32"/>
  <c r="H301" i="32" s="1"/>
  <c r="H300" i="32"/>
  <c r="G300" i="32"/>
  <c r="D299" i="32"/>
  <c r="H299" i="32" s="1"/>
  <c r="D298" i="32"/>
  <c r="D294" i="32"/>
  <c r="H294" i="32" s="1"/>
  <c r="D293" i="32"/>
  <c r="D296" i="32" s="1"/>
  <c r="D292" i="32"/>
  <c r="H292" i="32" s="1"/>
  <c r="H291" i="32"/>
  <c r="G291" i="32"/>
  <c r="H290" i="32"/>
  <c r="G290" i="32"/>
  <c r="D289" i="32"/>
  <c r="G289" i="32" s="1"/>
  <c r="D288" i="32"/>
  <c r="D287" i="32"/>
  <c r="G287" i="32" s="1"/>
  <c r="H286" i="32"/>
  <c r="G286" i="32"/>
  <c r="D285" i="32"/>
  <c r="H285" i="32" s="1"/>
  <c r="D284" i="32"/>
  <c r="D283" i="32"/>
  <c r="H283" i="32" s="1"/>
  <c r="H282" i="32"/>
  <c r="G282" i="32"/>
  <c r="D281" i="32"/>
  <c r="H281" i="32" s="1"/>
  <c r="D278" i="32"/>
  <c r="H278" i="32" s="1"/>
  <c r="D277" i="32"/>
  <c r="H277" i="32" s="1"/>
  <c r="D275" i="32"/>
  <c r="G275" i="32" s="1"/>
  <c r="D274" i="32"/>
  <c r="H274" i="32" s="1"/>
  <c r="D272" i="32"/>
  <c r="D271" i="32"/>
  <c r="G271" i="32" s="1"/>
  <c r="D269" i="32"/>
  <c r="H269" i="32" s="1"/>
  <c r="D268" i="32"/>
  <c r="G268" i="32" s="1"/>
  <c r="D267" i="32"/>
  <c r="G267" i="32" s="1"/>
  <c r="D265" i="32"/>
  <c r="H265" i="32" s="1"/>
  <c r="D264" i="32"/>
  <c r="H264" i="32" s="1"/>
  <c r="D262" i="32"/>
  <c r="H261" i="32"/>
  <c r="G261" i="32"/>
  <c r="D259" i="32"/>
  <c r="H259" i="32" s="1"/>
  <c r="D258" i="32"/>
  <c r="H258" i="32" s="1"/>
  <c r="D256" i="32"/>
  <c r="D255" i="32"/>
  <c r="H255" i="32" s="1"/>
  <c r="D253" i="32"/>
  <c r="D252" i="32"/>
  <c r="D251" i="32"/>
  <c r="G251" i="32" s="1"/>
  <c r="D249" i="32"/>
  <c r="D248" i="32"/>
  <c r="H248" i="32" s="1"/>
  <c r="D246" i="32"/>
  <c r="H246" i="32" s="1"/>
  <c r="H245" i="32"/>
  <c r="G245" i="32"/>
  <c r="H242" i="32"/>
  <c r="G242" i="32"/>
  <c r="H241" i="32"/>
  <c r="G241" i="32"/>
  <c r="D240" i="32"/>
  <c r="G240" i="32" s="1"/>
  <c r="D239" i="32"/>
  <c r="G239" i="32" s="1"/>
  <c r="D238" i="32"/>
  <c r="H238" i="32" s="1"/>
  <c r="D236" i="32"/>
  <c r="H236" i="32" s="1"/>
  <c r="D235" i="32"/>
  <c r="G235" i="32" s="1"/>
  <c r="D234" i="32"/>
  <c r="G234" i="32" s="1"/>
  <c r="D233" i="32"/>
  <c r="D232" i="32"/>
  <c r="H232" i="32" s="1"/>
  <c r="D231" i="32"/>
  <c r="G231" i="32" s="1"/>
  <c r="H230" i="32"/>
  <c r="G230" i="32"/>
  <c r="D229" i="32"/>
  <c r="H229" i="32" s="1"/>
  <c r="D228" i="32"/>
  <c r="D227" i="32"/>
  <c r="H227" i="32" s="1"/>
  <c r="D226" i="32"/>
  <c r="H226" i="32" s="1"/>
  <c r="H225" i="32"/>
  <c r="G225" i="32"/>
  <c r="D223" i="32"/>
  <c r="G223" i="32" s="1"/>
  <c r="D221" i="32"/>
  <c r="G221" i="32" s="1"/>
  <c r="D220" i="32"/>
  <c r="D219" i="32"/>
  <c r="G219" i="32" s="1"/>
  <c r="D218" i="32"/>
  <c r="G218" i="32" s="1"/>
  <c r="D216" i="32"/>
  <c r="D215" i="32"/>
  <c r="D214" i="32"/>
  <c r="G214" i="32" s="1"/>
  <c r="D212" i="32"/>
  <c r="D211" i="32"/>
  <c r="G211" i="32" s="1"/>
  <c r="D210" i="32"/>
  <c r="G210" i="32" s="1"/>
  <c r="D209" i="32"/>
  <c r="G209" i="32" s="1"/>
  <c r="D207" i="32"/>
  <c r="D206" i="32"/>
  <c r="G206" i="32" s="1"/>
  <c r="D205" i="32"/>
  <c r="G205" i="32" s="1"/>
  <c r="D203" i="32"/>
  <c r="G203" i="32" s="1"/>
  <c r="D202" i="32"/>
  <c r="G202" i="32" s="1"/>
  <c r="D201" i="32"/>
  <c r="G201" i="32" s="1"/>
  <c r="D200" i="32"/>
  <c r="D198" i="32"/>
  <c r="G198" i="32" s="1"/>
  <c r="D197" i="32"/>
  <c r="G197" i="32" s="1"/>
  <c r="D196" i="32"/>
  <c r="D195" i="32"/>
  <c r="G195" i="32" s="1"/>
  <c r="D194" i="32"/>
  <c r="G194" i="32" s="1"/>
  <c r="D193" i="32"/>
  <c r="G193" i="32" s="1"/>
  <c r="H192" i="32"/>
  <c r="G192" i="32"/>
  <c r="D191" i="32"/>
  <c r="D190" i="32"/>
  <c r="H190" i="32" s="1"/>
  <c r="D189" i="32"/>
  <c r="G189" i="32" s="1"/>
  <c r="H188" i="32"/>
  <c r="G188" i="32"/>
  <c r="D187" i="32"/>
  <c r="H187" i="32" s="1"/>
  <c r="D186" i="32"/>
  <c r="D185" i="32"/>
  <c r="G185" i="32" s="1"/>
  <c r="H184" i="32"/>
  <c r="G184" i="32"/>
  <c r="D183" i="32"/>
  <c r="H183" i="32" s="1"/>
  <c r="D182" i="32"/>
  <c r="D181" i="32"/>
  <c r="H181" i="32" s="1"/>
  <c r="D180" i="32"/>
  <c r="D179" i="32"/>
  <c r="H179" i="32" s="1"/>
  <c r="H178" i="32"/>
  <c r="G178" i="32"/>
  <c r="D177" i="32"/>
  <c r="H177" i="32" s="1"/>
  <c r="H176" i="32"/>
  <c r="G176" i="32"/>
  <c r="D175" i="32"/>
  <c r="G175" i="32" s="1"/>
  <c r="D174" i="32"/>
  <c r="G174" i="32" s="1"/>
  <c r="H173" i="32"/>
  <c r="G173" i="32"/>
  <c r="D172" i="32"/>
  <c r="D171" i="32"/>
  <c r="G171" i="32" s="1"/>
  <c r="D170" i="32"/>
  <c r="D169" i="32"/>
  <c r="G169" i="32" s="1"/>
  <c r="D168" i="32"/>
  <c r="H167" i="32"/>
  <c r="G167" i="32"/>
  <c r="D166" i="32"/>
  <c r="D165" i="32"/>
  <c r="H165" i="32" s="1"/>
  <c r="D164" i="32"/>
  <c r="D162" i="32"/>
  <c r="G162" i="32" s="1"/>
  <c r="D161" i="32"/>
  <c r="D160" i="32"/>
  <c r="H160" i="32" s="1"/>
  <c r="D159" i="32"/>
  <c r="H159" i="32" s="1"/>
  <c r="D158" i="32"/>
  <c r="H158" i="32" s="1"/>
  <c r="H157" i="32"/>
  <c r="G157" i="32"/>
  <c r="D155" i="32"/>
  <c r="H155" i="32" s="1"/>
  <c r="D154" i="32"/>
  <c r="H154" i="32" s="1"/>
  <c r="D153" i="32"/>
  <c r="H153" i="32" s="1"/>
  <c r="D152" i="32"/>
  <c r="H152" i="32" s="1"/>
  <c r="D151" i="32"/>
  <c r="H151" i="32" s="1"/>
  <c r="D150" i="32"/>
  <c r="H150" i="32" s="1"/>
  <c r="H149" i="32"/>
  <c r="G149" i="32"/>
  <c r="D147" i="32"/>
  <c r="G147" i="32" s="1"/>
  <c r="D146" i="32"/>
  <c r="G146" i="32" s="1"/>
  <c r="D144" i="32"/>
  <c r="G144" i="32" s="1"/>
  <c r="D143" i="32"/>
  <c r="G143" i="32" s="1"/>
  <c r="D142" i="32"/>
  <c r="G142" i="32" s="1"/>
  <c r="D141" i="32"/>
  <c r="G141" i="32" s="1"/>
  <c r="D140" i="32"/>
  <c r="G140" i="32" s="1"/>
  <c r="D139" i="32"/>
  <c r="G139" i="32" s="1"/>
  <c r="D137" i="32"/>
  <c r="G137" i="32" s="1"/>
  <c r="D136" i="32"/>
  <c r="G136" i="32" s="1"/>
  <c r="D135" i="32"/>
  <c r="G135" i="32" s="1"/>
  <c r="D134" i="32"/>
  <c r="G134" i="32" s="1"/>
  <c r="D132" i="32"/>
  <c r="G132" i="32" s="1"/>
  <c r="D131" i="32"/>
  <c r="G131" i="32" s="1"/>
  <c r="D130" i="32"/>
  <c r="H130" i="32" s="1"/>
  <c r="D129" i="32"/>
  <c r="H129" i="32" s="1"/>
  <c r="D128" i="32"/>
  <c r="D127" i="32"/>
  <c r="G127" i="32" s="1"/>
  <c r="D125" i="32"/>
  <c r="H125" i="32" s="1"/>
  <c r="D124" i="32"/>
  <c r="H124" i="32" s="1"/>
  <c r="D123" i="32"/>
  <c r="D122" i="32"/>
  <c r="G122" i="32" s="1"/>
  <c r="H121" i="32"/>
  <c r="G121" i="32"/>
  <c r="D119" i="32"/>
  <c r="H119" i="32" s="1"/>
  <c r="D118" i="32"/>
  <c r="D116" i="32"/>
  <c r="G116" i="32" s="1"/>
  <c r="D115" i="32"/>
  <c r="H115" i="32" s="1"/>
  <c r="D114" i="32"/>
  <c r="G114" i="32" s="1"/>
  <c r="H113" i="32"/>
  <c r="G113" i="32"/>
  <c r="D112" i="32"/>
  <c r="H112" i="32" s="1"/>
  <c r="D111" i="32"/>
  <c r="H111" i="32" s="1"/>
  <c r="D110" i="32"/>
  <c r="H110" i="32" s="1"/>
  <c r="D109" i="32"/>
  <c r="H109" i="32" s="1"/>
  <c r="H108" i="32"/>
  <c r="G108" i="32"/>
  <c r="D107" i="32"/>
  <c r="H107" i="32" s="1"/>
  <c r="H106" i="32"/>
  <c r="G106" i="32"/>
  <c r="D105" i="32"/>
  <c r="G105" i="32" s="1"/>
  <c r="D104" i="32"/>
  <c r="H104" i="32" s="1"/>
  <c r="H103" i="32"/>
  <c r="G103" i="32"/>
  <c r="H102" i="32"/>
  <c r="G102" i="32"/>
  <c r="H101" i="32"/>
  <c r="G101" i="32"/>
  <c r="H100" i="32"/>
  <c r="G100" i="32"/>
  <c r="D98" i="32"/>
  <c r="D97" i="32"/>
  <c r="H97" i="32" s="1"/>
  <c r="D96" i="32"/>
  <c r="G96" i="32" s="1"/>
  <c r="D95" i="32"/>
  <c r="G95" i="32" s="1"/>
  <c r="D94" i="32"/>
  <c r="H93" i="32"/>
  <c r="G93" i="32"/>
  <c r="D91" i="32"/>
  <c r="H91" i="32" s="1"/>
  <c r="D90" i="32"/>
  <c r="D89" i="32"/>
  <c r="H89" i="32" s="1"/>
  <c r="D88" i="32"/>
  <c r="H87" i="32"/>
  <c r="G87" i="32"/>
  <c r="D86" i="32"/>
  <c r="H86" i="32" s="1"/>
  <c r="D85" i="32"/>
  <c r="H85" i="32" s="1"/>
  <c r="D83" i="32"/>
  <c r="H83" i="32" s="1"/>
  <c r="D82" i="32"/>
  <c r="H82" i="32" s="1"/>
  <c r="D81" i="32"/>
  <c r="H81" i="32" s="1"/>
  <c r="D80" i="32"/>
  <c r="H80" i="32" s="1"/>
  <c r="D78" i="32"/>
  <c r="H78" i="32" s="1"/>
  <c r="H77" i="32"/>
  <c r="G77" i="32"/>
  <c r="D75" i="32"/>
  <c r="H75" i="32" s="1"/>
  <c r="D74" i="32"/>
  <c r="H74" i="32" s="1"/>
  <c r="D73" i="32"/>
  <c r="H73" i="32" s="1"/>
  <c r="D72" i="32"/>
  <c r="H72" i="32" s="1"/>
  <c r="D71" i="32"/>
  <c r="H71" i="32" s="1"/>
  <c r="D70" i="32"/>
  <c r="H70" i="32" s="1"/>
  <c r="D69" i="32"/>
  <c r="H69" i="32" s="1"/>
  <c r="D67" i="32"/>
  <c r="H67" i="32" s="1"/>
  <c r="H66" i="32"/>
  <c r="G66" i="32"/>
  <c r="D64" i="32"/>
  <c r="H64" i="32" s="1"/>
  <c r="D63" i="32"/>
  <c r="G63" i="32" s="1"/>
  <c r="D62" i="32"/>
  <c r="H62" i="32" s="1"/>
  <c r="D61" i="32"/>
  <c r="G61" i="32" s="1"/>
  <c r="D60" i="32"/>
  <c r="H60" i="32" s="1"/>
  <c r="D59" i="32"/>
  <c r="G59" i="32" s="1"/>
  <c r="D58" i="32"/>
  <c r="G58" i="32" s="1"/>
  <c r="D56" i="32"/>
  <c r="H56" i="32" s="1"/>
  <c r="D55" i="32"/>
  <c r="H54" i="32"/>
  <c r="G54" i="32"/>
  <c r="D52" i="32"/>
  <c r="D53" i="32" s="1"/>
  <c r="D50" i="32"/>
  <c r="H50" i="32" s="1"/>
  <c r="D49" i="32"/>
  <c r="H49" i="32" s="1"/>
  <c r="D48" i="32"/>
  <c r="G48" i="32" s="1"/>
  <c r="D47" i="32"/>
  <c r="G47" i="32" s="1"/>
  <c r="H45" i="32"/>
  <c r="G45" i="32"/>
  <c r="D44" i="32"/>
  <c r="H44" i="32" s="1"/>
  <c r="H43" i="32"/>
  <c r="G43" i="32"/>
  <c r="H42" i="32"/>
  <c r="G42" i="32"/>
  <c r="H41" i="32"/>
  <c r="G41" i="32"/>
  <c r="H40" i="32"/>
  <c r="G40" i="32"/>
  <c r="D39" i="32"/>
  <c r="H39" i="32" s="1"/>
  <c r="H38" i="32"/>
  <c r="G38" i="32"/>
  <c r="D37" i="32"/>
  <c r="H36" i="32"/>
  <c r="G36" i="32"/>
  <c r="H35" i="32"/>
  <c r="G35" i="32"/>
  <c r="D33" i="32"/>
  <c r="H33" i="32" s="1"/>
  <c r="D32" i="32"/>
  <c r="G32" i="32" s="1"/>
  <c r="D31" i="32"/>
  <c r="H31" i="32" s="1"/>
  <c r="D30" i="32"/>
  <c r="G30" i="32" s="1"/>
  <c r="D29" i="32"/>
  <c r="G29" i="32" s="1"/>
  <c r="D28" i="32"/>
  <c r="G28" i="32" s="1"/>
  <c r="H27" i="32"/>
  <c r="G27" i="32"/>
  <c r="D26" i="32"/>
  <c r="H26" i="32" s="1"/>
  <c r="D25" i="32"/>
  <c r="H25" i="32" s="1"/>
  <c r="D24" i="32"/>
  <c r="H24" i="32" s="1"/>
  <c r="H22" i="32"/>
  <c r="G22" i="32"/>
  <c r="D21" i="32"/>
  <c r="G21" i="32" s="1"/>
  <c r="H20" i="32"/>
  <c r="G20" i="32"/>
  <c r="D19" i="32"/>
  <c r="G19" i="32" s="1"/>
  <c r="H18" i="32"/>
  <c r="G18" i="32"/>
  <c r="G16" i="32"/>
  <c r="I16" i="32" s="1"/>
  <c r="G15" i="32"/>
  <c r="I15" i="32" s="1"/>
  <c r="D14" i="32"/>
  <c r="H14" i="32" s="1"/>
  <c r="D13" i="32"/>
  <c r="G13" i="32" s="1"/>
  <c r="I13" i="32" s="1"/>
  <c r="D12" i="32"/>
  <c r="G12" i="32" s="1"/>
  <c r="I12" i="32" s="1"/>
  <c r="I4" i="2"/>
  <c r="G10" i="32"/>
  <c r="I10" i="32" s="1"/>
  <c r="D9" i="32"/>
  <c r="G9" i="32" s="1"/>
  <c r="I9" i="32" s="1"/>
  <c r="G7" i="32"/>
  <c r="I7" i="32" s="1"/>
  <c r="G6" i="32"/>
  <c r="I6" i="32" s="1"/>
  <c r="G5" i="32"/>
  <c r="I5" i="32" s="1"/>
  <c r="D4" i="32"/>
  <c r="I1757" i="32" l="1"/>
  <c r="I1752" i="32"/>
  <c r="G1559" i="32"/>
  <c r="I1751" i="32"/>
  <c r="I1753" i="32"/>
  <c r="G1756" i="32"/>
  <c r="I1749" i="32"/>
  <c r="H1750" i="32"/>
  <c r="I1754" i="32"/>
  <c r="I1758" i="32"/>
  <c r="H1659" i="32"/>
  <c r="H1756" i="32"/>
  <c r="I1759" i="32"/>
  <c r="G1750" i="32"/>
  <c r="I1567" i="32"/>
  <c r="I1579" i="32"/>
  <c r="I999" i="32"/>
  <c r="I1001" i="32"/>
  <c r="I1003" i="32"/>
  <c r="I1005" i="32"/>
  <c r="I1007" i="32"/>
  <c r="I1009" i="32"/>
  <c r="I1015" i="32"/>
  <c r="I1017" i="32"/>
  <c r="I1019" i="32"/>
  <c r="I1021" i="32"/>
  <c r="I1023" i="32"/>
  <c r="I1025" i="32"/>
  <c r="I1054" i="32"/>
  <c r="I1066" i="32"/>
  <c r="I1068" i="32"/>
  <c r="I1088" i="32"/>
  <c r="I1090" i="32"/>
  <c r="I1092" i="32"/>
  <c r="I1094" i="32"/>
  <c r="I1096" i="32"/>
  <c r="I1098" i="32"/>
  <c r="I1104" i="32"/>
  <c r="I1106" i="32"/>
  <c r="I1108" i="32"/>
  <c r="I1110" i="32"/>
  <c r="I1112" i="32"/>
  <c r="I1114" i="32"/>
  <c r="I1136" i="32"/>
  <c r="I1138" i="32"/>
  <c r="I1140" i="32"/>
  <c r="I1142" i="32"/>
  <c r="I1144" i="32"/>
  <c r="I1146" i="32"/>
  <c r="I1152" i="32"/>
  <c r="I1154" i="32"/>
  <c r="I1156" i="32"/>
  <c r="I1158" i="32"/>
  <c r="I1167" i="32"/>
  <c r="I1204" i="32"/>
  <c r="I1215" i="32"/>
  <c r="I1217" i="32"/>
  <c r="I1219" i="32"/>
  <c r="I1221" i="32"/>
  <c r="I1227" i="32"/>
  <c r="I1229" i="32"/>
  <c r="I1231" i="32"/>
  <c r="I1233" i="32"/>
  <c r="I1235" i="32"/>
  <c r="I1238" i="32"/>
  <c r="I1243" i="32"/>
  <c r="I1245" i="32"/>
  <c r="I1247" i="32"/>
  <c r="I1249" i="32"/>
  <c r="I1251" i="32"/>
  <c r="I1253" i="32"/>
  <c r="I1340" i="32"/>
  <c r="I1399" i="32"/>
  <c r="I1403" i="32"/>
  <c r="I1414" i="32"/>
  <c r="I1416" i="32"/>
  <c r="I1422" i="32"/>
  <c r="I1424" i="32"/>
  <c r="I1426" i="32"/>
  <c r="I1428" i="32"/>
  <c r="I1430" i="32"/>
  <c r="I1432" i="32"/>
  <c r="I1442" i="32"/>
  <c r="I1444" i="32"/>
  <c r="I1483" i="32"/>
  <c r="I1485" i="32"/>
  <c r="I1487" i="32"/>
  <c r="I1489" i="32"/>
  <c r="I1491" i="32"/>
  <c r="I1493" i="32"/>
  <c r="I1495" i="32"/>
  <c r="I1497" i="32"/>
  <c r="I1499" i="32"/>
  <c r="I1501" i="32"/>
  <c r="I1503" i="32"/>
  <c r="I1505" i="32"/>
  <c r="I1507" i="32"/>
  <c r="I1509" i="32"/>
  <c r="I1511" i="32"/>
  <c r="I1513" i="32"/>
  <c r="I1515" i="32"/>
  <c r="I1517" i="32"/>
  <c r="I1519" i="32"/>
  <c r="I1521" i="32"/>
  <c r="I1523" i="32"/>
  <c r="I1525" i="32"/>
  <c r="I1527" i="32"/>
  <c r="I1529" i="32"/>
  <c r="I1531" i="32"/>
  <c r="I1533" i="32"/>
  <c r="I1535" i="32"/>
  <c r="I1537" i="32"/>
  <c r="I1539" i="32"/>
  <c r="I1541" i="32"/>
  <c r="I1543" i="32"/>
  <c r="H1658" i="32"/>
  <c r="H1645" i="32"/>
  <c r="H1236" i="32"/>
  <c r="I1255" i="32"/>
  <c r="I1263" i="32"/>
  <c r="I1283" i="32"/>
  <c r="I1287" i="32"/>
  <c r="I1295" i="32"/>
  <c r="I1299" i="32"/>
  <c r="I1321" i="32"/>
  <c r="I1323" i="32"/>
  <c r="I1325" i="32"/>
  <c r="I1327" i="32"/>
  <c r="I1329" i="32"/>
  <c r="I1331" i="32"/>
  <c r="I1337" i="32"/>
  <c r="I1353" i="32"/>
  <c r="I1355" i="32"/>
  <c r="I1361" i="32"/>
  <c r="I1363" i="32"/>
  <c r="I1365" i="32"/>
  <c r="I1367" i="32"/>
  <c r="I1369" i="32"/>
  <c r="I1371" i="32"/>
  <c r="I1390" i="32"/>
  <c r="I1448" i="32"/>
  <c r="I1449" i="32"/>
  <c r="I1450" i="32"/>
  <c r="I1460" i="32"/>
  <c r="H1559" i="32"/>
  <c r="I1568" i="32"/>
  <c r="I1572" i="32"/>
  <c r="I1576" i="32"/>
  <c r="I1482" i="32"/>
  <c r="I1484" i="32"/>
  <c r="I1486" i="32"/>
  <c r="I1488" i="32"/>
  <c r="I1490" i="32"/>
  <c r="I1492" i="32"/>
  <c r="I1494" i="32"/>
  <c r="I1496" i="32"/>
  <c r="I1498" i="32"/>
  <c r="I1500" i="32"/>
  <c r="I1502" i="32"/>
  <c r="I1504" i="32"/>
  <c r="I1506" i="32"/>
  <c r="I1508" i="32"/>
  <c r="I1510" i="32"/>
  <c r="I1512" i="32"/>
  <c r="I1514" i="32"/>
  <c r="I1516" i="32"/>
  <c r="I1518" i="32"/>
  <c r="I1520" i="32"/>
  <c r="I1522" i="32"/>
  <c r="I1524" i="32"/>
  <c r="I1526" i="32"/>
  <c r="I1528" i="32"/>
  <c r="I1530" i="32"/>
  <c r="I1532" i="32"/>
  <c r="I1534" i="32"/>
  <c r="I1536" i="32"/>
  <c r="I1538" i="32"/>
  <c r="I1540" i="32"/>
  <c r="I1542" i="32"/>
  <c r="I1544" i="32"/>
  <c r="H1580" i="32"/>
  <c r="H1481" i="32" s="1"/>
  <c r="I1571" i="32"/>
  <c r="I1575" i="32"/>
  <c r="I1465" i="32"/>
  <c r="I1566" i="32"/>
  <c r="I1570" i="32"/>
  <c r="I1574" i="32"/>
  <c r="I1578" i="32"/>
  <c r="I1413" i="32"/>
  <c r="I1433" i="32"/>
  <c r="I1443" i="32"/>
  <c r="H1446" i="32"/>
  <c r="I1446" i="32" s="1"/>
  <c r="I1452" i="32"/>
  <c r="I1459" i="32"/>
  <c r="I1462" i="32"/>
  <c r="I1472" i="32"/>
  <c r="I1474" i="32"/>
  <c r="I1476" i="32"/>
  <c r="I1478" i="32"/>
  <c r="I1565" i="32"/>
  <c r="I1569" i="32"/>
  <c r="I1573" i="32"/>
  <c r="I1577" i="32"/>
  <c r="H1409" i="32"/>
  <c r="I1409" i="32" s="1"/>
  <c r="G1580" i="32"/>
  <c r="I1427" i="32"/>
  <c r="I1298" i="32"/>
  <c r="I1301" i="32"/>
  <c r="I1307" i="32"/>
  <c r="H1347" i="32"/>
  <c r="I1347" i="32" s="1"/>
  <c r="I1351" i="32"/>
  <c r="I1404" i="32"/>
  <c r="I1406" i="32"/>
  <c r="I1408" i="32"/>
  <c r="H1463" i="32"/>
  <c r="H1456" i="32" s="1"/>
  <c r="I1466" i="32"/>
  <c r="I1468" i="32"/>
  <c r="I1471" i="32"/>
  <c r="I1232" i="32"/>
  <c r="I1318" i="32"/>
  <c r="I1402" i="32"/>
  <c r="I1441" i="32"/>
  <c r="I1477" i="32"/>
  <c r="G1063" i="32"/>
  <c r="I1314" i="32"/>
  <c r="I1396" i="32"/>
  <c r="I1420" i="32"/>
  <c r="H1435" i="32"/>
  <c r="I1435" i="32" s="1"/>
  <c r="I1454" i="32"/>
  <c r="I1060" i="32"/>
  <c r="I1075" i="32"/>
  <c r="I1081" i="32"/>
  <c r="I1083" i="32"/>
  <c r="I1306" i="32"/>
  <c r="I1311" i="32"/>
  <c r="I1315" i="32"/>
  <c r="I1372" i="32"/>
  <c r="I1376" i="32"/>
  <c r="I1383" i="32"/>
  <c r="I1385" i="32"/>
  <c r="I1387" i="32"/>
  <c r="I1391" i="32"/>
  <c r="I1393" i="32"/>
  <c r="I1395" i="32"/>
  <c r="I1397" i="32"/>
  <c r="I1411" i="32"/>
  <c r="I1417" i="32"/>
  <c r="I1421" i="32"/>
  <c r="I1429" i="32"/>
  <c r="I1437" i="32"/>
  <c r="I1457" i="32"/>
  <c r="H1469" i="32"/>
  <c r="I1277" i="32"/>
  <c r="H1300" i="32"/>
  <c r="H1310" i="32"/>
  <c r="I1310" i="32" s="1"/>
  <c r="I1218" i="32"/>
  <c r="I1239" i="32"/>
  <c r="I1242" i="32"/>
  <c r="I1250" i="32"/>
  <c r="I1256" i="32"/>
  <c r="I1258" i="32"/>
  <c r="I1260" i="32"/>
  <c r="I1262" i="32"/>
  <c r="I1264" i="32"/>
  <c r="I1266" i="32"/>
  <c r="I1272" i="32"/>
  <c r="I1274" i="32"/>
  <c r="I1276" i="32"/>
  <c r="I1278" i="32"/>
  <c r="I1280" i="32"/>
  <c r="I1282" i="32"/>
  <c r="I1288" i="32"/>
  <c r="I1290" i="32"/>
  <c r="I1292" i="32"/>
  <c r="I1294" i="32"/>
  <c r="I1296" i="32"/>
  <c r="I1312" i="32"/>
  <c r="I1320" i="32"/>
  <c r="I1328" i="32"/>
  <c r="I1356" i="32"/>
  <c r="I1360" i="32"/>
  <c r="I1368" i="32"/>
  <c r="I1375" i="32"/>
  <c r="I1386" i="32"/>
  <c r="I1248" i="32"/>
  <c r="I1293" i="32"/>
  <c r="I1366" i="32"/>
  <c r="H1412" i="32"/>
  <c r="I1415" i="32"/>
  <c r="I1431" i="32"/>
  <c r="I1436" i="32"/>
  <c r="I1445" i="32"/>
  <c r="I1455" i="32"/>
  <c r="I1458" i="32"/>
  <c r="I1470" i="32"/>
  <c r="I1225" i="32"/>
  <c r="I1270" i="32"/>
  <c r="I1335" i="32"/>
  <c r="I1401" i="32"/>
  <c r="I1419" i="32"/>
  <c r="H1451" i="32"/>
  <c r="I1451" i="32" s="1"/>
  <c r="I1464" i="32"/>
  <c r="I1216" i="32"/>
  <c r="I1222" i="32"/>
  <c r="I1226" i="32"/>
  <c r="I1234" i="32"/>
  <c r="I1261" i="32"/>
  <c r="I1267" i="32"/>
  <c r="I1271" i="32"/>
  <c r="I1279" i="32"/>
  <c r="I1286" i="32"/>
  <c r="I1326" i="32"/>
  <c r="I1332" i="32"/>
  <c r="I1336" i="32"/>
  <c r="H1339" i="32"/>
  <c r="I1339" i="32" s="1"/>
  <c r="I1359" i="32"/>
  <c r="I1377" i="32"/>
  <c r="I1379" i="32"/>
  <c r="H1389" i="32"/>
  <c r="I1392" i="32"/>
  <c r="I1394" i="32"/>
  <c r="I1400" i="32"/>
  <c r="I1405" i="32"/>
  <c r="I1407" i="32"/>
  <c r="I1410" i="32"/>
  <c r="I1418" i="32"/>
  <c r="I1423" i="32"/>
  <c r="I1425" i="32"/>
  <c r="I1434" i="32"/>
  <c r="I1447" i="32"/>
  <c r="I1453" i="32"/>
  <c r="G1469" i="32"/>
  <c r="I1473" i="32"/>
  <c r="I1475" i="32"/>
  <c r="H1440" i="32"/>
  <c r="I1440" i="32" s="1"/>
  <c r="G1461" i="32"/>
  <c r="I1461" i="32" s="1"/>
  <c r="H1467" i="32"/>
  <c r="I1467" i="32" s="1"/>
  <c r="G1389" i="32"/>
  <c r="G1398" i="32"/>
  <c r="G1412" i="32"/>
  <c r="I1220" i="32"/>
  <c r="G1236" i="32"/>
  <c r="I1240" i="32"/>
  <c r="I1252" i="32"/>
  <c r="I1265" i="32"/>
  <c r="I1281" i="32"/>
  <c r="I1297" i="32"/>
  <c r="I1305" i="32"/>
  <c r="I1313" i="32"/>
  <c r="I1317" i="32"/>
  <c r="I1330" i="32"/>
  <c r="I1342" i="32"/>
  <c r="I1345" i="32"/>
  <c r="I1354" i="32"/>
  <c r="I1370" i="32"/>
  <c r="G1381" i="32"/>
  <c r="H1214" i="32"/>
  <c r="I1224" i="32"/>
  <c r="I1269" i="32"/>
  <c r="I1285" i="32"/>
  <c r="I1309" i="32"/>
  <c r="I1334" i="32"/>
  <c r="I1358" i="32"/>
  <c r="I1374" i="32"/>
  <c r="H239" i="32"/>
  <c r="I239" i="32" s="1"/>
  <c r="I1093" i="32"/>
  <c r="I1223" i="32"/>
  <c r="I1228" i="32"/>
  <c r="I1230" i="32"/>
  <c r="I1237" i="32"/>
  <c r="H1241" i="32"/>
  <c r="I1244" i="32"/>
  <c r="I1246" i="32"/>
  <c r="H1254" i="32"/>
  <c r="I1257" i="32"/>
  <c r="I1259" i="32"/>
  <c r="I1268" i="32"/>
  <c r="I1273" i="32"/>
  <c r="I1275" i="32"/>
  <c r="I1284" i="32"/>
  <c r="I1289" i="32"/>
  <c r="I1291" i="32"/>
  <c r="I1302" i="32"/>
  <c r="I1308" i="32"/>
  <c r="H1319" i="32"/>
  <c r="I1319" i="32" s="1"/>
  <c r="I1322" i="32"/>
  <c r="I1324" i="32"/>
  <c r="I1333" i="32"/>
  <c r="I1338" i="32"/>
  <c r="H1352" i="32"/>
  <c r="I1357" i="32"/>
  <c r="I1362" i="32"/>
  <c r="I1364" i="32"/>
  <c r="I1373" i="32"/>
  <c r="I1378" i="32"/>
  <c r="I1380" i="32"/>
  <c r="I1382" i="32"/>
  <c r="I1384" i="32"/>
  <c r="G1214" i="32"/>
  <c r="G1300" i="32"/>
  <c r="H1304" i="32"/>
  <c r="H1316" i="32"/>
  <c r="I1316" i="32" s="1"/>
  <c r="H1344" i="32"/>
  <c r="I1344" i="32" s="1"/>
  <c r="I1348" i="32"/>
  <c r="G1352" i="32"/>
  <c r="H1381" i="32"/>
  <c r="G1241" i="32"/>
  <c r="G1254" i="32"/>
  <c r="G1303" i="32"/>
  <c r="I1343" i="32"/>
  <c r="I1200" i="32"/>
  <c r="I108" i="32"/>
  <c r="I615" i="32"/>
  <c r="I675" i="32"/>
  <c r="I1010" i="32"/>
  <c r="I1014" i="32"/>
  <c r="I1022" i="32"/>
  <c r="I1115" i="32"/>
  <c r="I1119" i="32"/>
  <c r="I1127" i="32"/>
  <c r="I1131" i="32"/>
  <c r="I1135" i="32"/>
  <c r="I1143" i="32"/>
  <c r="I1172" i="32"/>
  <c r="I1193" i="32"/>
  <c r="I1195" i="32"/>
  <c r="I1197" i="32"/>
  <c r="I368" i="32"/>
  <c r="I1076" i="32"/>
  <c r="I1080" i="32"/>
  <c r="I1162" i="32"/>
  <c r="I1164" i="32"/>
  <c r="I1169" i="32"/>
  <c r="I1173" i="32"/>
  <c r="I1177" i="32"/>
  <c r="I1185" i="32"/>
  <c r="I1189" i="32"/>
  <c r="I1157" i="32"/>
  <c r="I1176" i="32"/>
  <c r="I1188" i="32"/>
  <c r="I1029" i="32"/>
  <c r="I1044" i="32"/>
  <c r="H1046" i="32"/>
  <c r="I1046" i="32" s="1"/>
  <c r="H1063" i="32"/>
  <c r="I1004" i="32"/>
  <c r="I1026" i="32"/>
  <c r="I1030" i="32"/>
  <c r="I1038" i="32"/>
  <c r="I1069" i="32"/>
  <c r="I1099" i="32"/>
  <c r="I1103" i="32"/>
  <c r="I1111" i="32"/>
  <c r="I1118" i="32"/>
  <c r="I1130" i="32"/>
  <c r="I1163" i="32"/>
  <c r="I1170" i="32"/>
  <c r="I1020" i="32"/>
  <c r="I1049" i="32"/>
  <c r="I1109" i="32"/>
  <c r="I1134" i="32"/>
  <c r="I997" i="32"/>
  <c r="I1036" i="32"/>
  <c r="I1058" i="32"/>
  <c r="I1125" i="32"/>
  <c r="I1150" i="32"/>
  <c r="I1183" i="32"/>
  <c r="I1211" i="32"/>
  <c r="I998" i="32"/>
  <c r="I1006" i="32"/>
  <c r="I1013" i="32"/>
  <c r="I1031" i="32"/>
  <c r="I1033" i="32"/>
  <c r="I1035" i="32"/>
  <c r="I1037" i="32"/>
  <c r="I1039" i="32"/>
  <c r="H1052" i="32"/>
  <c r="I1052" i="32" s="1"/>
  <c r="I1059" i="32"/>
  <c r="I1061" i="32"/>
  <c r="I1067" i="32"/>
  <c r="H1074" i="32"/>
  <c r="I1074" i="32" s="1"/>
  <c r="I1079" i="32"/>
  <c r="I1087" i="32"/>
  <c r="I1095" i="32"/>
  <c r="I1102" i="32"/>
  <c r="I1120" i="32"/>
  <c r="I1122" i="32"/>
  <c r="I1124" i="32"/>
  <c r="I1126" i="32"/>
  <c r="I1128" i="32"/>
  <c r="I1141" i="32"/>
  <c r="I1147" i="32"/>
  <c r="I1151" i="32"/>
  <c r="I1159" i="32"/>
  <c r="I1161" i="32"/>
  <c r="I1178" i="32"/>
  <c r="I1180" i="32"/>
  <c r="I1182" i="32"/>
  <c r="I1184" i="32"/>
  <c r="I1186" i="32"/>
  <c r="I1207" i="32"/>
  <c r="I1008" i="32"/>
  <c r="I1024" i="32"/>
  <c r="I1043" i="32"/>
  <c r="I1053" i="32"/>
  <c r="I1062" i="32"/>
  <c r="I1071" i="32"/>
  <c r="I1097" i="32"/>
  <c r="I1113" i="32"/>
  <c r="I1129" i="32"/>
  <c r="I1145" i="32"/>
  <c r="G1165" i="32"/>
  <c r="H1168" i="32"/>
  <c r="I1171" i="32"/>
  <c r="I1187" i="32"/>
  <c r="I996" i="32"/>
  <c r="I1012" i="32"/>
  <c r="I1028" i="32"/>
  <c r="I1048" i="32"/>
  <c r="I1064" i="32"/>
  <c r="I1070" i="32"/>
  <c r="I1078" i="32"/>
  <c r="I1101" i="32"/>
  <c r="I1117" i="32"/>
  <c r="I1133" i="32"/>
  <c r="I1149" i="32"/>
  <c r="I1175" i="32"/>
  <c r="I1191" i="32"/>
  <c r="I1199" i="32"/>
  <c r="H1203" i="32"/>
  <c r="I1206" i="32"/>
  <c r="I1210" i="32"/>
  <c r="I995" i="32"/>
  <c r="I1000" i="32"/>
  <c r="I1002" i="32"/>
  <c r="I1011" i="32"/>
  <c r="I1016" i="32"/>
  <c r="I1018" i="32"/>
  <c r="I1027" i="32"/>
  <c r="I1032" i="32"/>
  <c r="I1034" i="32"/>
  <c r="I1047" i="32"/>
  <c r="I1051" i="32"/>
  <c r="I1065" i="32"/>
  <c r="I1077" i="32"/>
  <c r="I1082" i="32"/>
  <c r="H1086" i="32"/>
  <c r="I1089" i="32"/>
  <c r="I1091" i="32"/>
  <c r="I1100" i="32"/>
  <c r="I1105" i="32"/>
  <c r="I1107" i="32"/>
  <c r="I1116" i="32"/>
  <c r="I1121" i="32"/>
  <c r="I1123" i="32"/>
  <c r="I1132" i="32"/>
  <c r="I1137" i="32"/>
  <c r="I1139" i="32"/>
  <c r="I1148" i="32"/>
  <c r="I1153" i="32"/>
  <c r="I1155" i="32"/>
  <c r="I1166" i="32"/>
  <c r="I1174" i="32"/>
  <c r="I1179" i="32"/>
  <c r="I1181" i="32"/>
  <c r="I1190" i="32"/>
  <c r="I1194" i="32"/>
  <c r="I1196" i="32"/>
  <c r="I1205" i="32"/>
  <c r="I1212" i="32"/>
  <c r="G1042" i="32"/>
  <c r="H1042" i="32"/>
  <c r="I1050" i="32"/>
  <c r="I1072" i="32"/>
  <c r="I1084" i="32"/>
  <c r="H1057" i="32"/>
  <c r="I1057" i="32" s="1"/>
  <c r="I1073" i="32"/>
  <c r="H1160" i="32"/>
  <c r="I1160" i="32" s="1"/>
  <c r="H1165" i="32"/>
  <c r="H1198" i="32"/>
  <c r="I1198" i="32" s="1"/>
  <c r="H1209" i="32"/>
  <c r="I1209" i="32" s="1"/>
  <c r="G1045" i="32"/>
  <c r="G1086" i="32"/>
  <c r="G1168" i="32"/>
  <c r="G1201" i="32"/>
  <c r="I1201" i="32" s="1"/>
  <c r="G1202" i="32"/>
  <c r="I1202" i="32" s="1"/>
  <c r="G1203" i="32"/>
  <c r="D1040" i="32"/>
  <c r="D1041" i="32"/>
  <c r="H195" i="32"/>
  <c r="I195" i="32" s="1"/>
  <c r="H691" i="32"/>
  <c r="I691" i="32" s="1"/>
  <c r="H375" i="32"/>
  <c r="I375" i="32" s="1"/>
  <c r="I612" i="32"/>
  <c r="I689" i="32"/>
  <c r="I732" i="32"/>
  <c r="I735" i="32"/>
  <c r="G875" i="32"/>
  <c r="I875" i="32" s="1"/>
  <c r="H142" i="32"/>
  <c r="I142" i="32" s="1"/>
  <c r="H289" i="32"/>
  <c r="I289" i="32" s="1"/>
  <c r="H311" i="32"/>
  <c r="I311" i="32" s="1"/>
  <c r="G448" i="32"/>
  <c r="H671" i="32"/>
  <c r="I671" i="32" s="1"/>
  <c r="G25" i="32"/>
  <c r="I25" i="32" s="1"/>
  <c r="D449" i="32"/>
  <c r="H449" i="32" s="1"/>
  <c r="G505" i="32"/>
  <c r="I505" i="32" s="1"/>
  <c r="H511" i="32"/>
  <c r="I511" i="32" s="1"/>
  <c r="G454" i="32"/>
  <c r="G467" i="32"/>
  <c r="I467" i="32" s="1"/>
  <c r="D471" i="32"/>
  <c r="D472" i="32" s="1"/>
  <c r="H472" i="32" s="1"/>
  <c r="H471" i="32" s="1"/>
  <c r="I620" i="32"/>
  <c r="H746" i="32"/>
  <c r="I746" i="32" s="1"/>
  <c r="H752" i="32"/>
  <c r="I752" i="32" s="1"/>
  <c r="I755" i="32"/>
  <c r="I760" i="32"/>
  <c r="I762" i="32"/>
  <c r="I768" i="32"/>
  <c r="I770" i="32"/>
  <c r="I772" i="32"/>
  <c r="G774" i="32"/>
  <c r="I774" i="32" s="1"/>
  <c r="I801" i="32"/>
  <c r="H47" i="32"/>
  <c r="I47" i="32" s="1"/>
  <c r="H58" i="32"/>
  <c r="I58" i="32" s="1"/>
  <c r="G104" i="32"/>
  <c r="I104" i="32" s="1"/>
  <c r="D120" i="32"/>
  <c r="G120" i="32" s="1"/>
  <c r="H267" i="32"/>
  <c r="I267" i="32" s="1"/>
  <c r="H338" i="32"/>
  <c r="I338" i="32" s="1"/>
  <c r="G361" i="32"/>
  <c r="I361" i="32" s="1"/>
  <c r="D397" i="32"/>
  <c r="G397" i="32" s="1"/>
  <c r="H503" i="32"/>
  <c r="H521" i="32"/>
  <c r="I521" i="32" s="1"/>
  <c r="H871" i="32"/>
  <c r="I871" i="32" s="1"/>
  <c r="G915" i="32"/>
  <c r="G56" i="32"/>
  <c r="I56" i="32" s="1"/>
  <c r="G165" i="32"/>
  <c r="I165" i="32" s="1"/>
  <c r="D260" i="32"/>
  <c r="H260" i="32" s="1"/>
  <c r="H384" i="32"/>
  <c r="I384" i="32" s="1"/>
  <c r="G387" i="32"/>
  <c r="I387" i="32" s="1"/>
  <c r="H392" i="32"/>
  <c r="I392" i="32" s="1"/>
  <c r="D398" i="32"/>
  <c r="G398" i="32" s="1"/>
  <c r="G464" i="32"/>
  <c r="H519" i="32"/>
  <c r="I519" i="32" s="1"/>
  <c r="D629" i="32"/>
  <c r="H629" i="32" s="1"/>
  <c r="G633" i="32"/>
  <c r="G703" i="32"/>
  <c r="I703" i="32" s="1"/>
  <c r="G705" i="32"/>
  <c r="I705" i="32" s="1"/>
  <c r="I837" i="32"/>
  <c r="D857" i="32"/>
  <c r="G857" i="32" s="1"/>
  <c r="D864" i="32"/>
  <c r="G864" i="32" s="1"/>
  <c r="G869" i="32"/>
  <c r="I869" i="32" s="1"/>
  <c r="H872" i="32"/>
  <c r="I872" i="32" s="1"/>
  <c r="H915" i="32"/>
  <c r="G967" i="32"/>
  <c r="I967" i="32" s="1"/>
  <c r="H975" i="32"/>
  <c r="I975" i="32" s="1"/>
  <c r="H986" i="32"/>
  <c r="I986" i="32" s="1"/>
  <c r="G119" i="32"/>
  <c r="I119" i="32" s="1"/>
  <c r="G327" i="32"/>
  <c r="I327" i="32" s="1"/>
  <c r="I340" i="32"/>
  <c r="G415" i="32"/>
  <c r="I415" i="32" s="1"/>
  <c r="D465" i="32"/>
  <c r="H465" i="32" s="1"/>
  <c r="H513" i="32"/>
  <c r="I513" i="32" s="1"/>
  <c r="I665" i="32"/>
  <c r="G693" i="32"/>
  <c r="I693" i="32" s="1"/>
  <c r="I714" i="32"/>
  <c r="I754" i="32"/>
  <c r="H832" i="32"/>
  <c r="I832" i="32" s="1"/>
  <c r="I933" i="32"/>
  <c r="D968" i="32"/>
  <c r="H968" i="32" s="1"/>
  <c r="D973" i="32"/>
  <c r="D979" i="32" s="1"/>
  <c r="I149" i="32"/>
  <c r="G91" i="32"/>
  <c r="I91" i="32" s="1"/>
  <c r="G97" i="32"/>
  <c r="I97" i="32" s="1"/>
  <c r="G124" i="32"/>
  <c r="I124" i="32" s="1"/>
  <c r="H162" i="32"/>
  <c r="I162" i="32" s="1"/>
  <c r="G190" i="32"/>
  <c r="I190" i="32" s="1"/>
  <c r="D224" i="32"/>
  <c r="H224" i="32" s="1"/>
  <c r="G226" i="32"/>
  <c r="I226" i="32" s="1"/>
  <c r="G236" i="32"/>
  <c r="I236" i="32" s="1"/>
  <c r="G285" i="32"/>
  <c r="I285" i="32" s="1"/>
  <c r="H287" i="32"/>
  <c r="I287" i="32" s="1"/>
  <c r="G301" i="32"/>
  <c r="I301" i="32" s="1"/>
  <c r="H333" i="32"/>
  <c r="I333" i="32" s="1"/>
  <c r="G348" i="32"/>
  <c r="I348" i="32" s="1"/>
  <c r="H518" i="32"/>
  <c r="G518" i="32"/>
  <c r="H602" i="32"/>
  <c r="G602" i="32"/>
  <c r="H658" i="32"/>
  <c r="D656" i="32"/>
  <c r="D662" i="32" s="1"/>
  <c r="G658" i="32"/>
  <c r="G684" i="32"/>
  <c r="H684" i="32"/>
  <c r="G727" i="32"/>
  <c r="H727" i="32"/>
  <c r="G836" i="32"/>
  <c r="H836" i="32"/>
  <c r="H501" i="32"/>
  <c r="H499" i="32" s="1"/>
  <c r="G501" i="32"/>
  <c r="G749" i="32"/>
  <c r="H749" i="32"/>
  <c r="G39" i="32"/>
  <c r="I39" i="32" s="1"/>
  <c r="H29" i="32"/>
  <c r="I29" i="32" s="1"/>
  <c r="G62" i="32"/>
  <c r="I62" i="32" s="1"/>
  <c r="G64" i="32"/>
  <c r="I64" i="32" s="1"/>
  <c r="G89" i="32"/>
  <c r="I89" i="32" s="1"/>
  <c r="H139" i="32"/>
  <c r="I139" i="32" s="1"/>
  <c r="G160" i="32"/>
  <c r="I160" i="32" s="1"/>
  <c r="H169" i="32"/>
  <c r="I169" i="32" s="1"/>
  <c r="H210" i="32"/>
  <c r="I210" i="32" s="1"/>
  <c r="G274" i="32"/>
  <c r="I274" i="32" s="1"/>
  <c r="G283" i="32"/>
  <c r="I283" i="32" s="1"/>
  <c r="D335" i="32"/>
  <c r="H335" i="32" s="1"/>
  <c r="D411" i="32"/>
  <c r="H411" i="32" s="1"/>
  <c r="I411" i="32" s="1"/>
  <c r="D408" i="32"/>
  <c r="H408" i="32" s="1"/>
  <c r="I408" i="32" s="1"/>
  <c r="G407" i="32"/>
  <c r="G753" i="32"/>
  <c r="H753" i="32"/>
  <c r="G831" i="32"/>
  <c r="G829" i="32" s="1"/>
  <c r="H831" i="32"/>
  <c r="G824" i="32"/>
  <c r="H824" i="32"/>
  <c r="I849" i="32"/>
  <c r="D850" i="32"/>
  <c r="H850" i="32" s="1"/>
  <c r="G31" i="32"/>
  <c r="I31" i="32" s="1"/>
  <c r="D46" i="32"/>
  <c r="D51" i="32" s="1"/>
  <c r="H51" i="32" s="1"/>
  <c r="G50" i="32"/>
  <c r="I50" i="32" s="1"/>
  <c r="H32" i="32"/>
  <c r="I32" i="32" s="1"/>
  <c r="G49" i="32"/>
  <c r="I49" i="32" s="1"/>
  <c r="G52" i="32"/>
  <c r="G60" i="32"/>
  <c r="I60" i="32" s="1"/>
  <c r="D148" i="32"/>
  <c r="G148" i="32" s="1"/>
  <c r="G154" i="32"/>
  <c r="I154" i="32" s="1"/>
  <c r="H202" i="32"/>
  <c r="I202" i="32" s="1"/>
  <c r="G259" i="32"/>
  <c r="I259" i="32" s="1"/>
  <c r="H309" i="32"/>
  <c r="I309" i="32" s="1"/>
  <c r="G325" i="32"/>
  <c r="I325" i="32" s="1"/>
  <c r="H390" i="32"/>
  <c r="G390" i="32"/>
  <c r="D409" i="32"/>
  <c r="H409" i="32" s="1"/>
  <c r="I409" i="32" s="1"/>
  <c r="H510" i="32"/>
  <c r="G510" i="32"/>
  <c r="H604" i="32"/>
  <c r="G604" i="32"/>
  <c r="H670" i="32"/>
  <c r="G670" i="32"/>
  <c r="G751" i="32"/>
  <c r="H751" i="32"/>
  <c r="I826" i="32"/>
  <c r="I989" i="32"/>
  <c r="I991" i="32"/>
  <c r="I992" i="32"/>
  <c r="D451" i="32"/>
  <c r="H451" i="32" s="1"/>
  <c r="G465" i="32"/>
  <c r="G506" i="32"/>
  <c r="I506" i="32" s="1"/>
  <c r="G508" i="32"/>
  <c r="I508" i="32" s="1"/>
  <c r="G514" i="32"/>
  <c r="I514" i="32" s="1"/>
  <c r="G516" i="32"/>
  <c r="I516" i="32" s="1"/>
  <c r="G522" i="32"/>
  <c r="I522" i="32" s="1"/>
  <c r="D625" i="32"/>
  <c r="H625" i="32" s="1"/>
  <c r="H642" i="32"/>
  <c r="I642" i="32" s="1"/>
  <c r="G723" i="32"/>
  <c r="I723" i="32" s="1"/>
  <c r="I771" i="32"/>
  <c r="I784" i="32"/>
  <c r="I793" i="32"/>
  <c r="I798" i="32"/>
  <c r="I806" i="32"/>
  <c r="H870" i="32"/>
  <c r="I870" i="32" s="1"/>
  <c r="D873" i="32"/>
  <c r="G873" i="32" s="1"/>
  <c r="G888" i="32"/>
  <c r="I888" i="32" s="1"/>
  <c r="G961" i="32"/>
  <c r="I961" i="32" s="1"/>
  <c r="G987" i="32"/>
  <c r="H524" i="32"/>
  <c r="I524" i="32" s="1"/>
  <c r="I539" i="32"/>
  <c r="H594" i="32"/>
  <c r="I594" i="32" s="1"/>
  <c r="H598" i="32"/>
  <c r="I598" i="32" s="1"/>
  <c r="I614" i="32"/>
  <c r="I643" i="32"/>
  <c r="I650" i="32"/>
  <c r="I652" i="32"/>
  <c r="I666" i="32"/>
  <c r="I674" i="32"/>
  <c r="H695" i="32"/>
  <c r="I695" i="32" s="1"/>
  <c r="D720" i="32"/>
  <c r="G720" i="32" s="1"/>
  <c r="I776" i="32"/>
  <c r="I778" i="32"/>
  <c r="I785" i="32"/>
  <c r="I790" i="32"/>
  <c r="I792" i="32"/>
  <c r="I805" i="32"/>
  <c r="I807" i="32"/>
  <c r="H830" i="32"/>
  <c r="H829" i="32" s="1"/>
  <c r="D962" i="32"/>
  <c r="H962" i="32" s="1"/>
  <c r="G980" i="32"/>
  <c r="I980" i="32" s="1"/>
  <c r="H987" i="32"/>
  <c r="I87" i="32"/>
  <c r="I300" i="32"/>
  <c r="I347" i="32"/>
  <c r="H990" i="32"/>
  <c r="I990" i="32" s="1"/>
  <c r="G988" i="32"/>
  <c r="H988" i="32"/>
  <c r="I902" i="32"/>
  <c r="I847" i="32"/>
  <c r="I901" i="32"/>
  <c r="I940" i="32"/>
  <c r="H966" i="32"/>
  <c r="I966" i="32" s="1"/>
  <c r="G42" i="29"/>
  <c r="H42" i="29"/>
  <c r="G59" i="29"/>
  <c r="H59" i="29"/>
  <c r="G44" i="29"/>
  <c r="I44" i="29" s="1"/>
  <c r="G45" i="29"/>
  <c r="I45" i="29" s="1"/>
  <c r="G46" i="29"/>
  <c r="I46" i="29" s="1"/>
  <c r="D48" i="29"/>
  <c r="D49" i="29"/>
  <c r="G61" i="29"/>
  <c r="I61" i="29" s="1"/>
  <c r="G62" i="29"/>
  <c r="I62" i="29" s="1"/>
  <c r="G63" i="29"/>
  <c r="I63" i="29" s="1"/>
  <c r="G64" i="29"/>
  <c r="I64" i="29" s="1"/>
  <c r="G65" i="29"/>
  <c r="I65" i="29" s="1"/>
  <c r="D37" i="29"/>
  <c r="D38" i="29"/>
  <c r="G47" i="29"/>
  <c r="I47" i="29" s="1"/>
  <c r="D51" i="29"/>
  <c r="D52" i="29"/>
  <c r="D41" i="29"/>
  <c r="D54" i="29"/>
  <c r="D55" i="29"/>
  <c r="D56" i="29"/>
  <c r="D57" i="29"/>
  <c r="D58" i="29"/>
  <c r="I66" i="29"/>
  <c r="H168" i="32"/>
  <c r="G168" i="32"/>
  <c r="H180" i="32"/>
  <c r="G180" i="32"/>
  <c r="H252" i="32"/>
  <c r="G252" i="32"/>
  <c r="H323" i="32"/>
  <c r="G323" i="32"/>
  <c r="H357" i="32"/>
  <c r="G357" i="32"/>
  <c r="D371" i="32"/>
  <c r="G371" i="32" s="1"/>
  <c r="H369" i="32"/>
  <c r="H374" i="32"/>
  <c r="G374" i="32"/>
  <c r="H383" i="32"/>
  <c r="G383" i="32"/>
  <c r="G507" i="32"/>
  <c r="H507" i="32"/>
  <c r="G515" i="32"/>
  <c r="H515" i="32"/>
  <c r="G525" i="32"/>
  <c r="H525" i="32"/>
  <c r="G603" i="32"/>
  <c r="H603" i="32"/>
  <c r="G640" i="32"/>
  <c r="H640" i="32"/>
  <c r="H657" i="32"/>
  <c r="G657" i="32"/>
  <c r="G682" i="32"/>
  <c r="H682" i="32"/>
  <c r="H707" i="32"/>
  <c r="D699" i="32"/>
  <c r="H699" i="32" s="1"/>
  <c r="G707" i="32"/>
  <c r="H897" i="32"/>
  <c r="G897" i="32"/>
  <c r="H52" i="32"/>
  <c r="H55" i="32"/>
  <c r="D57" i="32"/>
  <c r="D65" i="32" s="1"/>
  <c r="H65" i="32" s="1"/>
  <c r="H61" i="32"/>
  <c r="I61" i="32" s="1"/>
  <c r="G78" i="32"/>
  <c r="I78" i="32" s="1"/>
  <c r="G90" i="32"/>
  <c r="H90" i="32"/>
  <c r="H95" i="32"/>
  <c r="I95" i="32" s="1"/>
  <c r="H98" i="32"/>
  <c r="G98" i="32"/>
  <c r="G129" i="32"/>
  <c r="I129" i="32" s="1"/>
  <c r="G166" i="32"/>
  <c r="H166" i="32"/>
  <c r="H172" i="32"/>
  <c r="G172" i="32"/>
  <c r="H218" i="32"/>
  <c r="I218" i="32" s="1"/>
  <c r="H221" i="32"/>
  <c r="I221" i="32" s="1"/>
  <c r="H234" i="32"/>
  <c r="I234" i="32" s="1"/>
  <c r="G288" i="32"/>
  <c r="H288" i="32"/>
  <c r="G319" i="32"/>
  <c r="H319" i="32"/>
  <c r="H337" i="32"/>
  <c r="I337" i="32" s="1"/>
  <c r="G369" i="32"/>
  <c r="H391" i="32"/>
  <c r="G391" i="32"/>
  <c r="H404" i="32"/>
  <c r="D406" i="32"/>
  <c r="H406" i="32" s="1"/>
  <c r="D454" i="32"/>
  <c r="H454" i="32" s="1"/>
  <c r="D452" i="32"/>
  <c r="H452" i="32" s="1"/>
  <c r="D450" i="32"/>
  <c r="H450" i="32" s="1"/>
  <c r="G455" i="32"/>
  <c r="D453" i="32"/>
  <c r="H453" i="32" s="1"/>
  <c r="I453" i="32" s="1"/>
  <c r="G450" i="32"/>
  <c r="D448" i="32"/>
  <c r="H448" i="32" s="1"/>
  <c r="D455" i="32"/>
  <c r="H455" i="32" s="1"/>
  <c r="G452" i="32"/>
  <c r="G449" i="32"/>
  <c r="G451" i="32"/>
  <c r="G456" i="32"/>
  <c r="I456" i="32" s="1"/>
  <c r="H504" i="32"/>
  <c r="G504" i="32"/>
  <c r="H512" i="32"/>
  <c r="G512" i="32"/>
  <c r="H520" i="32"/>
  <c r="G520" i="32"/>
  <c r="G725" i="32"/>
  <c r="H725" i="32"/>
  <c r="H745" i="32"/>
  <c r="G745" i="32"/>
  <c r="H938" i="32"/>
  <c r="I938" i="32" s="1"/>
  <c r="D945" i="32"/>
  <c r="G943" i="32"/>
  <c r="H943" i="32"/>
  <c r="D960" i="32"/>
  <c r="G960" i="32" s="1"/>
  <c r="H959" i="32"/>
  <c r="G959" i="32"/>
  <c r="H123" i="32"/>
  <c r="G123" i="32"/>
  <c r="H164" i="32"/>
  <c r="G164" i="32"/>
  <c r="H191" i="32"/>
  <c r="G191" i="32"/>
  <c r="G215" i="32"/>
  <c r="H215" i="32"/>
  <c r="H262" i="32"/>
  <c r="G262" i="32"/>
  <c r="H284" i="32"/>
  <c r="G284" i="32"/>
  <c r="H353" i="32"/>
  <c r="G353" i="32"/>
  <c r="G380" i="32"/>
  <c r="D381" i="32"/>
  <c r="H381" i="32" s="1"/>
  <c r="H380" i="32"/>
  <c r="G431" i="32"/>
  <c r="H431" i="32"/>
  <c r="H485" i="32"/>
  <c r="I485" i="32" s="1"/>
  <c r="D494" i="32"/>
  <c r="G494" i="32" s="1"/>
  <c r="G527" i="32"/>
  <c r="H527" i="32"/>
  <c r="H589" i="32"/>
  <c r="G589" i="32"/>
  <c r="H638" i="32"/>
  <c r="G638" i="32"/>
  <c r="D655" i="32"/>
  <c r="H655" i="32" s="1"/>
  <c r="G653" i="32"/>
  <c r="H653" i="32"/>
  <c r="G679" i="32"/>
  <c r="H679" i="32"/>
  <c r="H748" i="32"/>
  <c r="G748" i="32"/>
  <c r="G782" i="32"/>
  <c r="H782" i="32"/>
  <c r="G923" i="32"/>
  <c r="I923" i="32" s="1"/>
  <c r="D925" i="32"/>
  <c r="H925" i="32" s="1"/>
  <c r="D924" i="32"/>
  <c r="H924" i="32" s="1"/>
  <c r="H965" i="32"/>
  <c r="G965" i="32"/>
  <c r="H94" i="32"/>
  <c r="G94" i="32"/>
  <c r="H128" i="32"/>
  <c r="G128" i="32"/>
  <c r="H161" i="32"/>
  <c r="G161" i="32"/>
  <c r="H170" i="32"/>
  <c r="G170" i="32"/>
  <c r="H186" i="32"/>
  <c r="G186" i="32"/>
  <c r="I192" i="32"/>
  <c r="G207" i="32"/>
  <c r="H207" i="32"/>
  <c r="H233" i="32"/>
  <c r="G233" i="32"/>
  <c r="H256" i="32"/>
  <c r="G256" i="32"/>
  <c r="G272" i="32"/>
  <c r="H272" i="32"/>
  <c r="D297" i="32"/>
  <c r="H297" i="32" s="1"/>
  <c r="G303" i="32"/>
  <c r="I303" i="32" s="1"/>
  <c r="D342" i="32"/>
  <c r="H342" i="32" s="1"/>
  <c r="D343" i="32"/>
  <c r="G343" i="32" s="1"/>
  <c r="H341" i="32"/>
  <c r="I341" i="32" s="1"/>
  <c r="H402" i="32"/>
  <c r="G402" i="32"/>
  <c r="H509" i="32"/>
  <c r="G509" i="32"/>
  <c r="H517" i="32"/>
  <c r="G517" i="32"/>
  <c r="I601" i="32"/>
  <c r="D606" i="32"/>
  <c r="G606" i="32" s="1"/>
  <c r="H605" i="32"/>
  <c r="G605" i="32"/>
  <c r="G672" i="32"/>
  <c r="H672" i="32"/>
  <c r="H694" i="32"/>
  <c r="G694" i="32"/>
  <c r="H701" i="32"/>
  <c r="G701" i="32"/>
  <c r="D700" i="32"/>
  <c r="H700" i="32" s="1"/>
  <c r="G730" i="32"/>
  <c r="H730" i="32"/>
  <c r="D956" i="32"/>
  <c r="G956" i="32" s="1"/>
  <c r="G955" i="32"/>
  <c r="H955" i="32"/>
  <c r="G646" i="32"/>
  <c r="H646" i="32"/>
  <c r="D664" i="32"/>
  <c r="G663" i="32"/>
  <c r="G728" i="32"/>
  <c r="H728" i="32"/>
  <c r="D862" i="32"/>
  <c r="G860" i="32"/>
  <c r="D939" i="32"/>
  <c r="D942" i="32"/>
  <c r="G942" i="32" s="1"/>
  <c r="G941" i="32"/>
  <c r="I941" i="32" s="1"/>
  <c r="D954" i="32"/>
  <c r="G952" i="32"/>
  <c r="G969" i="32"/>
  <c r="I969" i="32" s="1"/>
  <c r="I290" i="32"/>
  <c r="I446" i="32"/>
  <c r="I528" i="32"/>
  <c r="H663" i="32"/>
  <c r="G683" i="32"/>
  <c r="H683" i="32"/>
  <c r="G702" i="32"/>
  <c r="I702" i="32" s="1"/>
  <c r="H711" i="32"/>
  <c r="I711" i="32" s="1"/>
  <c r="G726" i="32"/>
  <c r="H726" i="32"/>
  <c r="H731" i="32"/>
  <c r="I731" i="32" s="1"/>
  <c r="H780" i="32"/>
  <c r="I780" i="32" s="1"/>
  <c r="G783" i="32"/>
  <c r="H783" i="32"/>
  <c r="H823" i="32"/>
  <c r="G858" i="32"/>
  <c r="H858" i="32"/>
  <c r="G878" i="32"/>
  <c r="I878" i="32" s="1"/>
  <c r="D880" i="32"/>
  <c r="H880" i="32" s="1"/>
  <c r="G895" i="32"/>
  <c r="I895" i="32" s="1"/>
  <c r="D922" i="32"/>
  <c r="G920" i="32"/>
  <c r="G937" i="32"/>
  <c r="I937" i="32" s="1"/>
  <c r="H941" i="32"/>
  <c r="D951" i="32"/>
  <c r="G949" i="32"/>
  <c r="H952" i="32"/>
  <c r="D958" i="32"/>
  <c r="G958" i="32" s="1"/>
  <c r="H957" i="32"/>
  <c r="D92" i="32"/>
  <c r="H92" i="32" s="1"/>
  <c r="H114" i="32"/>
  <c r="I114" i="32" s="1"/>
  <c r="H134" i="32"/>
  <c r="I134" i="32" s="1"/>
  <c r="H205" i="32"/>
  <c r="I205" i="32" s="1"/>
  <c r="H223" i="32"/>
  <c r="I223" i="32" s="1"/>
  <c r="H231" i="32"/>
  <c r="I231" i="32" s="1"/>
  <c r="I245" i="32"/>
  <c r="G269" i="32"/>
  <c r="I269" i="32" s="1"/>
  <c r="G302" i="32"/>
  <c r="H313" i="32"/>
  <c r="I313" i="32" s="1"/>
  <c r="H317" i="32"/>
  <c r="I317" i="32" s="1"/>
  <c r="G329" i="32"/>
  <c r="I329" i="32" s="1"/>
  <c r="G336" i="32"/>
  <c r="I336" i="32" s="1"/>
  <c r="H362" i="32"/>
  <c r="I362" i="32" s="1"/>
  <c r="H376" i="32"/>
  <c r="I376" i="32" s="1"/>
  <c r="I400" i="32"/>
  <c r="I424" i="32"/>
  <c r="D466" i="32"/>
  <c r="H466" i="32" s="1"/>
  <c r="D464" i="32"/>
  <c r="H464" i="32" s="1"/>
  <c r="G466" i="32"/>
  <c r="H526" i="32"/>
  <c r="I526" i="32" s="1"/>
  <c r="G587" i="32"/>
  <c r="I587" i="32" s="1"/>
  <c r="H597" i="32"/>
  <c r="I597" i="32" s="1"/>
  <c r="H623" i="32"/>
  <c r="D630" i="32"/>
  <c r="G623" i="32"/>
  <c r="H639" i="32"/>
  <c r="I639" i="32" s="1"/>
  <c r="H647" i="32"/>
  <c r="I647" i="32" s="1"/>
  <c r="H659" i="32"/>
  <c r="I659" i="32" s="1"/>
  <c r="G676" i="32"/>
  <c r="H676" i="32"/>
  <c r="G706" i="32"/>
  <c r="I706" i="32" s="1"/>
  <c r="H729" i="32"/>
  <c r="I729" i="32" s="1"/>
  <c r="G744" i="32"/>
  <c r="I744" i="32" s="1"/>
  <c r="H747" i="32"/>
  <c r="I747" i="32" s="1"/>
  <c r="I763" i="32"/>
  <c r="I769" i="32"/>
  <c r="G781" i="32"/>
  <c r="H781" i="32"/>
  <c r="I786" i="32"/>
  <c r="I817" i="32"/>
  <c r="I820" i="32"/>
  <c r="I822" i="32"/>
  <c r="I828" i="32"/>
  <c r="I842" i="32"/>
  <c r="D851" i="32"/>
  <c r="G851" i="32" s="1"/>
  <c r="I856" i="32"/>
  <c r="G856" i="32"/>
  <c r="D859" i="32"/>
  <c r="D879" i="32"/>
  <c r="H879" i="32" s="1"/>
  <c r="D894" i="32"/>
  <c r="D892" i="32"/>
  <c r="D890" i="32"/>
  <c r="D891" i="32"/>
  <c r="D893" i="32"/>
  <c r="H893" i="32" s="1"/>
  <c r="D921" i="32"/>
  <c r="D948" i="32"/>
  <c r="G946" i="32"/>
  <c r="I946" i="32" s="1"/>
  <c r="H949" i="32"/>
  <c r="G957" i="32"/>
  <c r="H974" i="32"/>
  <c r="I974" i="32" s="1"/>
  <c r="H976" i="32"/>
  <c r="I976" i="32" s="1"/>
  <c r="G983" i="32"/>
  <c r="I983" i="32" s="1"/>
  <c r="I621" i="32"/>
  <c r="I637" i="32"/>
  <c r="I712" i="32"/>
  <c r="I799" i="32"/>
  <c r="I827" i="32"/>
  <c r="I848" i="32"/>
  <c r="H900" i="32"/>
  <c r="G900" i="32"/>
  <c r="H911" i="32"/>
  <c r="G911" i="32"/>
  <c r="G852" i="32"/>
  <c r="D855" i="32"/>
  <c r="D854" i="32"/>
  <c r="D853" i="32"/>
  <c r="G877" i="32"/>
  <c r="I877" i="32" s="1"/>
  <c r="H889" i="32"/>
  <c r="G889" i="32"/>
  <c r="G903" i="32"/>
  <c r="I903" i="32" s="1"/>
  <c r="D910" i="32"/>
  <c r="D906" i="32"/>
  <c r="D904" i="32"/>
  <c r="D909" i="32"/>
  <c r="D907" i="32"/>
  <c r="D905" i="32"/>
  <c r="H929" i="32"/>
  <c r="G929" i="32"/>
  <c r="H963" i="32"/>
  <c r="G963" i="32"/>
  <c r="H865" i="32"/>
  <c r="G865" i="32"/>
  <c r="H881" i="32"/>
  <c r="G881" i="32"/>
  <c r="H898" i="32"/>
  <c r="G898" i="32"/>
  <c r="H972" i="32"/>
  <c r="G972" i="32"/>
  <c r="G866" i="32"/>
  <c r="I866" i="32" s="1"/>
  <c r="D868" i="32"/>
  <c r="D867" i="32"/>
  <c r="G882" i="32"/>
  <c r="I882" i="32" s="1"/>
  <c r="D884" i="32"/>
  <c r="D883" i="32"/>
  <c r="G849" i="32"/>
  <c r="G863" i="32"/>
  <c r="D887" i="32"/>
  <c r="D886" i="32"/>
  <c r="D927" i="32"/>
  <c r="G934" i="32"/>
  <c r="I934" i="32" s="1"/>
  <c r="D936" i="32"/>
  <c r="D935" i="32"/>
  <c r="G982" i="32"/>
  <c r="I982" i="32" s="1"/>
  <c r="I860" i="32"/>
  <c r="H918" i="32"/>
  <c r="I918" i="32" s="1"/>
  <c r="G926" i="32"/>
  <c r="I926" i="32" s="1"/>
  <c r="H971" i="32"/>
  <c r="G971" i="32"/>
  <c r="D861" i="32"/>
  <c r="D876" i="32"/>
  <c r="G896" i="32"/>
  <c r="I896" i="32" s="1"/>
  <c r="D899" i="32"/>
  <c r="H908" i="32"/>
  <c r="G908" i="32"/>
  <c r="G912" i="32"/>
  <c r="I912" i="32" s="1"/>
  <c r="D919" i="32"/>
  <c r="D917" i="32"/>
  <c r="D916" i="32"/>
  <c r="D914" i="32"/>
  <c r="D913" i="32"/>
  <c r="D928" i="32"/>
  <c r="G930" i="32"/>
  <c r="I930" i="32" s="1"/>
  <c r="D932" i="32"/>
  <c r="D931" i="32"/>
  <c r="G970" i="32"/>
  <c r="I970" i="32" s="1"/>
  <c r="G984" i="32"/>
  <c r="I984" i="32" s="1"/>
  <c r="F983" i="32" s="1"/>
  <c r="H983" i="32" s="1"/>
  <c r="D944" i="32"/>
  <c r="D947" i="32"/>
  <c r="D950" i="32"/>
  <c r="D953" i="32"/>
  <c r="D977" i="32"/>
  <c r="D978" i="32"/>
  <c r="D981" i="32"/>
  <c r="I724" i="32"/>
  <c r="I758" i="32"/>
  <c r="G773" i="32"/>
  <c r="I773" i="32" s="1"/>
  <c r="H788" i="32"/>
  <c r="I788" i="32" s="1"/>
  <c r="I800" i="32"/>
  <c r="D844" i="32"/>
  <c r="H844" i="32" s="1"/>
  <c r="G757" i="32"/>
  <c r="I757" i="32" s="1"/>
  <c r="I825" i="32"/>
  <c r="I756" i="32"/>
  <c r="H759" i="32"/>
  <c r="I759" i="32" s="1"/>
  <c r="I761" i="32"/>
  <c r="I767" i="32"/>
  <c r="I775" i="32"/>
  <c r="I777" i="32"/>
  <c r="I787" i="32"/>
  <c r="H789" i="32"/>
  <c r="I789" i="32" s="1"/>
  <c r="I791" i="32"/>
  <c r="I804" i="32"/>
  <c r="I818" i="32"/>
  <c r="I821" i="32"/>
  <c r="D709" i="32"/>
  <c r="D708" i="32" s="1"/>
  <c r="H716" i="32"/>
  <c r="G716" i="32"/>
  <c r="H736" i="32"/>
  <c r="G736" i="32"/>
  <c r="H740" i="32"/>
  <c r="G740" i="32"/>
  <c r="I710" i="32"/>
  <c r="H717" i="32"/>
  <c r="G717" i="32"/>
  <c r="H737" i="32"/>
  <c r="G737" i="32"/>
  <c r="D741" i="32"/>
  <c r="H718" i="32"/>
  <c r="G718" i="32"/>
  <c r="I722" i="32"/>
  <c r="H738" i="32"/>
  <c r="G738" i="32"/>
  <c r="D742" i="32"/>
  <c r="H764" i="32"/>
  <c r="H794" i="32"/>
  <c r="H715" i="32"/>
  <c r="G715" i="32"/>
  <c r="D719" i="32"/>
  <c r="H739" i="32"/>
  <c r="G739" i="32"/>
  <c r="I750" i="32"/>
  <c r="G809" i="32"/>
  <c r="G810" i="32"/>
  <c r="I810" i="32" s="1"/>
  <c r="G811" i="32"/>
  <c r="I811" i="32" s="1"/>
  <c r="G812" i="32"/>
  <c r="I812" i="32" s="1"/>
  <c r="G813" i="32"/>
  <c r="I813" i="32" s="1"/>
  <c r="G814" i="32"/>
  <c r="I814" i="32" s="1"/>
  <c r="G815" i="32"/>
  <c r="I815" i="32" s="1"/>
  <c r="G816" i="32"/>
  <c r="I816" i="32" s="1"/>
  <c r="G843" i="32"/>
  <c r="I843" i="32" s="1"/>
  <c r="G845" i="32"/>
  <c r="I845" i="32" s="1"/>
  <c r="G713" i="32"/>
  <c r="I713" i="32" s="1"/>
  <c r="G733" i="32"/>
  <c r="I733" i="32" s="1"/>
  <c r="G734" i="32"/>
  <c r="I734" i="32" s="1"/>
  <c r="G765" i="32"/>
  <c r="G766" i="32"/>
  <c r="I766" i="32" s="1"/>
  <c r="G795" i="32"/>
  <c r="G796" i="32"/>
  <c r="I796" i="32" s="1"/>
  <c r="G797" i="32"/>
  <c r="I797" i="32" s="1"/>
  <c r="G802" i="32"/>
  <c r="I802" i="32" s="1"/>
  <c r="G803" i="32"/>
  <c r="I803" i="32" s="1"/>
  <c r="D833" i="32"/>
  <c r="D834" i="32"/>
  <c r="D835" i="32"/>
  <c r="G838" i="32"/>
  <c r="I838" i="32" s="1"/>
  <c r="G839" i="32"/>
  <c r="I839" i="32" s="1"/>
  <c r="G840" i="32"/>
  <c r="I840" i="32" s="1"/>
  <c r="G841" i="32"/>
  <c r="I841" i="32" s="1"/>
  <c r="G586" i="32"/>
  <c r="I586" i="32" s="1"/>
  <c r="G607" i="32"/>
  <c r="I607" i="32" s="1"/>
  <c r="G608" i="32"/>
  <c r="I608" i="32" s="1"/>
  <c r="G609" i="32"/>
  <c r="I611" i="32"/>
  <c r="G626" i="32"/>
  <c r="I626" i="32" s="1"/>
  <c r="G641" i="32"/>
  <c r="I641" i="32" s="1"/>
  <c r="G585" i="32"/>
  <c r="G591" i="32"/>
  <c r="I591" i="32" s="1"/>
  <c r="H609" i="32"/>
  <c r="G613" i="32"/>
  <c r="I613" i="32" s="1"/>
  <c r="G616" i="32"/>
  <c r="I616" i="32" s="1"/>
  <c r="G617" i="32"/>
  <c r="I617" i="32" s="1"/>
  <c r="G618" i="32"/>
  <c r="I618" i="32" s="1"/>
  <c r="G619" i="32"/>
  <c r="I619" i="32" s="1"/>
  <c r="G635" i="32"/>
  <c r="I635" i="32" s="1"/>
  <c r="H644" i="32"/>
  <c r="I644" i="32" s="1"/>
  <c r="I584" i="32"/>
  <c r="G600" i="32"/>
  <c r="I600" i="32" s="1"/>
  <c r="G622" i="32"/>
  <c r="I622" i="32" s="1"/>
  <c r="H648" i="32"/>
  <c r="I648" i="32" s="1"/>
  <c r="I686" i="32"/>
  <c r="G596" i="32"/>
  <c r="H596" i="32"/>
  <c r="G634" i="32"/>
  <c r="H634" i="32"/>
  <c r="G588" i="32"/>
  <c r="G592" i="32"/>
  <c r="I592" i="32" s="1"/>
  <c r="G595" i="32"/>
  <c r="G599" i="32"/>
  <c r="I599" i="32" s="1"/>
  <c r="H610" i="32"/>
  <c r="I610" i="32" s="1"/>
  <c r="D624" i="32"/>
  <c r="D628" i="32"/>
  <c r="I632" i="32"/>
  <c r="H633" i="32"/>
  <c r="G636" i="32"/>
  <c r="I636" i="32" s="1"/>
  <c r="H645" i="32"/>
  <c r="I645" i="32" s="1"/>
  <c r="H649" i="32"/>
  <c r="I649" i="32" s="1"/>
  <c r="D668" i="32"/>
  <c r="G669" i="32"/>
  <c r="I669" i="32" s="1"/>
  <c r="G673" i="32"/>
  <c r="I673" i="32" s="1"/>
  <c r="D680" i="32"/>
  <c r="H681" i="32"/>
  <c r="I681" i="32" s="1"/>
  <c r="H685" i="32"/>
  <c r="I685" i="32" s="1"/>
  <c r="G692" i="32"/>
  <c r="I692" i="32" s="1"/>
  <c r="G696" i="32"/>
  <c r="I696" i="32" s="1"/>
  <c r="G704" i="32"/>
  <c r="I704" i="32" s="1"/>
  <c r="D590" i="32"/>
  <c r="H595" i="32"/>
  <c r="D627" i="32"/>
  <c r="D631" i="32"/>
  <c r="I651" i="32"/>
  <c r="D690" i="32"/>
  <c r="I593" i="32"/>
  <c r="I667" i="32"/>
  <c r="D654" i="32"/>
  <c r="I523" i="32"/>
  <c r="D553" i="32"/>
  <c r="G540" i="32"/>
  <c r="I540" i="32" s="1"/>
  <c r="G541" i="32"/>
  <c r="I541" i="32" s="1"/>
  <c r="G542" i="32"/>
  <c r="I542" i="32" s="1"/>
  <c r="G543" i="32"/>
  <c r="I543" i="32" s="1"/>
  <c r="G544" i="32"/>
  <c r="I544" i="32" s="1"/>
  <c r="G545" i="32"/>
  <c r="I545" i="32" s="1"/>
  <c r="G546" i="32"/>
  <c r="I546" i="32" s="1"/>
  <c r="G547" i="32"/>
  <c r="I547" i="32" s="1"/>
  <c r="G548" i="32"/>
  <c r="I548" i="32" s="1"/>
  <c r="G549" i="32"/>
  <c r="I549" i="32" s="1"/>
  <c r="G550" i="32"/>
  <c r="I550" i="32" s="1"/>
  <c r="G551" i="32"/>
  <c r="I551" i="32" s="1"/>
  <c r="G552" i="32"/>
  <c r="I552" i="32" s="1"/>
  <c r="G554" i="32"/>
  <c r="I554" i="32" s="1"/>
  <c r="G500" i="32"/>
  <c r="G529" i="32"/>
  <c r="I529" i="32" s="1"/>
  <c r="G530" i="32"/>
  <c r="I530" i="32" s="1"/>
  <c r="G531" i="32"/>
  <c r="I531" i="32" s="1"/>
  <c r="G532" i="32"/>
  <c r="I532" i="32" s="1"/>
  <c r="G533" i="32"/>
  <c r="I533" i="32" s="1"/>
  <c r="G534" i="32"/>
  <c r="I534" i="32" s="1"/>
  <c r="G535" i="32"/>
  <c r="I535" i="32" s="1"/>
  <c r="G536" i="32"/>
  <c r="I536" i="32" s="1"/>
  <c r="G537" i="32"/>
  <c r="I537" i="32" s="1"/>
  <c r="G538" i="32"/>
  <c r="I538" i="32" s="1"/>
  <c r="I479" i="32"/>
  <c r="I488" i="32"/>
  <c r="H487" i="32"/>
  <c r="I495" i="32"/>
  <c r="H494" i="32"/>
  <c r="G468" i="32"/>
  <c r="G469" i="32"/>
  <c r="I469" i="32" s="1"/>
  <c r="G470" i="32"/>
  <c r="I470" i="32" s="1"/>
  <c r="D438" i="32"/>
  <c r="H438" i="32" s="1"/>
  <c r="D439" i="32"/>
  <c r="H439" i="32" s="1"/>
  <c r="D440" i="32"/>
  <c r="H440" i="32" s="1"/>
  <c r="D441" i="32"/>
  <c r="H441" i="32" s="1"/>
  <c r="D442" i="32"/>
  <c r="H442" i="32" s="1"/>
  <c r="D443" i="32"/>
  <c r="H443" i="32" s="1"/>
  <c r="D444" i="32"/>
  <c r="H444" i="32" s="1"/>
  <c r="D445" i="32"/>
  <c r="H445" i="32" s="1"/>
  <c r="D458" i="32"/>
  <c r="H458" i="32" s="1"/>
  <c r="D459" i="32"/>
  <c r="H459" i="32" s="1"/>
  <c r="D460" i="32"/>
  <c r="H460" i="32" s="1"/>
  <c r="D461" i="32"/>
  <c r="H461" i="32" s="1"/>
  <c r="D462" i="32"/>
  <c r="H462" i="32" s="1"/>
  <c r="I462" i="32" s="1"/>
  <c r="G438" i="32"/>
  <c r="G439" i="32"/>
  <c r="G440" i="32"/>
  <c r="G441" i="32"/>
  <c r="G442" i="32"/>
  <c r="G443" i="32"/>
  <c r="G444" i="32"/>
  <c r="G445" i="32"/>
  <c r="G458" i="32"/>
  <c r="G459" i="32"/>
  <c r="G460" i="32"/>
  <c r="G461" i="32"/>
  <c r="I395" i="32"/>
  <c r="G403" i="32"/>
  <c r="I403" i="32" s="1"/>
  <c r="I423" i="32"/>
  <c r="I282" i="32"/>
  <c r="I286" i="32"/>
  <c r="I291" i="32"/>
  <c r="H296" i="32"/>
  <c r="G296" i="32"/>
  <c r="G305" i="32"/>
  <c r="H305" i="32"/>
  <c r="H422" i="32"/>
  <c r="G422" i="32"/>
  <c r="H378" i="32"/>
  <c r="G378" i="32"/>
  <c r="D280" i="32"/>
  <c r="G277" i="32"/>
  <c r="G278" i="32"/>
  <c r="I278" i="32" s="1"/>
  <c r="G281" i="32"/>
  <c r="I281" i="32" s="1"/>
  <c r="G292" i="32"/>
  <c r="I292" i="32" s="1"/>
  <c r="G293" i="32"/>
  <c r="G294" i="32"/>
  <c r="I294" i="32" s="1"/>
  <c r="G298" i="32"/>
  <c r="G299" i="32"/>
  <c r="I299" i="32" s="1"/>
  <c r="H302" i="32"/>
  <c r="H308" i="32"/>
  <c r="I308" i="32" s="1"/>
  <c r="H312" i="32"/>
  <c r="I312" i="32" s="1"/>
  <c r="D315" i="32"/>
  <c r="D307" i="32" s="1"/>
  <c r="H316" i="32"/>
  <c r="I316" i="32" s="1"/>
  <c r="H320" i="32"/>
  <c r="I320" i="32" s="1"/>
  <c r="G324" i="32"/>
  <c r="I324" i="32" s="1"/>
  <c r="G328" i="32"/>
  <c r="I328" i="32" s="1"/>
  <c r="I331" i="32"/>
  <c r="D334" i="32"/>
  <c r="G339" i="32"/>
  <c r="I339" i="32" s="1"/>
  <c r="G345" i="32"/>
  <c r="I345" i="32" s="1"/>
  <c r="G352" i="32"/>
  <c r="I352" i="32" s="1"/>
  <c r="H358" i="32"/>
  <c r="I358" i="32" s="1"/>
  <c r="G360" i="32"/>
  <c r="I360" i="32" s="1"/>
  <c r="G365" i="32"/>
  <c r="I365" i="32" s="1"/>
  <c r="G382" i="32"/>
  <c r="I382" i="32" s="1"/>
  <c r="G386" i="32"/>
  <c r="I386" i="32" s="1"/>
  <c r="G414" i="32"/>
  <c r="I414" i="32" s="1"/>
  <c r="G425" i="32"/>
  <c r="H425" i="32"/>
  <c r="H430" i="32"/>
  <c r="I430" i="32" s="1"/>
  <c r="D279" i="32"/>
  <c r="H421" i="32"/>
  <c r="G421" i="32"/>
  <c r="H293" i="32"/>
  <c r="H298" i="32"/>
  <c r="D322" i="32"/>
  <c r="H344" i="32"/>
  <c r="D346" i="32"/>
  <c r="D389" i="32"/>
  <c r="H393" i="32"/>
  <c r="G393" i="32"/>
  <c r="H401" i="32"/>
  <c r="G401" i="32"/>
  <c r="H405" i="32"/>
  <c r="G405" i="32"/>
  <c r="D295" i="32"/>
  <c r="G350" i="32"/>
  <c r="I350" i="32" s="1"/>
  <c r="D349" i="32"/>
  <c r="H373" i="32"/>
  <c r="G373" i="32"/>
  <c r="D372" i="32"/>
  <c r="D379" i="32"/>
  <c r="H377" i="32"/>
  <c r="G377" i="32"/>
  <c r="D304" i="32"/>
  <c r="H306" i="32"/>
  <c r="I306" i="32" s="1"/>
  <c r="H310" i="32"/>
  <c r="I310" i="32" s="1"/>
  <c r="H314" i="32"/>
  <c r="I314" i="32" s="1"/>
  <c r="H318" i="32"/>
  <c r="I318" i="32" s="1"/>
  <c r="G326" i="32"/>
  <c r="I326" i="32" s="1"/>
  <c r="G330" i="32"/>
  <c r="I330" i="32" s="1"/>
  <c r="G344" i="32"/>
  <c r="G351" i="32"/>
  <c r="I351" i="32" s="1"/>
  <c r="H354" i="32"/>
  <c r="I354" i="32" s="1"/>
  <c r="G359" i="32"/>
  <c r="I359" i="32" s="1"/>
  <c r="D366" i="32"/>
  <c r="H364" i="32"/>
  <c r="D367" i="32"/>
  <c r="G364" i="32"/>
  <c r="H385" i="32"/>
  <c r="G385" i="32"/>
  <c r="I394" i="32"/>
  <c r="D413" i="32"/>
  <c r="D419" i="32"/>
  <c r="D420" i="32"/>
  <c r="H418" i="32"/>
  <c r="I418" i="32" s="1"/>
  <c r="H426" i="32"/>
  <c r="I426" i="32" s="1"/>
  <c r="G429" i="32"/>
  <c r="H429" i="32"/>
  <c r="D428" i="32"/>
  <c r="D388" i="32"/>
  <c r="H396" i="32"/>
  <c r="I396" i="32" s="1"/>
  <c r="D399" i="32"/>
  <c r="G404" i="32"/>
  <c r="D410" i="32"/>
  <c r="H410" i="32" s="1"/>
  <c r="I410" i="32" s="1"/>
  <c r="H407" i="32"/>
  <c r="I412" i="32"/>
  <c r="H432" i="32"/>
  <c r="I432" i="32" s="1"/>
  <c r="D370" i="32"/>
  <c r="H11" i="32"/>
  <c r="I14" i="32"/>
  <c r="I11" i="32" s="1"/>
  <c r="D11" i="32"/>
  <c r="G24" i="32"/>
  <c r="I24" i="32" s="1"/>
  <c r="G26" i="32"/>
  <c r="I26" i="32" s="1"/>
  <c r="H28" i="32"/>
  <c r="I28" i="32" s="1"/>
  <c r="H30" i="32"/>
  <c r="I30" i="32" s="1"/>
  <c r="G33" i="32"/>
  <c r="I33" i="32" s="1"/>
  <c r="H48" i="32"/>
  <c r="I48" i="32" s="1"/>
  <c r="H59" i="32"/>
  <c r="I59" i="32" s="1"/>
  <c r="H63" i="32"/>
  <c r="I63" i="32" s="1"/>
  <c r="H88" i="32"/>
  <c r="D99" i="32"/>
  <c r="H99" i="32" s="1"/>
  <c r="H96" i="32"/>
  <c r="I96" i="32" s="1"/>
  <c r="H105" i="32"/>
  <c r="I105" i="32" s="1"/>
  <c r="G115" i="32"/>
  <c r="I115" i="32" s="1"/>
  <c r="H116" i="32"/>
  <c r="I116" i="32" s="1"/>
  <c r="H118" i="32"/>
  <c r="I121" i="32"/>
  <c r="H122" i="32"/>
  <c r="I122" i="32" s="1"/>
  <c r="G125" i="32"/>
  <c r="I125" i="32" s="1"/>
  <c r="H127" i="32"/>
  <c r="I127" i="32" s="1"/>
  <c r="G130" i="32"/>
  <c r="I130" i="32" s="1"/>
  <c r="H135" i="32"/>
  <c r="I135" i="32" s="1"/>
  <c r="H141" i="32"/>
  <c r="I141" i="32" s="1"/>
  <c r="H143" i="32"/>
  <c r="I143" i="32" s="1"/>
  <c r="G153" i="32"/>
  <c r="I153" i="32" s="1"/>
  <c r="G155" i="32"/>
  <c r="I155" i="32" s="1"/>
  <c r="G158" i="32"/>
  <c r="I158" i="32" s="1"/>
  <c r="H171" i="32"/>
  <c r="I171" i="32" s="1"/>
  <c r="G181" i="32"/>
  <c r="I181" i="32" s="1"/>
  <c r="I188" i="32"/>
  <c r="H189" i="32"/>
  <c r="I189" i="32" s="1"/>
  <c r="H197" i="32"/>
  <c r="I197" i="32" s="1"/>
  <c r="H201" i="32"/>
  <c r="I201" i="32" s="1"/>
  <c r="H203" i="32"/>
  <c r="I203" i="32" s="1"/>
  <c r="H206" i="32"/>
  <c r="I206" i="32" s="1"/>
  <c r="H209" i="32"/>
  <c r="I209" i="32" s="1"/>
  <c r="H211" i="32"/>
  <c r="I211" i="32" s="1"/>
  <c r="H240" i="32"/>
  <c r="I240" i="32" s="1"/>
  <c r="G246" i="32"/>
  <c r="I246" i="32" s="1"/>
  <c r="H271" i="32"/>
  <c r="I271" i="32" s="1"/>
  <c r="H275" i="32"/>
  <c r="I275" i="32" s="1"/>
  <c r="I22" i="32"/>
  <c r="I27" i="32"/>
  <c r="I41" i="32"/>
  <c r="I43" i="32"/>
  <c r="G55" i="32"/>
  <c r="G80" i="32"/>
  <c r="I80" i="32" s="1"/>
  <c r="G82" i="32"/>
  <c r="I82" i="32" s="1"/>
  <c r="G85" i="32"/>
  <c r="I85" i="32" s="1"/>
  <c r="I101" i="32"/>
  <c r="I103" i="32"/>
  <c r="I106" i="32"/>
  <c r="G110" i="32"/>
  <c r="I110" i="32" s="1"/>
  <c r="G112" i="32"/>
  <c r="I112" i="32" s="1"/>
  <c r="D117" i="32"/>
  <c r="H117" i="32" s="1"/>
  <c r="H147" i="32"/>
  <c r="I147" i="32" s="1"/>
  <c r="G151" i="32"/>
  <c r="I151" i="32" s="1"/>
  <c r="H175" i="32"/>
  <c r="I175" i="32" s="1"/>
  <c r="G177" i="32"/>
  <c r="I177" i="32" s="1"/>
  <c r="D247" i="32"/>
  <c r="H247" i="32" s="1"/>
  <c r="D270" i="32"/>
  <c r="H270" i="32" s="1"/>
  <c r="D68" i="32"/>
  <c r="H68" i="32" s="1"/>
  <c r="D79" i="32"/>
  <c r="D84" i="32" s="1"/>
  <c r="H84" i="32" s="1"/>
  <c r="G81" i="32"/>
  <c r="I81" i="32" s="1"/>
  <c r="G83" i="32"/>
  <c r="I83" i="32" s="1"/>
  <c r="G86" i="32"/>
  <c r="I86" i="32" s="1"/>
  <c r="G88" i="32"/>
  <c r="G109" i="32"/>
  <c r="I109" i="32" s="1"/>
  <c r="G111" i="32"/>
  <c r="I111" i="32" s="1"/>
  <c r="G118" i="32"/>
  <c r="H131" i="32"/>
  <c r="I131" i="32" s="1"/>
  <c r="H137" i="32"/>
  <c r="I137" i="32" s="1"/>
  <c r="H146" i="32"/>
  <c r="I146" i="32" s="1"/>
  <c r="G150" i="32"/>
  <c r="I150" i="32" s="1"/>
  <c r="H174" i="32"/>
  <c r="I174" i="32" s="1"/>
  <c r="G183" i="32"/>
  <c r="I183" i="32" s="1"/>
  <c r="H185" i="32"/>
  <c r="I185" i="32" s="1"/>
  <c r="G187" i="32"/>
  <c r="I187" i="32" s="1"/>
  <c r="H194" i="32"/>
  <c r="I194" i="32" s="1"/>
  <c r="H214" i="32"/>
  <c r="I214" i="32" s="1"/>
  <c r="D217" i="32"/>
  <c r="G217" i="32" s="1"/>
  <c r="H219" i="32"/>
  <c r="I219" i="32" s="1"/>
  <c r="G227" i="32"/>
  <c r="I227" i="32" s="1"/>
  <c r="G232" i="32"/>
  <c r="I232" i="32" s="1"/>
  <c r="H235" i="32"/>
  <c r="I235" i="32" s="1"/>
  <c r="G238" i="32"/>
  <c r="I238" i="32" s="1"/>
  <c r="I242" i="32"/>
  <c r="G248" i="32"/>
  <c r="I248" i="32" s="1"/>
  <c r="G255" i="32"/>
  <c r="I255" i="32" s="1"/>
  <c r="G258" i="32"/>
  <c r="I258" i="32" s="1"/>
  <c r="I176" i="32"/>
  <c r="I225" i="32"/>
  <c r="G229" i="32"/>
  <c r="I229" i="32" s="1"/>
  <c r="I261" i="32"/>
  <c r="I100" i="32"/>
  <c r="I66" i="32"/>
  <c r="H19" i="32"/>
  <c r="I19" i="32" s="1"/>
  <c r="I35" i="32"/>
  <c r="I38" i="32"/>
  <c r="I36" i="32"/>
  <c r="I42" i="32"/>
  <c r="I54" i="32"/>
  <c r="I93" i="32"/>
  <c r="I167" i="32"/>
  <c r="I173" i="32"/>
  <c r="I20" i="32"/>
  <c r="I113" i="32"/>
  <c r="G44" i="32"/>
  <c r="I44" i="32" s="1"/>
  <c r="I77" i="32"/>
  <c r="I102" i="32"/>
  <c r="G11" i="32"/>
  <c r="H37" i="32"/>
  <c r="G37" i="32"/>
  <c r="I40" i="32"/>
  <c r="I45" i="32"/>
  <c r="I18" i="32"/>
  <c r="H21" i="32"/>
  <c r="G53" i="32"/>
  <c r="H53" i="32"/>
  <c r="D156" i="32"/>
  <c r="D163" i="32"/>
  <c r="G196" i="32"/>
  <c r="H196" i="32"/>
  <c r="G67" i="32"/>
  <c r="I67" i="32" s="1"/>
  <c r="G69" i="32"/>
  <c r="I69" i="32" s="1"/>
  <c r="G70" i="32"/>
  <c r="I70" i="32" s="1"/>
  <c r="G71" i="32"/>
  <c r="I71" i="32" s="1"/>
  <c r="G72" i="32"/>
  <c r="I72" i="32" s="1"/>
  <c r="G73" i="32"/>
  <c r="I73" i="32" s="1"/>
  <c r="G74" i="32"/>
  <c r="I74" i="32" s="1"/>
  <c r="G75" i="32"/>
  <c r="I75" i="32" s="1"/>
  <c r="G107" i="32"/>
  <c r="I107" i="32" s="1"/>
  <c r="D126" i="32"/>
  <c r="H132" i="32"/>
  <c r="I132" i="32" s="1"/>
  <c r="H136" i="32"/>
  <c r="I136" i="32" s="1"/>
  <c r="H140" i="32"/>
  <c r="I140" i="32" s="1"/>
  <c r="H144" i="32"/>
  <c r="I144" i="32" s="1"/>
  <c r="G152" i="32"/>
  <c r="I152" i="32" s="1"/>
  <c r="G159" i="32"/>
  <c r="I159" i="32" s="1"/>
  <c r="G179" i="32"/>
  <c r="I179" i="32" s="1"/>
  <c r="H182" i="32"/>
  <c r="G182" i="32"/>
  <c r="I184" i="32"/>
  <c r="H193" i="32"/>
  <c r="I193" i="32" s="1"/>
  <c r="H198" i="32"/>
  <c r="I198" i="32" s="1"/>
  <c r="G200" i="32"/>
  <c r="H200" i="32"/>
  <c r="D199" i="32"/>
  <c r="D208" i="32"/>
  <c r="G216" i="32"/>
  <c r="H216" i="32"/>
  <c r="H249" i="32"/>
  <c r="G249" i="32"/>
  <c r="H251" i="32"/>
  <c r="I251" i="32" s="1"/>
  <c r="D244" i="32"/>
  <c r="D254" i="32"/>
  <c r="G265" i="32"/>
  <c r="I265" i="32" s="1"/>
  <c r="H268" i="32"/>
  <c r="I268" i="32" s="1"/>
  <c r="D138" i="32"/>
  <c r="I178" i="32"/>
  <c r="G264" i="32"/>
  <c r="I264" i="32" s="1"/>
  <c r="D263" i="32"/>
  <c r="D23" i="32"/>
  <c r="I157" i="32"/>
  <c r="G212" i="32"/>
  <c r="H212" i="32"/>
  <c r="G220" i="32"/>
  <c r="H220" i="32"/>
  <c r="H228" i="32"/>
  <c r="G228" i="32"/>
  <c r="I230" i="32"/>
  <c r="I241" i="32"/>
  <c r="H253" i="32"/>
  <c r="G253" i="32"/>
  <c r="D8" i="32"/>
  <c r="G8" i="32" s="1"/>
  <c r="I8" i="32" s="1"/>
  <c r="I3" i="32" s="1"/>
  <c r="C43" i="1"/>
  <c r="D12" i="31"/>
  <c r="D13" i="31" s="1"/>
  <c r="G8" i="31"/>
  <c r="D4" i="31"/>
  <c r="D5" i="31" s="1"/>
  <c r="D32" i="1"/>
  <c r="D31" i="1"/>
  <c r="C29" i="1"/>
  <c r="H1748" i="32" l="1"/>
  <c r="H1747" i="32" s="1"/>
  <c r="G1748" i="32"/>
  <c r="G1747" i="32" s="1"/>
  <c r="G224" i="32"/>
  <c r="I224" i="32" s="1"/>
  <c r="I1559" i="32"/>
  <c r="H148" i="32"/>
  <c r="H398" i="32"/>
  <c r="I398" i="32" s="1"/>
  <c r="I500" i="32"/>
  <c r="G499" i="32"/>
  <c r="I503" i="32"/>
  <c r="F487" i="32"/>
  <c r="E487" i="32" s="1"/>
  <c r="G487" i="32" s="1"/>
  <c r="H484" i="32"/>
  <c r="D17" i="32"/>
  <c r="G51" i="32"/>
  <c r="I51" i="32" s="1"/>
  <c r="G260" i="32"/>
  <c r="I260" i="32" s="1"/>
  <c r="I1165" i="32"/>
  <c r="H1398" i="32"/>
  <c r="H1388" i="32" s="1"/>
  <c r="I1750" i="32"/>
  <c r="I1756" i="32"/>
  <c r="G92" i="32"/>
  <c r="I92" i="32" s="1"/>
  <c r="I448" i="32"/>
  <c r="I1463" i="32"/>
  <c r="H371" i="32"/>
  <c r="H808" i="32"/>
  <c r="H1583" i="32"/>
  <c r="H1582" i="32" s="1"/>
  <c r="I1582" i="32" s="1"/>
  <c r="I1389" i="32"/>
  <c r="I148" i="32"/>
  <c r="I633" i="32"/>
  <c r="G1481" i="32"/>
  <c r="I1580" i="32"/>
  <c r="I118" i="32"/>
  <c r="H942" i="32"/>
  <c r="I942" i="32" s="1"/>
  <c r="G973" i="32"/>
  <c r="I973" i="32" s="1"/>
  <c r="H864" i="32"/>
  <c r="I864" i="32" s="1"/>
  <c r="G471" i="32"/>
  <c r="I471" i="32" s="1"/>
  <c r="I1063" i="32"/>
  <c r="G46" i="32"/>
  <c r="I472" i="32"/>
  <c r="H46" i="32"/>
  <c r="G297" i="32"/>
  <c r="I297" i="32" s="1"/>
  <c r="G655" i="32"/>
  <c r="I655" i="32" s="1"/>
  <c r="I831" i="32"/>
  <c r="I602" i="32"/>
  <c r="I1412" i="32"/>
  <c r="I1398" i="32"/>
  <c r="I670" i="32"/>
  <c r="I510" i="32"/>
  <c r="I1300" i="32"/>
  <c r="I1469" i="32"/>
  <c r="I1236" i="32"/>
  <c r="I1214" i="32"/>
  <c r="G117" i="32"/>
  <c r="I117" i="32" s="1"/>
  <c r="I1254" i="32"/>
  <c r="I738" i="32"/>
  <c r="I465" i="32"/>
  <c r="I1203" i="32"/>
  <c r="G1213" i="32"/>
  <c r="I1352" i="32"/>
  <c r="G1456" i="32"/>
  <c r="I1456" i="32" s="1"/>
  <c r="H120" i="32"/>
  <c r="I120" i="32" s="1"/>
  <c r="G342" i="32"/>
  <c r="I342" i="32" s="1"/>
  <c r="G699" i="32"/>
  <c r="I699" i="32" s="1"/>
  <c r="I383" i="32"/>
  <c r="I1241" i="32"/>
  <c r="G962" i="32"/>
  <c r="I962" i="32" s="1"/>
  <c r="H857" i="32"/>
  <c r="I857" i="32" s="1"/>
  <c r="I451" i="32"/>
  <c r="I824" i="32"/>
  <c r="I1381" i="32"/>
  <c r="H1303" i="32"/>
  <c r="I1303" i="32" s="1"/>
  <c r="I1304" i="32"/>
  <c r="I464" i="32"/>
  <c r="I915" i="32"/>
  <c r="G968" i="32"/>
  <c r="I968" i="32" s="1"/>
  <c r="F967" i="32" s="1"/>
  <c r="H967" i="32" s="1"/>
  <c r="I1042" i="32"/>
  <c r="I1086" i="32"/>
  <c r="I1168" i="32"/>
  <c r="H1040" i="32"/>
  <c r="G1040" i="32"/>
  <c r="H1045" i="32"/>
  <c r="I1045" i="32" s="1"/>
  <c r="G1041" i="32"/>
  <c r="H1041" i="32"/>
  <c r="D76" i="32"/>
  <c r="H76" i="32" s="1"/>
  <c r="H343" i="32"/>
  <c r="I343" i="32" s="1"/>
  <c r="G406" i="32"/>
  <c r="I406" i="32" s="1"/>
  <c r="H720" i="32"/>
  <c r="I720" i="32" s="1"/>
  <c r="G850" i="32"/>
  <c r="I850" i="32" s="1"/>
  <c r="I783" i="32"/>
  <c r="I753" i="32"/>
  <c r="I501" i="32"/>
  <c r="I727" i="32"/>
  <c r="I272" i="32"/>
  <c r="I233" i="32"/>
  <c r="I751" i="32"/>
  <c r="G57" i="32"/>
  <c r="H397" i="32"/>
  <c r="I397" i="32" s="1"/>
  <c r="G844" i="32"/>
  <c r="I844" i="32" s="1"/>
  <c r="I830" i="32"/>
  <c r="G779" i="32"/>
  <c r="I449" i="32"/>
  <c r="I749" i="32"/>
  <c r="I836" i="32"/>
  <c r="I684" i="32"/>
  <c r="G65" i="32"/>
  <c r="I65" i="32" s="1"/>
  <c r="H57" i="32"/>
  <c r="G381" i="32"/>
  <c r="I381" i="32" s="1"/>
  <c r="H873" i="32"/>
  <c r="I873" i="32" s="1"/>
  <c r="F869" i="32" s="1"/>
  <c r="H869" i="32" s="1"/>
  <c r="I454" i="32"/>
  <c r="G629" i="32"/>
  <c r="I629" i="32" s="1"/>
  <c r="I740" i="32"/>
  <c r="H956" i="32"/>
  <c r="I956" i="32" s="1"/>
  <c r="I164" i="32"/>
  <c r="I725" i="32"/>
  <c r="I166" i="32"/>
  <c r="I390" i="32"/>
  <c r="I94" i="32"/>
  <c r="I380" i="32"/>
  <c r="G880" i="32"/>
  <c r="I880" i="32" s="1"/>
  <c r="G879" i="32"/>
  <c r="I879" i="32" s="1"/>
  <c r="I726" i="32"/>
  <c r="I730" i="32"/>
  <c r="I518" i="32"/>
  <c r="I466" i="32"/>
  <c r="I701" i="32"/>
  <c r="I128" i="32"/>
  <c r="I707" i="32"/>
  <c r="I407" i="32"/>
  <c r="I262" i="32"/>
  <c r="I123" i="32"/>
  <c r="I450" i="32"/>
  <c r="I90" i="32"/>
  <c r="I252" i="32"/>
  <c r="I168" i="32"/>
  <c r="I404" i="32"/>
  <c r="I371" i="32"/>
  <c r="I52" i="32"/>
  <c r="I987" i="32"/>
  <c r="D661" i="32"/>
  <c r="H661" i="32" s="1"/>
  <c r="H656" i="32"/>
  <c r="I672" i="32"/>
  <c r="I965" i="32"/>
  <c r="F964" i="32" s="1"/>
  <c r="H964" i="32" s="1"/>
  <c r="I653" i="32"/>
  <c r="I589" i="32"/>
  <c r="I284" i="32"/>
  <c r="I215" i="32"/>
  <c r="H743" i="32"/>
  <c r="I452" i="32"/>
  <c r="I391" i="32"/>
  <c r="I319" i="32"/>
  <c r="I98" i="32"/>
  <c r="I657" i="32"/>
  <c r="H985" i="32"/>
  <c r="I460" i="32"/>
  <c r="I444" i="32"/>
  <c r="I440" i="32"/>
  <c r="D660" i="32"/>
  <c r="H660" i="32" s="1"/>
  <c r="I781" i="32"/>
  <c r="G656" i="32"/>
  <c r="I728" i="32"/>
  <c r="G985" i="32"/>
  <c r="I55" i="32"/>
  <c r="G335" i="32"/>
  <c r="I335" i="32" s="1"/>
  <c r="I459" i="32"/>
  <c r="G625" i="32"/>
  <c r="I625" i="32" s="1"/>
  <c r="H606" i="32"/>
  <c r="I606" i="32" s="1"/>
  <c r="I949" i="32"/>
  <c r="I694" i="32"/>
  <c r="I509" i="32"/>
  <c r="I782" i="32"/>
  <c r="I679" i="32"/>
  <c r="I638" i="32"/>
  <c r="I431" i="32"/>
  <c r="I191" i="32"/>
  <c r="I288" i="32"/>
  <c r="I172" i="32"/>
  <c r="I374" i="32"/>
  <c r="I357" i="32"/>
  <c r="I604" i="32"/>
  <c r="I658" i="32"/>
  <c r="I405" i="32"/>
  <c r="I401" i="32"/>
  <c r="I393" i="32"/>
  <c r="I256" i="32"/>
  <c r="I207" i="32"/>
  <c r="I186" i="32"/>
  <c r="I161" i="32"/>
  <c r="I353" i="32"/>
  <c r="I369" i="32"/>
  <c r="I323" i="32"/>
  <c r="I988" i="32"/>
  <c r="G925" i="32"/>
  <c r="I925" i="32" s="1"/>
  <c r="H960" i="32"/>
  <c r="I960" i="32" s="1"/>
  <c r="H958" i="32"/>
  <c r="I958" i="32" s="1"/>
  <c r="H851" i="32"/>
  <c r="I851" i="32" s="1"/>
  <c r="I952" i="32"/>
  <c r="I963" i="32"/>
  <c r="G893" i="32"/>
  <c r="I893" i="32" s="1"/>
  <c r="I957" i="32"/>
  <c r="I858" i="32"/>
  <c r="G55" i="29"/>
  <c r="I55" i="29" s="1"/>
  <c r="H55" i="29"/>
  <c r="G51" i="29"/>
  <c r="H51" i="29"/>
  <c r="F60" i="29"/>
  <c r="H60" i="29" s="1"/>
  <c r="G58" i="29"/>
  <c r="H58" i="29"/>
  <c r="G54" i="29"/>
  <c r="H54" i="29"/>
  <c r="H49" i="29"/>
  <c r="G49" i="29"/>
  <c r="I49" i="29" s="1"/>
  <c r="F43" i="29"/>
  <c r="H43" i="29" s="1"/>
  <c r="I42" i="29"/>
  <c r="G57" i="29"/>
  <c r="H57" i="29"/>
  <c r="H41" i="29"/>
  <c r="G41" i="29"/>
  <c r="I41" i="29" s="1"/>
  <c r="F40" i="29" s="1"/>
  <c r="H40" i="29" s="1"/>
  <c r="G38" i="29"/>
  <c r="H38" i="29"/>
  <c r="H48" i="29"/>
  <c r="G48" i="29"/>
  <c r="I48" i="29" s="1"/>
  <c r="F47" i="29" s="1"/>
  <c r="H47" i="29" s="1"/>
  <c r="G56" i="29"/>
  <c r="H56" i="29"/>
  <c r="G52" i="29"/>
  <c r="H52" i="29"/>
  <c r="G37" i="29"/>
  <c r="H37" i="29"/>
  <c r="I59" i="29"/>
  <c r="G948" i="32"/>
  <c r="H948" i="32"/>
  <c r="H890" i="32"/>
  <c r="G890" i="32"/>
  <c r="I88" i="32"/>
  <c r="I494" i="32"/>
  <c r="I718" i="32"/>
  <c r="G924" i="32"/>
  <c r="I924" i="32" s="1"/>
  <c r="I971" i="32"/>
  <c r="I898" i="32"/>
  <c r="I911" i="32"/>
  <c r="H921" i="32"/>
  <c r="G921" i="32"/>
  <c r="H892" i="32"/>
  <c r="G892" i="32"/>
  <c r="H463" i="32"/>
  <c r="I683" i="32"/>
  <c r="G662" i="32"/>
  <c r="H662" i="32"/>
  <c r="H862" i="32"/>
  <c r="G862" i="32"/>
  <c r="I646" i="32"/>
  <c r="I517" i="32"/>
  <c r="I170" i="32"/>
  <c r="I748" i="32"/>
  <c r="I527" i="32"/>
  <c r="G447" i="32"/>
  <c r="I959" i="32"/>
  <c r="G945" i="32"/>
  <c r="H945" i="32"/>
  <c r="I512" i="32"/>
  <c r="I455" i="32"/>
  <c r="I682" i="32"/>
  <c r="I640" i="32"/>
  <c r="I525" i="32"/>
  <c r="I507" i="32"/>
  <c r="G700" i="32"/>
  <c r="I700" i="32" s="1"/>
  <c r="H894" i="32"/>
  <c r="G894" i="32"/>
  <c r="I623" i="32"/>
  <c r="G951" i="32"/>
  <c r="H951" i="32"/>
  <c r="H922" i="32"/>
  <c r="G922" i="32"/>
  <c r="H939" i="32"/>
  <c r="G939" i="32"/>
  <c r="I823" i="32"/>
  <c r="I663" i="32"/>
  <c r="H447" i="32"/>
  <c r="F447" i="32" s="1"/>
  <c r="H217" i="32"/>
  <c r="I217" i="32" s="1"/>
  <c r="I249" i="32"/>
  <c r="G68" i="32"/>
  <c r="I68" i="32" s="1"/>
  <c r="G247" i="32"/>
  <c r="I247" i="32" s="1"/>
  <c r="I302" i="32"/>
  <c r="I293" i="32"/>
  <c r="I422" i="32"/>
  <c r="I881" i="32"/>
  <c r="I900" i="32"/>
  <c r="G891" i="32"/>
  <c r="H891" i="32"/>
  <c r="G859" i="32"/>
  <c r="H859" i="32"/>
  <c r="I676" i="32"/>
  <c r="H630" i="32"/>
  <c r="G630" i="32"/>
  <c r="G954" i="32"/>
  <c r="H954" i="32"/>
  <c r="G664" i="32"/>
  <c r="H664" i="32"/>
  <c r="I955" i="32"/>
  <c r="I605" i="32"/>
  <c r="I402" i="32"/>
  <c r="I943" i="32"/>
  <c r="I745" i="32"/>
  <c r="I520" i="32"/>
  <c r="I504" i="32"/>
  <c r="I897" i="32"/>
  <c r="I603" i="32"/>
  <c r="I515" i="32"/>
  <c r="I180" i="32"/>
  <c r="G953" i="32"/>
  <c r="H953" i="32"/>
  <c r="G917" i="32"/>
  <c r="H917" i="32"/>
  <c r="H876" i="32"/>
  <c r="G876" i="32"/>
  <c r="G936" i="32"/>
  <c r="H936" i="32"/>
  <c r="H886" i="32"/>
  <c r="G886" i="32"/>
  <c r="H904" i="32"/>
  <c r="G904" i="32"/>
  <c r="H853" i="32"/>
  <c r="G853" i="32"/>
  <c r="G981" i="32"/>
  <c r="H981" i="32"/>
  <c r="G950" i="32"/>
  <c r="H950" i="32"/>
  <c r="H928" i="32"/>
  <c r="G928" i="32"/>
  <c r="G913" i="32"/>
  <c r="H913" i="32"/>
  <c r="G919" i="32"/>
  <c r="H919" i="32"/>
  <c r="H861" i="32"/>
  <c r="G861" i="32"/>
  <c r="H887" i="32"/>
  <c r="G887" i="32"/>
  <c r="I972" i="32"/>
  <c r="I865" i="32"/>
  <c r="H905" i="32"/>
  <c r="G905" i="32"/>
  <c r="H906" i="32"/>
  <c r="G906" i="32"/>
  <c r="H854" i="32"/>
  <c r="G854" i="32"/>
  <c r="G978" i="32"/>
  <c r="H978" i="32"/>
  <c r="G947" i="32"/>
  <c r="H947" i="32"/>
  <c r="G931" i="32"/>
  <c r="H931" i="32"/>
  <c r="G914" i="32"/>
  <c r="H914" i="32"/>
  <c r="H899" i="32"/>
  <c r="G899" i="32"/>
  <c r="G979" i="32"/>
  <c r="H979" i="32"/>
  <c r="H927" i="32"/>
  <c r="G927" i="32"/>
  <c r="H883" i="32"/>
  <c r="G883" i="32"/>
  <c r="H867" i="32"/>
  <c r="G867" i="32"/>
  <c r="H907" i="32"/>
  <c r="G907" i="32"/>
  <c r="H910" i="32"/>
  <c r="G910" i="32"/>
  <c r="H855" i="32"/>
  <c r="G855" i="32"/>
  <c r="G977" i="32"/>
  <c r="H977" i="32"/>
  <c r="G944" i="32"/>
  <c r="H944" i="32"/>
  <c r="G932" i="32"/>
  <c r="H932" i="32"/>
  <c r="G916" i="32"/>
  <c r="H916" i="32"/>
  <c r="I908" i="32"/>
  <c r="G935" i="32"/>
  <c r="H935" i="32"/>
  <c r="H884" i="32"/>
  <c r="G884" i="32"/>
  <c r="H868" i="32"/>
  <c r="G868" i="32"/>
  <c r="I929" i="32"/>
  <c r="H909" i="32"/>
  <c r="G909" i="32"/>
  <c r="I889" i="32"/>
  <c r="G743" i="32"/>
  <c r="H779" i="32"/>
  <c r="I739" i="32"/>
  <c r="I737" i="32"/>
  <c r="G794" i="32"/>
  <c r="I795" i="32"/>
  <c r="I794" i="32" s="1"/>
  <c r="I809" i="32"/>
  <c r="G808" i="32"/>
  <c r="G835" i="32"/>
  <c r="H835" i="32"/>
  <c r="H719" i="32"/>
  <c r="G719" i="32"/>
  <c r="I717" i="32"/>
  <c r="I736" i="32"/>
  <c r="I716" i="32"/>
  <c r="G833" i="32"/>
  <c r="H833" i="32"/>
  <c r="H742" i="32"/>
  <c r="G742" i="32"/>
  <c r="G834" i="32"/>
  <c r="H834" i="32"/>
  <c r="G764" i="32"/>
  <c r="I765" i="32"/>
  <c r="I764" i="32" s="1"/>
  <c r="I715" i="32"/>
  <c r="H741" i="32"/>
  <c r="G741" i="32"/>
  <c r="I595" i="32"/>
  <c r="I585" i="32"/>
  <c r="I609" i="32"/>
  <c r="H631" i="32"/>
  <c r="G631" i="32"/>
  <c r="I588" i="32"/>
  <c r="G654" i="32"/>
  <c r="H654" i="32"/>
  <c r="H627" i="32"/>
  <c r="G627" i="32"/>
  <c r="H590" i="32"/>
  <c r="G590" i="32"/>
  <c r="H628" i="32"/>
  <c r="G628" i="32"/>
  <c r="D678" i="32"/>
  <c r="H668" i="32"/>
  <c r="G668" i="32"/>
  <c r="D677" i="32"/>
  <c r="D697" i="32"/>
  <c r="G690" i="32"/>
  <c r="H690" i="32"/>
  <c r="D698" i="32"/>
  <c r="G680" i="32"/>
  <c r="D687" i="32"/>
  <c r="H680" i="32"/>
  <c r="D688" i="32"/>
  <c r="H624" i="32"/>
  <c r="G624" i="32"/>
  <c r="I634" i="32"/>
  <c r="I596" i="32"/>
  <c r="H553" i="32"/>
  <c r="H502" i="32" s="1"/>
  <c r="G553" i="32"/>
  <c r="G502" i="32" s="1"/>
  <c r="H457" i="32"/>
  <c r="H437" i="32"/>
  <c r="F437" i="32" s="1"/>
  <c r="G457" i="32"/>
  <c r="I458" i="32"/>
  <c r="I442" i="32"/>
  <c r="G437" i="32"/>
  <c r="I438" i="32"/>
  <c r="I468" i="32"/>
  <c r="G463" i="32"/>
  <c r="I443" i="32"/>
  <c r="I439" i="32"/>
  <c r="I461" i="32"/>
  <c r="I445" i="32"/>
  <c r="I441" i="32"/>
  <c r="F471" i="32"/>
  <c r="I364" i="32"/>
  <c r="I377" i="32"/>
  <c r="I373" i="32"/>
  <c r="I421" i="32"/>
  <c r="I378" i="32"/>
  <c r="I277" i="32"/>
  <c r="I298" i="32"/>
  <c r="I344" i="32"/>
  <c r="I296" i="32"/>
  <c r="G84" i="32"/>
  <c r="I84" i="32" s="1"/>
  <c r="G99" i="32"/>
  <c r="I99" i="32" s="1"/>
  <c r="G79" i="32"/>
  <c r="G399" i="32"/>
  <c r="H399" i="32"/>
  <c r="G420" i="32"/>
  <c r="H420" i="32"/>
  <c r="G372" i="32"/>
  <c r="H372" i="32"/>
  <c r="H349" i="32"/>
  <c r="D356" i="32"/>
  <c r="G349" i="32"/>
  <c r="D355" i="32"/>
  <c r="H389" i="32"/>
  <c r="G389" i="32"/>
  <c r="H334" i="32"/>
  <c r="G334" i="32"/>
  <c r="I429" i="32"/>
  <c r="H419" i="32"/>
  <c r="G419" i="32"/>
  <c r="G367" i="32"/>
  <c r="H367" i="32"/>
  <c r="H322" i="32"/>
  <c r="D332" i="32"/>
  <c r="G322" i="32"/>
  <c r="G321" i="32"/>
  <c r="I321" i="32" s="1"/>
  <c r="G307" i="32"/>
  <c r="H307" i="32"/>
  <c r="H370" i="32"/>
  <c r="G370" i="32"/>
  <c r="G388" i="32"/>
  <c r="H388" i="32"/>
  <c r="H295" i="32"/>
  <c r="G295" i="32"/>
  <c r="H346" i="32"/>
  <c r="G346" i="32"/>
  <c r="I425" i="32"/>
  <c r="G315" i="32"/>
  <c r="H315" i="32"/>
  <c r="G428" i="32"/>
  <c r="H428" i="32"/>
  <c r="D427" i="32"/>
  <c r="D433" i="32"/>
  <c r="D434" i="32"/>
  <c r="H413" i="32"/>
  <c r="D416" i="32"/>
  <c r="G413" i="32"/>
  <c r="D417" i="32"/>
  <c r="I385" i="32"/>
  <c r="H366" i="32"/>
  <c r="G366" i="32"/>
  <c r="G304" i="32"/>
  <c r="H304" i="32"/>
  <c r="G379" i="32"/>
  <c r="H379" i="32"/>
  <c r="H279" i="32"/>
  <c r="G279" i="32"/>
  <c r="H280" i="32"/>
  <c r="G280" i="32"/>
  <c r="I305" i="32"/>
  <c r="D273" i="32"/>
  <c r="G273" i="32" s="1"/>
  <c r="D250" i="32"/>
  <c r="G250" i="32" s="1"/>
  <c r="I228" i="32"/>
  <c r="G270" i="32"/>
  <c r="I270" i="32" s="1"/>
  <c r="I182" i="32"/>
  <c r="H79" i="32"/>
  <c r="D222" i="32"/>
  <c r="G222" i="32" s="1"/>
  <c r="I37" i="32"/>
  <c r="I196" i="32"/>
  <c r="I21" i="32"/>
  <c r="D266" i="32"/>
  <c r="H263" i="32"/>
  <c r="G263" i="32"/>
  <c r="G199" i="32"/>
  <c r="D204" i="32"/>
  <c r="H199" i="32"/>
  <c r="H163" i="32"/>
  <c r="G163" i="32"/>
  <c r="I212" i="32"/>
  <c r="G138" i="32"/>
  <c r="D145" i="32"/>
  <c r="H138" i="32"/>
  <c r="I216" i="32"/>
  <c r="I220" i="32"/>
  <c r="G244" i="32"/>
  <c r="H244" i="32"/>
  <c r="G208" i="32"/>
  <c r="H208" i="32"/>
  <c r="D213" i="32"/>
  <c r="I200" i="32"/>
  <c r="H156" i="32"/>
  <c r="G156" i="32"/>
  <c r="I53" i="32"/>
  <c r="D34" i="32"/>
  <c r="H23" i="32"/>
  <c r="G23" i="32"/>
  <c r="D133" i="32"/>
  <c r="H126" i="32"/>
  <c r="G126" i="32"/>
  <c r="H254" i="32"/>
  <c r="G254" i="32"/>
  <c r="D257" i="32"/>
  <c r="I253" i="32"/>
  <c r="G3" i="32"/>
  <c r="D3" i="32"/>
  <c r="H8" i="31"/>
  <c r="I8" i="31" s="1"/>
  <c r="D10" i="31"/>
  <c r="H10" i="31" s="1"/>
  <c r="D14" i="31"/>
  <c r="G4" i="31"/>
  <c r="D6" i="31"/>
  <c r="G12" i="31"/>
  <c r="D9" i="31"/>
  <c r="H5" i="31"/>
  <c r="G5" i="31"/>
  <c r="H13" i="31"/>
  <c r="G13" i="31"/>
  <c r="D7" i="31"/>
  <c r="H4" i="31"/>
  <c r="H12" i="31"/>
  <c r="D11" i="31"/>
  <c r="D15" i="29"/>
  <c r="I1481" i="32" l="1"/>
  <c r="I1748" i="32"/>
  <c r="I1747" i="32" s="1"/>
  <c r="G436" i="32"/>
  <c r="I499" i="32"/>
  <c r="F463" i="32"/>
  <c r="H436" i="32"/>
  <c r="I487" i="32"/>
  <c r="I484" i="32" s="1"/>
  <c r="G484" i="32"/>
  <c r="I46" i="32"/>
  <c r="I1388" i="32"/>
  <c r="I829" i="32"/>
  <c r="F961" i="32"/>
  <c r="H961" i="32" s="1"/>
  <c r="I808" i="32"/>
  <c r="G1388" i="32"/>
  <c r="I1213" i="32"/>
  <c r="G76" i="32"/>
  <c r="I76" i="32" s="1"/>
  <c r="H709" i="32"/>
  <c r="I743" i="32"/>
  <c r="H1213" i="32"/>
  <c r="I57" i="32"/>
  <c r="I656" i="32"/>
  <c r="G661" i="32"/>
  <c r="I661" i="32" s="1"/>
  <c r="H721" i="32"/>
  <c r="I779" i="32"/>
  <c r="I79" i="32"/>
  <c r="I1041" i="32"/>
  <c r="H994" i="32"/>
  <c r="H993" i="32" s="1"/>
  <c r="I1040" i="32"/>
  <c r="G994" i="32"/>
  <c r="I985" i="32"/>
  <c r="H222" i="32"/>
  <c r="I222" i="32" s="1"/>
  <c r="I156" i="32"/>
  <c r="I654" i="32"/>
  <c r="G660" i="32"/>
  <c r="I660" i="32" s="1"/>
  <c r="I834" i="32"/>
  <c r="I833" i="32"/>
  <c r="I741" i="32"/>
  <c r="I664" i="32"/>
  <c r="H250" i="32"/>
  <c r="I250" i="32" s="1"/>
  <c r="I662" i="32"/>
  <c r="I304" i="32"/>
  <c r="I428" i="32"/>
  <c r="I367" i="32"/>
  <c r="G846" i="32"/>
  <c r="I884" i="32"/>
  <c r="I939" i="32"/>
  <c r="F937" i="32" s="1"/>
  <c r="H937" i="32" s="1"/>
  <c r="I894" i="32"/>
  <c r="F970" i="32"/>
  <c r="H970" i="32" s="1"/>
  <c r="I862" i="32"/>
  <c r="I921" i="32"/>
  <c r="I913" i="32"/>
  <c r="I950" i="32"/>
  <c r="I859" i="32"/>
  <c r="F856" i="32" s="1"/>
  <c r="H856" i="32" s="1"/>
  <c r="I945" i="32"/>
  <c r="I910" i="32"/>
  <c r="I867" i="32"/>
  <c r="I927" i="32"/>
  <c r="I899" i="32"/>
  <c r="F895" i="32" s="1"/>
  <c r="H895" i="32" s="1"/>
  <c r="F878" i="32"/>
  <c r="H878" i="32" s="1"/>
  <c r="I905" i="32"/>
  <c r="I887" i="32"/>
  <c r="I54" i="29"/>
  <c r="I51" i="29"/>
  <c r="F50" i="29" s="1"/>
  <c r="H50" i="29" s="1"/>
  <c r="I52" i="29"/>
  <c r="I37" i="29"/>
  <c r="F34" i="29" s="1"/>
  <c r="H34" i="29" s="1"/>
  <c r="I56" i="29"/>
  <c r="I38" i="29"/>
  <c r="I57" i="29"/>
  <c r="I58" i="29"/>
  <c r="I254" i="32"/>
  <c r="I280" i="32"/>
  <c r="I366" i="32"/>
  <c r="I413" i="32"/>
  <c r="I419" i="32"/>
  <c r="I349" i="32"/>
  <c r="I668" i="32"/>
  <c r="I919" i="32"/>
  <c r="I981" i="32"/>
  <c r="F980" i="32" s="1"/>
  <c r="H980" i="32" s="1"/>
  <c r="I936" i="32"/>
  <c r="I891" i="32"/>
  <c r="I948" i="32"/>
  <c r="H273" i="32"/>
  <c r="I273" i="32" s="1"/>
  <c r="I295" i="32"/>
  <c r="I370" i="32"/>
  <c r="I389" i="32"/>
  <c r="I553" i="32"/>
  <c r="I502" i="32" s="1"/>
  <c r="I909" i="32"/>
  <c r="I868" i="32"/>
  <c r="I855" i="32"/>
  <c r="I907" i="32"/>
  <c r="I883" i="32"/>
  <c r="I854" i="32"/>
  <c r="I906" i="32"/>
  <c r="F863" i="32"/>
  <c r="H863" i="32" s="1"/>
  <c r="I853" i="32"/>
  <c r="I876" i="32"/>
  <c r="F875" i="32" s="1"/>
  <c r="H875" i="32" s="1"/>
  <c r="I954" i="32"/>
  <c r="I951" i="32"/>
  <c r="E447" i="32"/>
  <c r="I447" i="32"/>
  <c r="I892" i="32"/>
  <c r="F923" i="32"/>
  <c r="H923" i="32" s="1"/>
  <c r="I890" i="32"/>
  <c r="I630" i="32"/>
  <c r="I922" i="32"/>
  <c r="F849" i="32"/>
  <c r="H849" i="32" s="1"/>
  <c r="I932" i="32"/>
  <c r="I977" i="32"/>
  <c r="I931" i="32"/>
  <c r="I978" i="32"/>
  <c r="I928" i="32"/>
  <c r="I886" i="32"/>
  <c r="I917" i="32"/>
  <c r="I935" i="32"/>
  <c r="I916" i="32"/>
  <c r="I944" i="32"/>
  <c r="I979" i="32"/>
  <c r="I914" i="32"/>
  <c r="I947" i="32"/>
  <c r="I861" i="32"/>
  <c r="I904" i="32"/>
  <c r="I953" i="32"/>
  <c r="I719" i="32"/>
  <c r="I709" i="32" s="1"/>
  <c r="G709" i="32"/>
  <c r="I742" i="32"/>
  <c r="G721" i="32"/>
  <c r="I835" i="32"/>
  <c r="I624" i="32"/>
  <c r="I628" i="32"/>
  <c r="I627" i="32"/>
  <c r="G678" i="32"/>
  <c r="H678" i="32"/>
  <c r="H687" i="32"/>
  <c r="G687" i="32"/>
  <c r="I690" i="32"/>
  <c r="G677" i="32"/>
  <c r="H677" i="32"/>
  <c r="I680" i="32"/>
  <c r="G697" i="32"/>
  <c r="H697" i="32"/>
  <c r="H688" i="32"/>
  <c r="G688" i="32"/>
  <c r="G698" i="32"/>
  <c r="H698" i="32"/>
  <c r="I590" i="32"/>
  <c r="I631" i="32"/>
  <c r="F457" i="32"/>
  <c r="I437" i="32"/>
  <c r="E437" i="32"/>
  <c r="I463" i="32"/>
  <c r="E463" i="32"/>
  <c r="I457" i="32"/>
  <c r="E457" i="32"/>
  <c r="I346" i="32"/>
  <c r="I334" i="32"/>
  <c r="H417" i="32"/>
  <c r="G417" i="32"/>
  <c r="G434" i="32"/>
  <c r="H434" i="32"/>
  <c r="G332" i="32"/>
  <c r="H332" i="32"/>
  <c r="H355" i="32"/>
  <c r="G355" i="32"/>
  <c r="G433" i="32"/>
  <c r="H433" i="32"/>
  <c r="I388" i="32"/>
  <c r="I307" i="32"/>
  <c r="I372" i="32"/>
  <c r="I399" i="32"/>
  <c r="I379" i="32"/>
  <c r="G416" i="32"/>
  <c r="H416" i="32"/>
  <c r="G427" i="32"/>
  <c r="H427" i="32"/>
  <c r="I315" i="32"/>
  <c r="G356" i="32"/>
  <c r="H356" i="32"/>
  <c r="I279" i="32"/>
  <c r="I322" i="32"/>
  <c r="I420" i="32"/>
  <c r="I199" i="32"/>
  <c r="G204" i="32"/>
  <c r="H204" i="32"/>
  <c r="G266" i="32"/>
  <c r="H266" i="32"/>
  <c r="I23" i="32"/>
  <c r="I126" i="32"/>
  <c r="I208" i="32"/>
  <c r="I244" i="32"/>
  <c r="G145" i="32"/>
  <c r="H145" i="32"/>
  <c r="I263" i="32"/>
  <c r="G133" i="32"/>
  <c r="H133" i="32"/>
  <c r="G213" i="32"/>
  <c r="H213" i="32"/>
  <c r="H257" i="32"/>
  <c r="G257" i="32"/>
  <c r="G34" i="32"/>
  <c r="H34" i="32"/>
  <c r="I138" i="32"/>
  <c r="I163" i="32"/>
  <c r="I4" i="31"/>
  <c r="G10" i="31"/>
  <c r="I10" i="31" s="1"/>
  <c r="H14" i="31"/>
  <c r="G14" i="31"/>
  <c r="I12" i="31"/>
  <c r="I5" i="31"/>
  <c r="H6" i="31"/>
  <c r="G6" i="31"/>
  <c r="G9" i="31"/>
  <c r="H9" i="31"/>
  <c r="H11" i="31"/>
  <c r="G11" i="31"/>
  <c r="I13" i="31"/>
  <c r="H7" i="31"/>
  <c r="G7" i="31"/>
  <c r="E10" i="1"/>
  <c r="I3" i="30"/>
  <c r="E6" i="30"/>
  <c r="D48" i="25"/>
  <c r="D49" i="25" s="1"/>
  <c r="H49" i="25" s="1"/>
  <c r="I49" i="25" s="1"/>
  <c r="D47" i="25"/>
  <c r="H47" i="25" s="1"/>
  <c r="D46" i="25"/>
  <c r="H46" i="25" s="1"/>
  <c r="D45" i="25"/>
  <c r="H45" i="25" s="1"/>
  <c r="D44" i="25"/>
  <c r="H44" i="25" s="1"/>
  <c r="H43" i="25"/>
  <c r="G43" i="25"/>
  <c r="G42" i="25"/>
  <c r="D17" i="30"/>
  <c r="H17" i="30" s="1"/>
  <c r="I17" i="30" s="1"/>
  <c r="D16" i="30"/>
  <c r="H16" i="30" s="1"/>
  <c r="I16" i="30" s="1"/>
  <c r="D15" i="30"/>
  <c r="H15" i="30" s="1"/>
  <c r="I15" i="30" s="1"/>
  <c r="D14" i="30"/>
  <c r="H14" i="30" s="1"/>
  <c r="I14" i="30" s="1"/>
  <c r="D12" i="30"/>
  <c r="H12" i="30" s="1"/>
  <c r="I12" i="30" s="1"/>
  <c r="D11" i="30"/>
  <c r="H11" i="30" s="1"/>
  <c r="I11" i="30" s="1"/>
  <c r="D10" i="30"/>
  <c r="H10" i="30" s="1"/>
  <c r="I10" i="30" s="1"/>
  <c r="D9" i="30"/>
  <c r="H9" i="30" s="1"/>
  <c r="I9" i="30" s="1"/>
  <c r="D8" i="30"/>
  <c r="H8" i="30" s="1"/>
  <c r="I8" i="30" s="1"/>
  <c r="D7" i="30"/>
  <c r="H7" i="30" s="1"/>
  <c r="D6" i="30"/>
  <c r="D5" i="30"/>
  <c r="H5" i="30" s="1"/>
  <c r="I5" i="30" s="1"/>
  <c r="D4" i="30"/>
  <c r="G4" i="30" s="1"/>
  <c r="I4" i="30" s="1"/>
  <c r="H151" i="29"/>
  <c r="G151" i="29"/>
  <c r="I151" i="29" s="1"/>
  <c r="I150" i="29" s="1"/>
  <c r="D148" i="29"/>
  <c r="G148" i="29" s="1"/>
  <c r="I148" i="29" s="1"/>
  <c r="D145" i="29"/>
  <c r="D146" i="29" s="1"/>
  <c r="H146" i="29" s="1"/>
  <c r="D141" i="29"/>
  <c r="H141" i="29" s="1"/>
  <c r="D140" i="29"/>
  <c r="D143" i="29" s="1"/>
  <c r="D139" i="29"/>
  <c r="D142" i="29" s="1"/>
  <c r="D137" i="29"/>
  <c r="H137" i="29" s="1"/>
  <c r="D136" i="29"/>
  <c r="H136" i="29" s="1"/>
  <c r="D135" i="29"/>
  <c r="D132" i="29"/>
  <c r="D134" i="29" s="1"/>
  <c r="D131" i="29"/>
  <c r="H131" i="29" s="1"/>
  <c r="D130" i="29"/>
  <c r="H130" i="29" s="1"/>
  <c r="G129" i="29"/>
  <c r="I129" i="29" s="1"/>
  <c r="D126" i="29"/>
  <c r="D127" i="29" s="1"/>
  <c r="D124" i="29"/>
  <c r="D125" i="29" s="1"/>
  <c r="D122" i="29"/>
  <c r="D123" i="29" s="1"/>
  <c r="D120" i="29"/>
  <c r="D121" i="29" s="1"/>
  <c r="D117" i="29"/>
  <c r="D119" i="29" s="1"/>
  <c r="D114" i="29"/>
  <c r="D116" i="29" s="1"/>
  <c r="D111" i="29"/>
  <c r="D113" i="29" s="1"/>
  <c r="D108" i="29"/>
  <c r="D110" i="29" s="1"/>
  <c r="D106" i="29"/>
  <c r="D107" i="29" s="1"/>
  <c r="H105" i="29"/>
  <c r="G105" i="29"/>
  <c r="D102" i="29"/>
  <c r="D103" i="29" s="1"/>
  <c r="D99" i="29"/>
  <c r="D100" i="29" s="1"/>
  <c r="H98" i="29"/>
  <c r="G98" i="29"/>
  <c r="D95" i="29"/>
  <c r="D97" i="29" s="1"/>
  <c r="D91" i="29"/>
  <c r="D93" i="29" s="1"/>
  <c r="D88" i="29"/>
  <c r="D90" i="29" s="1"/>
  <c r="D85" i="29"/>
  <c r="D86" i="29" s="1"/>
  <c r="D80" i="29"/>
  <c r="H80" i="29" s="1"/>
  <c r="D77" i="29"/>
  <c r="D84" i="29" s="1"/>
  <c r="D73" i="29"/>
  <c r="D76" i="29" s="1"/>
  <c r="D68" i="29"/>
  <c r="D70" i="29" s="1"/>
  <c r="D31" i="29"/>
  <c r="D33" i="29" s="1"/>
  <c r="D30" i="29"/>
  <c r="G30" i="29" s="1"/>
  <c r="D28" i="29"/>
  <c r="D29" i="29" s="1"/>
  <c r="H29" i="29" s="1"/>
  <c r="D25" i="29"/>
  <c r="G25" i="29" s="1"/>
  <c r="D21" i="29"/>
  <c r="D22" i="29" s="1"/>
  <c r="G17" i="29"/>
  <c r="D17" i="29"/>
  <c r="D19" i="29" s="1"/>
  <c r="D14" i="29"/>
  <c r="D16" i="29" s="1"/>
  <c r="H13" i="29"/>
  <c r="G13" i="29"/>
  <c r="H12" i="29"/>
  <c r="G12" i="29"/>
  <c r="D10" i="29"/>
  <c r="G10" i="29" s="1"/>
  <c r="D9" i="29"/>
  <c r="H9" i="29" s="1"/>
  <c r="D8" i="29"/>
  <c r="G8" i="29" s="1"/>
  <c r="H7" i="29"/>
  <c r="D7" i="29"/>
  <c r="G7" i="29" s="1"/>
  <c r="D6" i="29"/>
  <c r="H6" i="29" s="1"/>
  <c r="D5" i="29"/>
  <c r="G5" i="29" s="1"/>
  <c r="D4" i="29"/>
  <c r="H4" i="29" s="1"/>
  <c r="I436" i="32" l="1"/>
  <c r="H17" i="32"/>
  <c r="G17" i="32"/>
  <c r="F920" i="32"/>
  <c r="H920" i="32" s="1"/>
  <c r="I920" i="32" s="1"/>
  <c r="I846" i="32" s="1"/>
  <c r="H846" i="32" s="1"/>
  <c r="H708" i="32"/>
  <c r="I994" i="32"/>
  <c r="I993" i="32" s="1"/>
  <c r="G993" i="32"/>
  <c r="G583" i="32"/>
  <c r="I721" i="32"/>
  <c r="I708" i="32" s="1"/>
  <c r="F926" i="32"/>
  <c r="H926" i="32" s="1"/>
  <c r="I356" i="32"/>
  <c r="I332" i="32"/>
  <c r="I355" i="32"/>
  <c r="F882" i="32"/>
  <c r="H882" i="32" s="1"/>
  <c r="F866" i="32"/>
  <c r="H866" i="32" s="1"/>
  <c r="F852" i="32"/>
  <c r="H852" i="32" s="1"/>
  <c r="F860" i="32"/>
  <c r="H860" i="32" s="1"/>
  <c r="F934" i="32"/>
  <c r="H934" i="32" s="1"/>
  <c r="F912" i="32"/>
  <c r="H912" i="32" s="1"/>
  <c r="F930" i="32"/>
  <c r="H930" i="32" s="1"/>
  <c r="F885" i="32"/>
  <c r="H885" i="32" s="1"/>
  <c r="F888" i="32"/>
  <c r="H888" i="32" s="1"/>
  <c r="F53" i="29"/>
  <c r="H53" i="29" s="1"/>
  <c r="F903" i="32"/>
  <c r="H903" i="32" s="1"/>
  <c r="H276" i="32"/>
  <c r="I688" i="32"/>
  <c r="I687" i="32"/>
  <c r="G363" i="32"/>
  <c r="I697" i="32"/>
  <c r="H363" i="32"/>
  <c r="H583" i="32"/>
  <c r="F973" i="32"/>
  <c r="H973" i="32" s="1"/>
  <c r="G708" i="32"/>
  <c r="I677" i="32"/>
  <c r="I678" i="32"/>
  <c r="I698" i="32"/>
  <c r="I427" i="32"/>
  <c r="I433" i="32"/>
  <c r="G276" i="32"/>
  <c r="I416" i="32"/>
  <c r="I434" i="32"/>
  <c r="I417" i="32"/>
  <c r="I266" i="32"/>
  <c r="I204" i="32"/>
  <c r="I145" i="32"/>
  <c r="I34" i="32"/>
  <c r="I133" i="32"/>
  <c r="I257" i="32"/>
  <c r="I213" i="32"/>
  <c r="H15" i="31"/>
  <c r="I9" i="31"/>
  <c r="I6" i="31"/>
  <c r="I7" i="31"/>
  <c r="I14" i="31"/>
  <c r="I11" i="31"/>
  <c r="D32" i="29"/>
  <c r="G32" i="29" s="1"/>
  <c r="D87" i="29"/>
  <c r="H87" i="29" s="1"/>
  <c r="I25" i="29"/>
  <c r="I43" i="25"/>
  <c r="G44" i="25"/>
  <c r="I44" i="25" s="1"/>
  <c r="G47" i="25"/>
  <c r="I47" i="25" s="1"/>
  <c r="G45" i="25"/>
  <c r="I45" i="25" s="1"/>
  <c r="G48" i="25"/>
  <c r="I48" i="25" s="1"/>
  <c r="H48" i="25"/>
  <c r="G46" i="25"/>
  <c r="I46" i="25" s="1"/>
  <c r="H6" i="30"/>
  <c r="F6" i="30" s="1"/>
  <c r="G6" i="30" s="1"/>
  <c r="I6" i="30" s="1"/>
  <c r="I7" i="30"/>
  <c r="D13" i="30"/>
  <c r="G13" i="30" s="1"/>
  <c r="H13" i="30"/>
  <c r="I105" i="29"/>
  <c r="G21" i="29"/>
  <c r="H10" i="29"/>
  <c r="I10" i="29" s="1"/>
  <c r="D27" i="29"/>
  <c r="H27" i="29" s="1"/>
  <c r="I98" i="29"/>
  <c r="I13" i="29"/>
  <c r="G73" i="29"/>
  <c r="D104" i="29"/>
  <c r="H104" i="29" s="1"/>
  <c r="H32" i="29"/>
  <c r="D78" i="29"/>
  <c r="G126" i="29"/>
  <c r="I126" i="29" s="1"/>
  <c r="H140" i="29"/>
  <c r="G28" i="29"/>
  <c r="G95" i="29"/>
  <c r="I95" i="29" s="1"/>
  <c r="D128" i="29"/>
  <c r="H128" i="29" s="1"/>
  <c r="H15" i="29"/>
  <c r="I28" i="29"/>
  <c r="D79" i="29"/>
  <c r="D96" i="29"/>
  <c r="H96" i="29" s="1"/>
  <c r="H111" i="29"/>
  <c r="D149" i="29"/>
  <c r="H149" i="29" s="1"/>
  <c r="D20" i="29"/>
  <c r="H20" i="29" s="1"/>
  <c r="G114" i="29"/>
  <c r="G31" i="29"/>
  <c r="I31" i="29" s="1"/>
  <c r="D82" i="29"/>
  <c r="H82" i="29" s="1"/>
  <c r="D101" i="29"/>
  <c r="H101" i="29" s="1"/>
  <c r="H114" i="29"/>
  <c r="G140" i="29"/>
  <c r="D23" i="29"/>
  <c r="H23" i="29" s="1"/>
  <c r="G85" i="29"/>
  <c r="G102" i="29"/>
  <c r="I102" i="29" s="1"/>
  <c r="H123" i="29"/>
  <c r="G123" i="29"/>
  <c r="H5" i="29"/>
  <c r="I5" i="29" s="1"/>
  <c r="I14" i="29"/>
  <c r="G6" i="29"/>
  <c r="I6" i="29" s="1"/>
  <c r="G136" i="29"/>
  <c r="I136" i="29" s="1"/>
  <c r="D24" i="29"/>
  <c r="H24" i="29" s="1"/>
  <c r="G29" i="29"/>
  <c r="I29" i="29" s="1"/>
  <c r="G117" i="29"/>
  <c r="H124" i="29"/>
  <c r="I7" i="29"/>
  <c r="H117" i="29"/>
  <c r="G145" i="29"/>
  <c r="I145" i="29" s="1"/>
  <c r="I12" i="29"/>
  <c r="I17" i="29"/>
  <c r="D26" i="29"/>
  <c r="H30" i="29"/>
  <c r="I30" i="29" s="1"/>
  <c r="H73" i="29"/>
  <c r="I73" i="29" s="1"/>
  <c r="G108" i="29"/>
  <c r="G120" i="29"/>
  <c r="G137" i="29"/>
  <c r="I137" i="29" s="1"/>
  <c r="H8" i="29"/>
  <c r="I8" i="29" s="1"/>
  <c r="D18" i="29"/>
  <c r="G99" i="29"/>
  <c r="I99" i="29" s="1"/>
  <c r="H108" i="29"/>
  <c r="H120" i="29"/>
  <c r="G4" i="29"/>
  <c r="I4" i="29" s="1"/>
  <c r="G9" i="29"/>
  <c r="I9" i="29" s="1"/>
  <c r="G111" i="29"/>
  <c r="G122" i="29"/>
  <c r="G130" i="29"/>
  <c r="I130" i="29" s="1"/>
  <c r="G139" i="29"/>
  <c r="H122" i="29"/>
  <c r="H139" i="29"/>
  <c r="G14" i="29"/>
  <c r="H22" i="29"/>
  <c r="G22" i="29"/>
  <c r="H119" i="29"/>
  <c r="G119" i="29"/>
  <c r="H125" i="29"/>
  <c r="G125" i="29"/>
  <c r="H70" i="29"/>
  <c r="G70" i="29"/>
  <c r="H19" i="29"/>
  <c r="G19" i="29"/>
  <c r="G76" i="29"/>
  <c r="H76" i="29"/>
  <c r="H107" i="29"/>
  <c r="G107" i="29"/>
  <c r="H127" i="29"/>
  <c r="G127" i="29"/>
  <c r="H110" i="29"/>
  <c r="G110" i="29"/>
  <c r="H121" i="29"/>
  <c r="G121" i="29"/>
  <c r="H86" i="29"/>
  <c r="G86" i="29"/>
  <c r="H100" i="29"/>
  <c r="G100" i="29"/>
  <c r="H33" i="29"/>
  <c r="G33" i="29"/>
  <c r="H84" i="29"/>
  <c r="G84" i="29"/>
  <c r="H113" i="29"/>
  <c r="G113" i="29"/>
  <c r="H142" i="29"/>
  <c r="G142" i="29"/>
  <c r="G90" i="29"/>
  <c r="H90" i="29"/>
  <c r="H16" i="29"/>
  <c r="G16" i="29"/>
  <c r="H93" i="29"/>
  <c r="G93" i="29"/>
  <c r="H97" i="29"/>
  <c r="G97" i="29"/>
  <c r="H103" i="29"/>
  <c r="G103" i="29"/>
  <c r="H116" i="29"/>
  <c r="G116" i="29"/>
  <c r="G134" i="29"/>
  <c r="H134" i="29"/>
  <c r="G143" i="29"/>
  <c r="H143" i="29"/>
  <c r="G146" i="29"/>
  <c r="I146" i="29" s="1"/>
  <c r="D71" i="29"/>
  <c r="D74" i="29"/>
  <c r="G88" i="29"/>
  <c r="I88" i="29" s="1"/>
  <c r="D94" i="29"/>
  <c r="G132" i="29"/>
  <c r="I132" i="29" s="1"/>
  <c r="D138" i="29"/>
  <c r="G149" i="29"/>
  <c r="I149" i="29" s="1"/>
  <c r="F148" i="29" s="1"/>
  <c r="H148" i="29" s="1"/>
  <c r="I21" i="29"/>
  <c r="G68" i="29"/>
  <c r="I68" i="29" s="1"/>
  <c r="D83" i="29"/>
  <c r="G91" i="29"/>
  <c r="I91" i="29" s="1"/>
  <c r="D109" i="29"/>
  <c r="D112" i="29"/>
  <c r="D115" i="29"/>
  <c r="D118" i="29"/>
  <c r="G135" i="29"/>
  <c r="I135" i="29" s="1"/>
  <c r="G77" i="29"/>
  <c r="I77" i="29" s="1"/>
  <c r="G80" i="29"/>
  <c r="I80" i="29" s="1"/>
  <c r="G106" i="29"/>
  <c r="I106" i="29" s="1"/>
  <c r="G124" i="29"/>
  <c r="G141" i="29"/>
  <c r="I141" i="29" s="1"/>
  <c r="D147" i="29"/>
  <c r="D89" i="29"/>
  <c r="H106" i="29"/>
  <c r="D133" i="29"/>
  <c r="D69" i="29"/>
  <c r="D72" i="29"/>
  <c r="D75" i="29"/>
  <c r="D92" i="29"/>
  <c r="D81" i="29"/>
  <c r="G87" i="29"/>
  <c r="I87" i="29" s="1"/>
  <c r="G128" i="29"/>
  <c r="I128" i="29" s="1"/>
  <c r="G131" i="29"/>
  <c r="I131" i="29" s="1"/>
  <c r="H177" i="28"/>
  <c r="G177" i="28"/>
  <c r="I177" i="28" s="1"/>
  <c r="H176" i="28"/>
  <c r="G176" i="28"/>
  <c r="I176" i="28" s="1"/>
  <c r="H175" i="28"/>
  <c r="G175" i="28"/>
  <c r="H174" i="28"/>
  <c r="G174" i="28"/>
  <c r="I174" i="28" s="1"/>
  <c r="H173" i="28"/>
  <c r="G173" i="28"/>
  <c r="H172" i="28"/>
  <c r="G172" i="28"/>
  <c r="H170" i="28"/>
  <c r="I170" i="28" s="1"/>
  <c r="G170" i="28"/>
  <c r="H169" i="28"/>
  <c r="G169" i="28"/>
  <c r="I169" i="28" s="1"/>
  <c r="H168" i="28"/>
  <c r="G168" i="28"/>
  <c r="H167" i="28"/>
  <c r="G167" i="28"/>
  <c r="H166" i="28"/>
  <c r="G166" i="28"/>
  <c r="H165" i="28"/>
  <c r="G165" i="28"/>
  <c r="H164" i="28"/>
  <c r="G164" i="28"/>
  <c r="H163" i="28"/>
  <c r="G163" i="28"/>
  <c r="H162" i="28"/>
  <c r="G162" i="28"/>
  <c r="H161" i="28"/>
  <c r="G161" i="28"/>
  <c r="H160" i="28"/>
  <c r="G160" i="28"/>
  <c r="H159" i="28"/>
  <c r="G159" i="28"/>
  <c r="H158" i="28"/>
  <c r="G158" i="28"/>
  <c r="H157" i="28"/>
  <c r="G157" i="28"/>
  <c r="I157" i="28" s="1"/>
  <c r="H156" i="28"/>
  <c r="G156" i="28"/>
  <c r="H155" i="28"/>
  <c r="G155" i="28"/>
  <c r="H154" i="28"/>
  <c r="I154" i="28" s="1"/>
  <c r="G154" i="28"/>
  <c r="H153" i="28"/>
  <c r="G153" i="28"/>
  <c r="I153" i="28" s="1"/>
  <c r="H152" i="28"/>
  <c r="G152" i="28"/>
  <c r="H151" i="28"/>
  <c r="G151" i="28"/>
  <c r="H150" i="28"/>
  <c r="G150" i="28"/>
  <c r="H149" i="28"/>
  <c r="G149" i="28"/>
  <c r="H148" i="28"/>
  <c r="G148" i="28"/>
  <c r="H147" i="28"/>
  <c r="G147" i="28"/>
  <c r="H146" i="28"/>
  <c r="G146" i="28"/>
  <c r="H145" i="28"/>
  <c r="G145" i="28"/>
  <c r="I145" i="28" s="1"/>
  <c r="H144" i="28"/>
  <c r="G144" i="28"/>
  <c r="H143" i="28"/>
  <c r="G143" i="28"/>
  <c r="H141" i="28"/>
  <c r="G141" i="28"/>
  <c r="G137" i="28" s="1"/>
  <c r="I137" i="28" s="1"/>
  <c r="H140" i="28"/>
  <c r="I140" i="28" s="1"/>
  <c r="H139" i="28"/>
  <c r="I139" i="28" s="1"/>
  <c r="H138" i="28"/>
  <c r="H137" i="28" s="1"/>
  <c r="D137" i="28"/>
  <c r="H136" i="28"/>
  <c r="I136" i="28" s="1"/>
  <c r="H135" i="28"/>
  <c r="G135" i="28"/>
  <c r="I135" i="28" s="1"/>
  <c r="H134" i="28"/>
  <c r="D134" i="28"/>
  <c r="H133" i="28"/>
  <c r="I133" i="28" s="1"/>
  <c r="G132" i="28"/>
  <c r="H131" i="28"/>
  <c r="I131" i="28" s="1"/>
  <c r="H130" i="28"/>
  <c r="H129" i="28" s="1"/>
  <c r="I129" i="28" s="1"/>
  <c r="G130" i="28"/>
  <c r="G129" i="28"/>
  <c r="H128" i="28"/>
  <c r="G128" i="28"/>
  <c r="I128" i="28" s="1"/>
  <c r="H127" i="28"/>
  <c r="G127" i="28"/>
  <c r="H126" i="28"/>
  <c r="G126" i="28"/>
  <c r="I126" i="28" s="1"/>
  <c r="H125" i="28"/>
  <c r="I125" i="28" s="1"/>
  <c r="G125" i="28"/>
  <c r="H124" i="28"/>
  <c r="G124" i="28"/>
  <c r="I124" i="28" s="1"/>
  <c r="H123" i="28"/>
  <c r="G123" i="28"/>
  <c r="H122" i="28"/>
  <c r="G122" i="28"/>
  <c r="I122" i="28" s="1"/>
  <c r="H121" i="28"/>
  <c r="I121" i="28" s="1"/>
  <c r="G121" i="28"/>
  <c r="H120" i="28"/>
  <c r="G120" i="28"/>
  <c r="I120" i="28" s="1"/>
  <c r="H119" i="28"/>
  <c r="G119" i="28"/>
  <c r="H118" i="28"/>
  <c r="G118" i="28"/>
  <c r="I118" i="28" s="1"/>
  <c r="H117" i="28"/>
  <c r="I117" i="28" s="1"/>
  <c r="G117" i="28"/>
  <c r="H116" i="28"/>
  <c r="G116" i="28"/>
  <c r="I116" i="28" s="1"/>
  <c r="H115" i="28"/>
  <c r="G115" i="28"/>
  <c r="H114" i="28"/>
  <c r="G114" i="28"/>
  <c r="I114" i="28" s="1"/>
  <c r="H113" i="28"/>
  <c r="I113" i="28" s="1"/>
  <c r="G113" i="28"/>
  <c r="H112" i="28"/>
  <c r="G112" i="28"/>
  <c r="I112" i="28" s="1"/>
  <c r="H111" i="28"/>
  <c r="G111" i="28"/>
  <c r="H110" i="28"/>
  <c r="H109" i="28" s="1"/>
  <c r="G110" i="28"/>
  <c r="I110" i="28" s="1"/>
  <c r="D109" i="28"/>
  <c r="G109" i="28" s="1"/>
  <c r="H108" i="28"/>
  <c r="G108" i="28"/>
  <c r="I108" i="28" s="1"/>
  <c r="H107" i="28"/>
  <c r="H106" i="28" s="1"/>
  <c r="I106" i="28" s="1"/>
  <c r="G107" i="28"/>
  <c r="G106" i="28"/>
  <c r="G93" i="28" s="1"/>
  <c r="I105" i="28"/>
  <c r="H105" i="28"/>
  <c r="G105" i="28"/>
  <c r="H104" i="28"/>
  <c r="I104" i="28" s="1"/>
  <c r="G104" i="28"/>
  <c r="H103" i="28"/>
  <c r="G103" i="28"/>
  <c r="I103" i="28" s="1"/>
  <c r="H102" i="28"/>
  <c r="G102" i="28"/>
  <c r="H101" i="28"/>
  <c r="G101" i="28"/>
  <c r="I101" i="28" s="1"/>
  <c r="G100" i="28"/>
  <c r="H99" i="28"/>
  <c r="G99" i="28"/>
  <c r="I99" i="28" s="1"/>
  <c r="H98" i="28"/>
  <c r="I98" i="28" s="1"/>
  <c r="G98" i="28"/>
  <c r="H97" i="28"/>
  <c r="G97" i="28"/>
  <c r="I97" i="28" s="1"/>
  <c r="H96" i="28"/>
  <c r="G96" i="28"/>
  <c r="I96" i="28" s="1"/>
  <c r="H95" i="28"/>
  <c r="H94" i="28" s="1"/>
  <c r="I94" i="28" s="1"/>
  <c r="G95" i="28"/>
  <c r="H92" i="28"/>
  <c r="G92" i="28"/>
  <c r="H91" i="28"/>
  <c r="G91" i="28"/>
  <c r="I91" i="28" s="1"/>
  <c r="H90" i="28"/>
  <c r="D90" i="28"/>
  <c r="H89" i="28"/>
  <c r="G89" i="28"/>
  <c r="I89" i="28" s="1"/>
  <c r="H88" i="28"/>
  <c r="G88" i="28"/>
  <c r="I88" i="28" s="1"/>
  <c r="H87" i="28"/>
  <c r="G87" i="28"/>
  <c r="H86" i="28"/>
  <c r="G86" i="28"/>
  <c r="I85" i="28"/>
  <c r="H85" i="28"/>
  <c r="G85" i="28"/>
  <c r="H84" i="28"/>
  <c r="I84" i="28" s="1"/>
  <c r="G84" i="28"/>
  <c r="H83" i="28"/>
  <c r="G83" i="28"/>
  <c r="I83" i="28" s="1"/>
  <c r="H82" i="28"/>
  <c r="I82" i="28" s="1"/>
  <c r="G82" i="28"/>
  <c r="H81" i="28"/>
  <c r="G81" i="28"/>
  <c r="I81" i="28" s="1"/>
  <c r="H80" i="28"/>
  <c r="G80" i="28"/>
  <c r="I80" i="28" s="1"/>
  <c r="H79" i="28"/>
  <c r="G79" i="28"/>
  <c r="H78" i="28"/>
  <c r="G78" i="28"/>
  <c r="I77" i="28"/>
  <c r="H77" i="28"/>
  <c r="G77" i="28"/>
  <c r="H76" i="28"/>
  <c r="I76" i="28" s="1"/>
  <c r="G76" i="28"/>
  <c r="H75" i="28"/>
  <c r="G75" i="28"/>
  <c r="I75" i="28" s="1"/>
  <c r="H74" i="28"/>
  <c r="I74" i="28" s="1"/>
  <c r="G74" i="28"/>
  <c r="H73" i="28"/>
  <c r="G73" i="28"/>
  <c r="I73" i="28" s="1"/>
  <c r="H72" i="28"/>
  <c r="G72" i="28"/>
  <c r="I72" i="28" s="1"/>
  <c r="H71" i="28"/>
  <c r="G71" i="28"/>
  <c r="H70" i="28"/>
  <c r="G70" i="28"/>
  <c r="I69" i="28"/>
  <c r="H69" i="28"/>
  <c r="G69" i="28"/>
  <c r="H68" i="28"/>
  <c r="G68" i="28"/>
  <c r="H67" i="28"/>
  <c r="G67" i="28"/>
  <c r="I67" i="28" s="1"/>
  <c r="H66" i="28"/>
  <c r="G66" i="28"/>
  <c r="H65" i="28"/>
  <c r="G65" i="28"/>
  <c r="I65" i="28" s="1"/>
  <c r="H64" i="28"/>
  <c r="I64" i="28" s="1"/>
  <c r="G64" i="28"/>
  <c r="H63" i="28"/>
  <c r="G63" i="28"/>
  <c r="I63" i="28" s="1"/>
  <c r="H62" i="28"/>
  <c r="I62" i="28" s="1"/>
  <c r="G62" i="28"/>
  <c r="H61" i="28"/>
  <c r="G61" i="28"/>
  <c r="I61" i="28" s="1"/>
  <c r="H60" i="28"/>
  <c r="G60" i="28"/>
  <c r="H59" i="28"/>
  <c r="G59" i="28"/>
  <c r="I59" i="28" s="1"/>
  <c r="H58" i="28"/>
  <c r="G58" i="28"/>
  <c r="H57" i="28"/>
  <c r="I57" i="28" s="1"/>
  <c r="G57" i="28"/>
  <c r="H56" i="28"/>
  <c r="G56" i="28"/>
  <c r="H55" i="28"/>
  <c r="G55" i="28"/>
  <c r="H54" i="28"/>
  <c r="G54" i="28"/>
  <c r="I53" i="28"/>
  <c r="H53" i="28"/>
  <c r="G53" i="28"/>
  <c r="H52" i="28"/>
  <c r="G52" i="28"/>
  <c r="H51" i="28"/>
  <c r="G51" i="28"/>
  <c r="I51" i="28" s="1"/>
  <c r="H50" i="28"/>
  <c r="G50" i="28"/>
  <c r="H49" i="28"/>
  <c r="G49" i="28"/>
  <c r="I49" i="28" s="1"/>
  <c r="H48" i="28"/>
  <c r="I48" i="28" s="1"/>
  <c r="G48" i="28"/>
  <c r="H47" i="28"/>
  <c r="G47" i="28"/>
  <c r="I47" i="28" s="1"/>
  <c r="H46" i="28"/>
  <c r="I46" i="28" s="1"/>
  <c r="G46" i="28"/>
  <c r="H45" i="28"/>
  <c r="G45" i="28"/>
  <c r="G44" i="28" s="1"/>
  <c r="D44" i="28"/>
  <c r="H43" i="28"/>
  <c r="G43" i="28"/>
  <c r="I43" i="28" s="1"/>
  <c r="I42" i="28"/>
  <c r="H42" i="28"/>
  <c r="G42" i="28"/>
  <c r="H41" i="28"/>
  <c r="G41" i="28"/>
  <c r="H40" i="28"/>
  <c r="G40" i="28"/>
  <c r="I40" i="28" s="1"/>
  <c r="H39" i="28"/>
  <c r="G39" i="28"/>
  <c r="H38" i="28"/>
  <c r="G38" i="28"/>
  <c r="I38" i="28" s="1"/>
  <c r="H37" i="28"/>
  <c r="G37" i="28"/>
  <c r="I36" i="28"/>
  <c r="H36" i="28"/>
  <c r="G36" i="28"/>
  <c r="H35" i="28"/>
  <c r="G35" i="28"/>
  <c r="I35" i="28" s="1"/>
  <c r="I34" i="28"/>
  <c r="H34" i="28"/>
  <c r="G34" i="28"/>
  <c r="H33" i="28"/>
  <c r="G33" i="28"/>
  <c r="H32" i="28"/>
  <c r="G32" i="28"/>
  <c r="G31" i="28" s="1"/>
  <c r="H30" i="28"/>
  <c r="G30" i="28"/>
  <c r="I30" i="28" s="1"/>
  <c r="H29" i="28"/>
  <c r="G29" i="28"/>
  <c r="I29" i="28" s="1"/>
  <c r="H28" i="28"/>
  <c r="I28" i="28" s="1"/>
  <c r="G28" i="28"/>
  <c r="H27" i="28"/>
  <c r="G27" i="28"/>
  <c r="I27" i="28" s="1"/>
  <c r="H25" i="28"/>
  <c r="G25" i="28"/>
  <c r="I25" i="28" s="1"/>
  <c r="H24" i="28"/>
  <c r="G24" i="28"/>
  <c r="I24" i="28" s="1"/>
  <c r="H23" i="28"/>
  <c r="G23" i="28"/>
  <c r="I23" i="28" s="1"/>
  <c r="H22" i="28"/>
  <c r="I22" i="28" s="1"/>
  <c r="G22" i="28"/>
  <c r="H21" i="28"/>
  <c r="G21" i="28"/>
  <c r="I21" i="28" s="1"/>
  <c r="H20" i="28"/>
  <c r="G20" i="28"/>
  <c r="H19" i="28"/>
  <c r="G19" i="28"/>
  <c r="I19" i="28" s="1"/>
  <c r="I18" i="28"/>
  <c r="H18" i="28"/>
  <c r="G18" i="28"/>
  <c r="H17" i="28"/>
  <c r="G17" i="28"/>
  <c r="I17" i="28" s="1"/>
  <c r="H16" i="28"/>
  <c r="G16" i="28"/>
  <c r="H15" i="28"/>
  <c r="G15" i="28"/>
  <c r="I15" i="28" s="1"/>
  <c r="H14" i="28"/>
  <c r="G14" i="28"/>
  <c r="I14" i="28" s="1"/>
  <c r="H13" i="28"/>
  <c r="G13" i="28"/>
  <c r="H12" i="28"/>
  <c r="G12" i="28"/>
  <c r="I12" i="28" s="1"/>
  <c r="H11" i="28"/>
  <c r="G11" i="28"/>
  <c r="H10" i="28"/>
  <c r="G10" i="28"/>
  <c r="I10" i="28" s="1"/>
  <c r="H9" i="28"/>
  <c r="G9" i="28"/>
  <c r="H8" i="28"/>
  <c r="G8" i="28"/>
  <c r="I8" i="28" s="1"/>
  <c r="H7" i="28"/>
  <c r="G7" i="28"/>
  <c r="I7" i="28" s="1"/>
  <c r="H6" i="28"/>
  <c r="H4" i="28" s="1"/>
  <c r="G6" i="28"/>
  <c r="I6" i="28" s="1"/>
  <c r="H5" i="28"/>
  <c r="G5" i="28"/>
  <c r="I5" i="28" s="1"/>
  <c r="I17" i="32" l="1"/>
  <c r="G171" i="28"/>
  <c r="I172" i="28"/>
  <c r="I160" i="28"/>
  <c r="I162" i="28"/>
  <c r="I164" i="28"/>
  <c r="I166" i="28"/>
  <c r="I168" i="28"/>
  <c r="I147" i="28"/>
  <c r="I161" i="28"/>
  <c r="I158" i="28"/>
  <c r="I144" i="28"/>
  <c r="I146" i="28"/>
  <c r="I148" i="28"/>
  <c r="I150" i="28"/>
  <c r="I152" i="28"/>
  <c r="I163" i="28"/>
  <c r="I175" i="28"/>
  <c r="I173" i="28"/>
  <c r="G142" i="28"/>
  <c r="I155" i="28"/>
  <c r="I151" i="28"/>
  <c r="I167" i="28"/>
  <c r="H142" i="28"/>
  <c r="I149" i="28"/>
  <c r="I156" i="28"/>
  <c r="I159" i="28"/>
  <c r="I165" i="28"/>
  <c r="I138" i="28"/>
  <c r="H132" i="28"/>
  <c r="I132" i="28" s="1"/>
  <c r="I130" i="28"/>
  <c r="I111" i="28"/>
  <c r="I115" i="28"/>
  <c r="I119" i="28"/>
  <c r="I123" i="28"/>
  <c r="I127" i="28"/>
  <c r="H100" i="28"/>
  <c r="I100" i="28" s="1"/>
  <c r="I95" i="28"/>
  <c r="I107" i="28"/>
  <c r="G90" i="28"/>
  <c r="I90" i="28" s="1"/>
  <c r="I92" i="28"/>
  <c r="I50" i="28"/>
  <c r="I68" i="28"/>
  <c r="I45" i="28"/>
  <c r="I54" i="28"/>
  <c r="I56" i="28"/>
  <c r="I70" i="28"/>
  <c r="I78" i="28"/>
  <c r="I86" i="28"/>
  <c r="I52" i="28"/>
  <c r="I66" i="28"/>
  <c r="I55" i="28"/>
  <c r="I58" i="28"/>
  <c r="I60" i="28"/>
  <c r="I71" i="28"/>
  <c r="I79" i="28"/>
  <c r="I87" i="28"/>
  <c r="H31" i="28"/>
  <c r="I37" i="28"/>
  <c r="I32" i="28"/>
  <c r="I39" i="28"/>
  <c r="I33" i="28"/>
  <c r="I41" i="28"/>
  <c r="I26" i="28"/>
  <c r="H26" i="28"/>
  <c r="I9" i="28"/>
  <c r="I4" i="28" s="1"/>
  <c r="I16" i="28"/>
  <c r="G4" i="28"/>
  <c r="I11" i="28"/>
  <c r="I13" i="28"/>
  <c r="I20" i="28"/>
  <c r="I276" i="32"/>
  <c r="I363" i="32"/>
  <c r="I32" i="29"/>
  <c r="I583" i="32"/>
  <c r="I15" i="31"/>
  <c r="G15" i="31"/>
  <c r="G104" i="29"/>
  <c r="I104" i="29" s="1"/>
  <c r="I3" i="25"/>
  <c r="I13" i="30"/>
  <c r="I100" i="29"/>
  <c r="F99" i="29" s="1"/>
  <c r="H99" i="29" s="1"/>
  <c r="I107" i="29"/>
  <c r="I119" i="29"/>
  <c r="I111" i="29"/>
  <c r="I117" i="29"/>
  <c r="I33" i="29"/>
  <c r="I140" i="29"/>
  <c r="G20" i="29"/>
  <c r="I20" i="29" s="1"/>
  <c r="G27" i="29"/>
  <c r="I27" i="29" s="1"/>
  <c r="I123" i="29"/>
  <c r="I114" i="29"/>
  <c r="G24" i="29"/>
  <c r="I24" i="29" s="1"/>
  <c r="F28" i="29"/>
  <c r="H28" i="29" s="1"/>
  <c r="H79" i="29"/>
  <c r="G79" i="29"/>
  <c r="I97" i="29"/>
  <c r="I22" i="29"/>
  <c r="I122" i="29"/>
  <c r="G96" i="29"/>
  <c r="I96" i="29" s="1"/>
  <c r="I110" i="29"/>
  <c r="G101" i="29"/>
  <c r="I101" i="29" s="1"/>
  <c r="G15" i="29"/>
  <c r="I15" i="29" s="1"/>
  <c r="G23" i="29"/>
  <c r="I23" i="29" s="1"/>
  <c r="G82" i="29"/>
  <c r="I82" i="29" s="1"/>
  <c r="G78" i="29"/>
  <c r="H78" i="29"/>
  <c r="I90" i="29"/>
  <c r="I76" i="29"/>
  <c r="H18" i="29"/>
  <c r="G18" i="29"/>
  <c r="I93" i="29"/>
  <c r="I120" i="29"/>
  <c r="I108" i="29"/>
  <c r="I124" i="29"/>
  <c r="F135" i="29"/>
  <c r="H135" i="29" s="1"/>
  <c r="F129" i="29"/>
  <c r="H129" i="29" s="1"/>
  <c r="I139" i="29"/>
  <c r="H26" i="29"/>
  <c r="G26" i="29"/>
  <c r="H94" i="29"/>
  <c r="G94" i="29"/>
  <c r="I84" i="29"/>
  <c r="I19" i="29"/>
  <c r="H81" i="29"/>
  <c r="G81" i="29"/>
  <c r="H89" i="29"/>
  <c r="G89" i="29"/>
  <c r="H92" i="29"/>
  <c r="G92" i="29"/>
  <c r="H147" i="29"/>
  <c r="G147" i="29"/>
  <c r="H74" i="29"/>
  <c r="G74" i="29"/>
  <c r="I143" i="29"/>
  <c r="I142" i="29"/>
  <c r="H75" i="29"/>
  <c r="G75" i="29"/>
  <c r="H71" i="29"/>
  <c r="G71" i="29"/>
  <c r="H72" i="29"/>
  <c r="G72" i="29"/>
  <c r="H118" i="29"/>
  <c r="G118" i="29"/>
  <c r="I134" i="29"/>
  <c r="I113" i="29"/>
  <c r="I127" i="29"/>
  <c r="F126" i="29" s="1"/>
  <c r="H126" i="29" s="1"/>
  <c r="H69" i="29"/>
  <c r="G69" i="29"/>
  <c r="H115" i="29"/>
  <c r="G115" i="29"/>
  <c r="I116" i="29"/>
  <c r="I16" i="29"/>
  <c r="I86" i="29"/>
  <c r="F85" i="29" s="1"/>
  <c r="H85" i="29" s="1"/>
  <c r="I85" i="29" s="1"/>
  <c r="I70" i="29"/>
  <c r="H133" i="29"/>
  <c r="G133" i="29"/>
  <c r="H112" i="29"/>
  <c r="G112" i="29"/>
  <c r="H109" i="29"/>
  <c r="G109" i="29"/>
  <c r="I109" i="29" s="1"/>
  <c r="G138" i="29"/>
  <c r="I138" i="29" s="1"/>
  <c r="D144" i="29"/>
  <c r="I103" i="29"/>
  <c r="F102" i="29" s="1"/>
  <c r="H102" i="29" s="1"/>
  <c r="H83" i="29"/>
  <c r="G83" i="29"/>
  <c r="I121" i="29"/>
  <c r="I125" i="29"/>
  <c r="I31" i="28"/>
  <c r="I109" i="28"/>
  <c r="H171" i="28"/>
  <c r="G26" i="28"/>
  <c r="H93" i="28"/>
  <c r="I93" i="28" s="1"/>
  <c r="G134" i="28"/>
  <c r="I134" i="28" s="1"/>
  <c r="I102" i="28"/>
  <c r="I143" i="28"/>
  <c r="H44" i="28"/>
  <c r="I44" i="28" s="1"/>
  <c r="I141" i="28"/>
  <c r="I142" i="28" l="1"/>
  <c r="F31" i="29"/>
  <c r="H31" i="29" s="1"/>
  <c r="I75" i="29"/>
  <c r="I81" i="29"/>
  <c r="I112" i="29"/>
  <c r="F21" i="29"/>
  <c r="H21" i="29" s="1"/>
  <c r="I147" i="29"/>
  <c r="F145" i="29" s="1"/>
  <c r="H145" i="29" s="1"/>
  <c r="I92" i="29"/>
  <c r="I26" i="29"/>
  <c r="F25" i="29" s="1"/>
  <c r="H25" i="29" s="1"/>
  <c r="I79" i="29"/>
  <c r="I118" i="29"/>
  <c r="I115" i="29"/>
  <c r="I18" i="29"/>
  <c r="F17" i="29" s="1"/>
  <c r="H17" i="29" s="1"/>
  <c r="I78" i="29"/>
  <c r="I83" i="29"/>
  <c r="F95" i="29"/>
  <c r="H95" i="29" s="1"/>
  <c r="I72" i="29"/>
  <c r="I133" i="29"/>
  <c r="F132" i="29" s="1"/>
  <c r="H132" i="29" s="1"/>
  <c r="I69" i="29"/>
  <c r="I89" i="29"/>
  <c r="F88" i="29" s="1"/>
  <c r="H88" i="29" s="1"/>
  <c r="I74" i="29"/>
  <c r="I94" i="29"/>
  <c r="F91" i="29" s="1"/>
  <c r="H91" i="29" s="1"/>
  <c r="F14" i="29"/>
  <c r="H14" i="29" s="1"/>
  <c r="H144" i="29"/>
  <c r="G144" i="29"/>
  <c r="I144" i="29" s="1"/>
  <c r="F138" i="29" s="1"/>
  <c r="H138" i="29" s="1"/>
  <c r="I71" i="29"/>
  <c r="G178" i="28"/>
  <c r="I171" i="28"/>
  <c r="H178" i="28"/>
  <c r="I178" i="28" l="1"/>
  <c r="E24" i="1" s="1"/>
  <c r="I11" i="29"/>
  <c r="E19" i="1" s="1"/>
  <c r="F77" i="29"/>
  <c r="H77" i="29" s="1"/>
  <c r="F68" i="29"/>
  <c r="H68" i="29" s="1"/>
  <c r="H93" i="27"/>
  <c r="H92" i="27" s="1"/>
  <c r="G93" i="27"/>
  <c r="I93" i="27" s="1"/>
  <c r="G92" i="27"/>
  <c r="I92" i="27" s="1"/>
  <c r="H91" i="27"/>
  <c r="G91" i="27"/>
  <c r="H90" i="27"/>
  <c r="G90" i="27"/>
  <c r="I90" i="27" s="1"/>
  <c r="H89" i="27"/>
  <c r="G89" i="27"/>
  <c r="H88" i="27"/>
  <c r="G88" i="27"/>
  <c r="I88" i="27" s="1"/>
  <c r="H87" i="27"/>
  <c r="G87" i="27"/>
  <c r="H86" i="27"/>
  <c r="G86" i="27"/>
  <c r="I86" i="27" s="1"/>
  <c r="H85" i="27"/>
  <c r="G85" i="27"/>
  <c r="D84" i="27"/>
  <c r="H83" i="27"/>
  <c r="I83" i="27" s="1"/>
  <c r="G83" i="27"/>
  <c r="G82" i="27"/>
  <c r="H81" i="27"/>
  <c r="H80" i="27" s="1"/>
  <c r="G81" i="27"/>
  <c r="I81" i="27" s="1"/>
  <c r="G80" i="27"/>
  <c r="I80" i="27" s="1"/>
  <c r="H79" i="27"/>
  <c r="G79" i="27"/>
  <c r="H78" i="27"/>
  <c r="G78" i="27"/>
  <c r="I78" i="27" s="1"/>
  <c r="D78" i="27"/>
  <c r="H77" i="27"/>
  <c r="G77" i="27"/>
  <c r="I77" i="27" s="1"/>
  <c r="D76" i="27"/>
  <c r="G76" i="27" s="1"/>
  <c r="H75" i="27"/>
  <c r="G75" i="27"/>
  <c r="I75" i="27" s="1"/>
  <c r="H74" i="27"/>
  <c r="G74" i="27"/>
  <c r="H73" i="27"/>
  <c r="G73" i="27"/>
  <c r="I73" i="27" s="1"/>
  <c r="H72" i="27"/>
  <c r="G72" i="27"/>
  <c r="H70" i="27"/>
  <c r="G70" i="27"/>
  <c r="I70" i="27" s="1"/>
  <c r="H69" i="27"/>
  <c r="G69" i="27"/>
  <c r="I69" i="27" s="1"/>
  <c r="H68" i="27"/>
  <c r="G68" i="27"/>
  <c r="I68" i="27" s="1"/>
  <c r="H67" i="27"/>
  <c r="H66" i="27" s="1"/>
  <c r="G67" i="27"/>
  <c r="I67" i="27" s="1"/>
  <c r="D66" i="27"/>
  <c r="G66" i="27" s="1"/>
  <c r="I66" i="27" s="1"/>
  <c r="H65" i="27"/>
  <c r="H64" i="27" s="1"/>
  <c r="I64" i="27" s="1"/>
  <c r="G65" i="27"/>
  <c r="G64" i="27"/>
  <c r="H63" i="27"/>
  <c r="G63" i="27"/>
  <c r="I63" i="27" s="1"/>
  <c r="H62" i="27"/>
  <c r="G62" i="27"/>
  <c r="G61" i="27"/>
  <c r="H60" i="27"/>
  <c r="I60" i="27" s="1"/>
  <c r="G60" i="27"/>
  <c r="H59" i="27"/>
  <c r="G59" i="27"/>
  <c r="I59" i="27" s="1"/>
  <c r="H58" i="27"/>
  <c r="G58" i="27"/>
  <c r="H57" i="27"/>
  <c r="G57" i="27"/>
  <c r="I57" i="27" s="1"/>
  <c r="H56" i="27"/>
  <c r="H55" i="27" s="1"/>
  <c r="G56" i="27"/>
  <c r="G55" i="27"/>
  <c r="H54" i="27"/>
  <c r="I54" i="27" s="1"/>
  <c r="I53" i="27"/>
  <c r="H53" i="27"/>
  <c r="H52" i="27"/>
  <c r="G52" i="27"/>
  <c r="I52" i="27" s="1"/>
  <c r="I51" i="27"/>
  <c r="H51" i="27"/>
  <c r="G51" i="27"/>
  <c r="G50" i="27"/>
  <c r="H49" i="27"/>
  <c r="G49" i="27"/>
  <c r="H48" i="27"/>
  <c r="G48" i="27"/>
  <c r="H47" i="27"/>
  <c r="G47" i="27"/>
  <c r="H46" i="27"/>
  <c r="G46" i="27"/>
  <c r="H45" i="27"/>
  <c r="G45" i="27"/>
  <c r="H44" i="27"/>
  <c r="G44" i="27"/>
  <c r="H43" i="27"/>
  <c r="G43" i="27"/>
  <c r="I43" i="27" s="1"/>
  <c r="H42" i="27"/>
  <c r="G42" i="27"/>
  <c r="H41" i="27"/>
  <c r="G41" i="27"/>
  <c r="H40" i="27"/>
  <c r="G40" i="27"/>
  <c r="H39" i="27"/>
  <c r="G39" i="27"/>
  <c r="H38" i="27"/>
  <c r="G38" i="27"/>
  <c r="H37" i="27"/>
  <c r="G37" i="27"/>
  <c r="H36" i="27"/>
  <c r="G36" i="27"/>
  <c r="H35" i="27"/>
  <c r="G35" i="27"/>
  <c r="H34" i="27"/>
  <c r="G34" i="27"/>
  <c r="H33" i="27"/>
  <c r="G33" i="27"/>
  <c r="I33" i="27" s="1"/>
  <c r="H32" i="27"/>
  <c r="G32" i="27"/>
  <c r="H31" i="27"/>
  <c r="G31" i="27"/>
  <c r="H30" i="27"/>
  <c r="G30" i="27"/>
  <c r="H29" i="27"/>
  <c r="G29" i="27"/>
  <c r="H28" i="27"/>
  <c r="G28" i="27"/>
  <c r="D27" i="27"/>
  <c r="H26" i="27"/>
  <c r="G26" i="27"/>
  <c r="I26" i="27" s="1"/>
  <c r="H25" i="27"/>
  <c r="I25" i="27" s="1"/>
  <c r="G25" i="27"/>
  <c r="D24" i="27"/>
  <c r="H24" i="27" s="1"/>
  <c r="H23" i="27"/>
  <c r="G23" i="27"/>
  <c r="H22" i="27"/>
  <c r="G22" i="27"/>
  <c r="I22" i="27" s="1"/>
  <c r="H21" i="27"/>
  <c r="G21" i="27"/>
  <c r="H20" i="27"/>
  <c r="G20" i="27"/>
  <c r="H19" i="27"/>
  <c r="G19" i="27"/>
  <c r="H18" i="27"/>
  <c r="G18" i="27"/>
  <c r="I18" i="27" s="1"/>
  <c r="H17" i="27"/>
  <c r="G17" i="27"/>
  <c r="H16" i="27"/>
  <c r="G16" i="27"/>
  <c r="H15" i="27"/>
  <c r="G15" i="27"/>
  <c r="H14" i="27"/>
  <c r="G14" i="27"/>
  <c r="I14" i="27" s="1"/>
  <c r="D13" i="27"/>
  <c r="H12" i="27"/>
  <c r="G12" i="27"/>
  <c r="I12" i="27" s="1"/>
  <c r="H11" i="27"/>
  <c r="I11" i="27" s="1"/>
  <c r="G11" i="27"/>
  <c r="H10" i="27"/>
  <c r="G10" i="27"/>
  <c r="I10" i="27" s="1"/>
  <c r="H9" i="27"/>
  <c r="G9" i="27"/>
  <c r="H8" i="27"/>
  <c r="G8" i="27"/>
  <c r="I8" i="27" s="1"/>
  <c r="H7" i="27"/>
  <c r="I7" i="27" s="1"/>
  <c r="G7" i="27"/>
  <c r="H6" i="27"/>
  <c r="G6" i="27"/>
  <c r="H5" i="27"/>
  <c r="G5" i="27"/>
  <c r="I21" i="27" l="1"/>
  <c r="I20" i="27"/>
  <c r="I15" i="27"/>
  <c r="I17" i="27"/>
  <c r="I19" i="27"/>
  <c r="I23" i="27"/>
  <c r="I62" i="27"/>
  <c r="H61" i="27"/>
  <c r="I61" i="27" s="1"/>
  <c r="H50" i="27"/>
  <c r="I50" i="27" s="1"/>
  <c r="I55" i="27"/>
  <c r="I58" i="27"/>
  <c r="I32" i="27"/>
  <c r="I40" i="27"/>
  <c r="I45" i="27"/>
  <c r="I44" i="27"/>
  <c r="I46" i="27"/>
  <c r="I35" i="27"/>
  <c r="I37" i="27"/>
  <c r="I39" i="27"/>
  <c r="I41" i="27"/>
  <c r="I38" i="27"/>
  <c r="I31" i="27"/>
  <c r="I47" i="27"/>
  <c r="G27" i="27"/>
  <c r="I42" i="27"/>
  <c r="H27" i="27"/>
  <c r="I30" i="27"/>
  <c r="I49" i="27"/>
  <c r="I29" i="27"/>
  <c r="I34" i="27"/>
  <c r="I36" i="27"/>
  <c r="I48" i="27"/>
  <c r="G24" i="27"/>
  <c r="I24" i="27" s="1"/>
  <c r="H13" i="27"/>
  <c r="G4" i="27"/>
  <c r="H4" i="27"/>
  <c r="I9" i="27"/>
  <c r="I6" i="27"/>
  <c r="I65" i="27"/>
  <c r="G71" i="27"/>
  <c r="I74" i="27"/>
  <c r="I79" i="27"/>
  <c r="H84" i="27"/>
  <c r="I85" i="27"/>
  <c r="I87" i="27"/>
  <c r="I89" i="27"/>
  <c r="I91" i="27"/>
  <c r="I72" i="27"/>
  <c r="H76" i="27"/>
  <c r="I76" i="27" s="1"/>
  <c r="I16" i="27"/>
  <c r="I5" i="27"/>
  <c r="I28" i="27"/>
  <c r="G84" i="27"/>
  <c r="I84" i="27" s="1"/>
  <c r="I56" i="27"/>
  <c r="H82" i="27"/>
  <c r="I82" i="27" s="1"/>
  <c r="E15" i="1"/>
  <c r="I27" i="27" l="1"/>
  <c r="I13" i="27"/>
  <c r="G13" i="27"/>
  <c r="G96" i="27" s="1"/>
  <c r="I4" i="27"/>
  <c r="H71" i="27"/>
  <c r="D34" i="26"/>
  <c r="D29" i="26"/>
  <c r="D22" i="26"/>
  <c r="D12" i="26"/>
  <c r="D34" i="25"/>
  <c r="D29" i="25"/>
  <c r="D22" i="25"/>
  <c r="D12" i="25"/>
  <c r="I71" i="27" l="1"/>
  <c r="I96" i="27" s="1"/>
  <c r="E25" i="1" s="1"/>
  <c r="H96" i="27"/>
  <c r="D16" i="25"/>
  <c r="D6" i="25"/>
  <c r="D6" i="26"/>
  <c r="I44" i="26" l="1"/>
  <c r="D44" i="26"/>
  <c r="D45" i="26" s="1"/>
  <c r="H45" i="26" s="1"/>
  <c r="I45" i="26" s="1"/>
  <c r="I42" i="26"/>
  <c r="D42" i="26"/>
  <c r="D43" i="26" s="1"/>
  <c r="H43" i="26" s="1"/>
  <c r="I43" i="26" s="1"/>
  <c r="I40" i="26"/>
  <c r="D40" i="26"/>
  <c r="D41" i="26" s="1"/>
  <c r="H41" i="26" s="1"/>
  <c r="I41" i="26" s="1"/>
  <c r="G37" i="26"/>
  <c r="D37" i="26"/>
  <c r="H37" i="26" s="1"/>
  <c r="D36" i="26"/>
  <c r="H36" i="26" s="1"/>
  <c r="G35" i="26"/>
  <c r="D35" i="26"/>
  <c r="H35" i="26" s="1"/>
  <c r="G32" i="26"/>
  <c r="D30" i="26"/>
  <c r="G34" i="26" s="1"/>
  <c r="D24" i="26"/>
  <c r="G29" i="26" s="1"/>
  <c r="D23" i="26"/>
  <c r="H23" i="26" s="1"/>
  <c r="D20" i="26"/>
  <c r="H20" i="26" s="1"/>
  <c r="D19" i="26"/>
  <c r="H19" i="26" s="1"/>
  <c r="D14" i="26"/>
  <c r="G17" i="26" s="1"/>
  <c r="D13" i="26"/>
  <c r="H13" i="26" s="1"/>
  <c r="D4" i="26"/>
  <c r="D42" i="25"/>
  <c r="H42" i="25" s="1"/>
  <c r="D41" i="25"/>
  <c r="H41" i="25" s="1"/>
  <c r="D40" i="25"/>
  <c r="H40" i="25" s="1"/>
  <c r="D37" i="25"/>
  <c r="G37" i="25" s="1"/>
  <c r="D36" i="25"/>
  <c r="H36" i="25" s="1"/>
  <c r="D35" i="25"/>
  <c r="G35" i="25" s="1"/>
  <c r="D30" i="25"/>
  <c r="G34" i="25" s="1"/>
  <c r="G29" i="25"/>
  <c r="G26" i="25"/>
  <c r="D24" i="25"/>
  <c r="G28" i="25" s="1"/>
  <c r="D23" i="25"/>
  <c r="H23" i="25" s="1"/>
  <c r="H22" i="25"/>
  <c r="D21" i="25"/>
  <c r="H21" i="25" s="1"/>
  <c r="D20" i="25"/>
  <c r="H20" i="25" s="1"/>
  <c r="D19" i="25"/>
  <c r="H19" i="25" s="1"/>
  <c r="G18" i="25"/>
  <c r="D18" i="25"/>
  <c r="H18" i="25" s="1"/>
  <c r="H16" i="25"/>
  <c r="G15" i="25"/>
  <c r="D15" i="25"/>
  <c r="H15" i="25" s="1"/>
  <c r="D14" i="25"/>
  <c r="G23" i="25" s="1"/>
  <c r="D13" i="25"/>
  <c r="H13" i="25" s="1"/>
  <c r="G12" i="25"/>
  <c r="G9" i="25"/>
  <c r="D9" i="25"/>
  <c r="H9" i="25" s="1"/>
  <c r="G6" i="25"/>
  <c r="H6" i="25"/>
  <c r="D4" i="25"/>
  <c r="G11" i="25" s="1"/>
  <c r="I6" i="25" l="1"/>
  <c r="I37" i="26"/>
  <c r="D21" i="26"/>
  <c r="H21" i="26" s="1"/>
  <c r="G15" i="26"/>
  <c r="G21" i="26"/>
  <c r="I21" i="26" s="1"/>
  <c r="I23" i="25"/>
  <c r="G21" i="25"/>
  <c r="H37" i="25"/>
  <c r="I37" i="25" s="1"/>
  <c r="I18" i="25"/>
  <c r="G32" i="25"/>
  <c r="D38" i="25"/>
  <c r="D39" i="25" s="1"/>
  <c r="H39" i="25" s="1"/>
  <c r="H38" i="25" s="1"/>
  <c r="D16" i="26"/>
  <c r="H16" i="26" s="1"/>
  <c r="G40" i="25"/>
  <c r="I40" i="25" s="1"/>
  <c r="D32" i="25"/>
  <c r="H32" i="25" s="1"/>
  <c r="G23" i="26"/>
  <c r="I23" i="26" s="1"/>
  <c r="D17" i="26"/>
  <c r="H17" i="26" s="1"/>
  <c r="D17" i="25"/>
  <c r="H17" i="25" s="1"/>
  <c r="H14" i="25" s="1"/>
  <c r="F14" i="25" s="1"/>
  <c r="D18" i="26"/>
  <c r="H18" i="26" s="1"/>
  <c r="G12" i="26"/>
  <c r="D7" i="26"/>
  <c r="G20" i="26"/>
  <c r="I20" i="26" s="1"/>
  <c r="D15" i="26"/>
  <c r="H15" i="26" s="1"/>
  <c r="G18" i="26"/>
  <c r="I35" i="26"/>
  <c r="I17" i="26"/>
  <c r="D32" i="26"/>
  <c r="H32" i="26" s="1"/>
  <c r="I32" i="26" s="1"/>
  <c r="D38" i="26"/>
  <c r="D27" i="26"/>
  <c r="H27" i="26" s="1"/>
  <c r="G7" i="26"/>
  <c r="G10" i="26"/>
  <c r="G13" i="26"/>
  <c r="I13" i="26" s="1"/>
  <c r="I15" i="26"/>
  <c r="G27" i="26"/>
  <c r="D10" i="26"/>
  <c r="H10" i="26" s="1"/>
  <c r="H22" i="26"/>
  <c r="D33" i="26"/>
  <c r="H33" i="26" s="1"/>
  <c r="G16" i="26"/>
  <c r="G19" i="26"/>
  <c r="I19" i="26" s="1"/>
  <c r="G22" i="26"/>
  <c r="G33" i="26"/>
  <c r="G36" i="26"/>
  <c r="I36" i="26" s="1"/>
  <c r="D8" i="26"/>
  <c r="H8" i="26" s="1"/>
  <c r="D25" i="26"/>
  <c r="H25" i="26" s="1"/>
  <c r="D28" i="26"/>
  <c r="H28" i="26" s="1"/>
  <c r="H7" i="26"/>
  <c r="D5" i="26"/>
  <c r="H5" i="26" s="1"/>
  <c r="D11" i="26"/>
  <c r="H11" i="26" s="1"/>
  <c r="G5" i="26"/>
  <c r="G8" i="26"/>
  <c r="G11" i="26"/>
  <c r="G25" i="26"/>
  <c r="G28" i="26"/>
  <c r="D31" i="26"/>
  <c r="H31" i="26" s="1"/>
  <c r="H34" i="26"/>
  <c r="I34" i="26" s="1"/>
  <c r="G31" i="26"/>
  <c r="H6" i="26"/>
  <c r="H12" i="26"/>
  <c r="D26" i="26"/>
  <c r="H26" i="26" s="1"/>
  <c r="H29" i="26"/>
  <c r="I29" i="26" s="1"/>
  <c r="D9" i="26"/>
  <c r="H9" i="26" s="1"/>
  <c r="G6" i="26"/>
  <c r="G9" i="26"/>
  <c r="G26" i="26"/>
  <c r="I9" i="25"/>
  <c r="I32" i="25"/>
  <c r="I21" i="25"/>
  <c r="H12" i="25"/>
  <c r="I12" i="25" s="1"/>
  <c r="D26" i="25"/>
  <c r="H26" i="25" s="1"/>
  <c r="I26" i="25" s="1"/>
  <c r="H29" i="25"/>
  <c r="I29" i="25" s="1"/>
  <c r="D27" i="25"/>
  <c r="H27" i="25" s="1"/>
  <c r="H35" i="25"/>
  <c r="I35" i="25" s="1"/>
  <c r="G38" i="25"/>
  <c r="D10" i="25"/>
  <c r="H10" i="25" s="1"/>
  <c r="G7" i="25"/>
  <c r="G10" i="25"/>
  <c r="G13" i="25"/>
  <c r="I13" i="25" s="1"/>
  <c r="I15" i="25"/>
  <c r="G27" i="25"/>
  <c r="G41" i="25"/>
  <c r="I41" i="25" s="1"/>
  <c r="D7" i="25"/>
  <c r="H7" i="25" s="1"/>
  <c r="D33" i="25"/>
  <c r="H33" i="25" s="1"/>
  <c r="G16" i="25"/>
  <c r="I16" i="25" s="1"/>
  <c r="G19" i="25"/>
  <c r="I19" i="25" s="1"/>
  <c r="G22" i="25"/>
  <c r="I22" i="25" s="1"/>
  <c r="G33" i="25"/>
  <c r="G36" i="25"/>
  <c r="I36" i="25" s="1"/>
  <c r="D8" i="25"/>
  <c r="H8" i="25" s="1"/>
  <c r="D11" i="25"/>
  <c r="H11" i="25" s="1"/>
  <c r="I11" i="25" s="1"/>
  <c r="D25" i="25"/>
  <c r="H25" i="25" s="1"/>
  <c r="D5" i="25"/>
  <c r="H5" i="25" s="1"/>
  <c r="D28" i="25"/>
  <c r="H28" i="25" s="1"/>
  <c r="I28" i="25" s="1"/>
  <c r="G5" i="25"/>
  <c r="G8" i="25"/>
  <c r="G25" i="25"/>
  <c r="I42" i="25"/>
  <c r="D31" i="25"/>
  <c r="H31" i="25" s="1"/>
  <c r="H30" i="25" s="1"/>
  <c r="F30" i="25" s="1"/>
  <c r="H34" i="25"/>
  <c r="I34" i="25" s="1"/>
  <c r="G17" i="25"/>
  <c r="G20" i="25"/>
  <c r="I20" i="25" s="1"/>
  <c r="G31" i="25"/>
  <c r="D52" i="23"/>
  <c r="H95" i="23"/>
  <c r="D77" i="7"/>
  <c r="H77" i="7" s="1"/>
  <c r="H86" i="7"/>
  <c r="G86" i="7"/>
  <c r="I86" i="7" s="1"/>
  <c r="H85" i="7"/>
  <c r="G85" i="7"/>
  <c r="D83" i="7"/>
  <c r="G83" i="7" s="1"/>
  <c r="D13" i="4"/>
  <c r="G128" i="20"/>
  <c r="D131" i="20"/>
  <c r="H128" i="20" l="1"/>
  <c r="I128" i="20" s="1"/>
  <c r="I12" i="26"/>
  <c r="I7" i="25"/>
  <c r="H14" i="26"/>
  <c r="F14" i="26" s="1"/>
  <c r="G39" i="25"/>
  <c r="I39" i="25" s="1"/>
  <c r="I18" i="26"/>
  <c r="I17" i="25"/>
  <c r="I33" i="25"/>
  <c r="H83" i="7"/>
  <c r="H30" i="26"/>
  <c r="F30" i="26" s="1"/>
  <c r="I8" i="25"/>
  <c r="I38" i="25"/>
  <c r="I83" i="7"/>
  <c r="I85" i="7"/>
  <c r="I6" i="26"/>
  <c r="I8" i="26"/>
  <c r="I16" i="26"/>
  <c r="I11" i="26"/>
  <c r="I7" i="26"/>
  <c r="I5" i="26"/>
  <c r="G4" i="26"/>
  <c r="D39" i="26"/>
  <c r="H39" i="26" s="1"/>
  <c r="G38" i="26"/>
  <c r="H4" i="26"/>
  <c r="F4" i="26" s="1"/>
  <c r="G14" i="26"/>
  <c r="H24" i="26"/>
  <c r="F24" i="26" s="1"/>
  <c r="I28" i="26"/>
  <c r="I31" i="26"/>
  <c r="G30" i="26"/>
  <c r="I27" i="26"/>
  <c r="I26" i="26"/>
  <c r="I25" i="26"/>
  <c r="G24" i="26"/>
  <c r="I33" i="26"/>
  <c r="I9" i="26"/>
  <c r="I22" i="26"/>
  <c r="I10" i="26"/>
  <c r="I10" i="25"/>
  <c r="G14" i="25"/>
  <c r="I31" i="25"/>
  <c r="G30" i="25"/>
  <c r="H24" i="25"/>
  <c r="F24" i="25" s="1"/>
  <c r="H4" i="25"/>
  <c r="F4" i="25" s="1"/>
  <c r="F38" i="25"/>
  <c r="I27" i="25"/>
  <c r="I5" i="25"/>
  <c r="G4" i="25"/>
  <c r="I25" i="25"/>
  <c r="G24" i="25"/>
  <c r="G77" i="7"/>
  <c r="I77" i="7" s="1"/>
  <c r="D84" i="7"/>
  <c r="H131" i="20"/>
  <c r="G131" i="20"/>
  <c r="D129" i="20"/>
  <c r="D130" i="20"/>
  <c r="I131" i="20" l="1"/>
  <c r="I3" i="24"/>
  <c r="I30" i="26"/>
  <c r="E30" i="26"/>
  <c r="I39" i="26"/>
  <c r="H38" i="26"/>
  <c r="I38" i="26" s="1"/>
  <c r="E24" i="26"/>
  <c r="I24" i="26"/>
  <c r="I14" i="26"/>
  <c r="E14" i="26"/>
  <c r="E4" i="26"/>
  <c r="I4" i="26"/>
  <c r="I4" i="25"/>
  <c r="E4" i="25"/>
  <c r="I30" i="25"/>
  <c r="E30" i="25"/>
  <c r="I14" i="25"/>
  <c r="E14" i="25"/>
  <c r="I24" i="25"/>
  <c r="E24" i="25"/>
  <c r="G84" i="7"/>
  <c r="H84" i="7"/>
  <c r="H130" i="20"/>
  <c r="G130" i="20"/>
  <c r="H129" i="20"/>
  <c r="G129" i="20"/>
  <c r="D140" i="23"/>
  <c r="H140" i="23" s="1"/>
  <c r="D139" i="23"/>
  <c r="H139" i="23" s="1"/>
  <c r="G138" i="23"/>
  <c r="D138" i="23"/>
  <c r="H138" i="23" s="1"/>
  <c r="H137" i="23"/>
  <c r="G137" i="23"/>
  <c r="I137" i="23" s="1"/>
  <c r="D136" i="23"/>
  <c r="H136" i="23" s="1"/>
  <c r="D135" i="23"/>
  <c r="G135" i="23" s="1"/>
  <c r="D134" i="23"/>
  <c r="H134" i="23" s="1"/>
  <c r="D133" i="23"/>
  <c r="H133" i="23" s="1"/>
  <c r="H132" i="23"/>
  <c r="G132" i="23"/>
  <c r="D131" i="23"/>
  <c r="H131" i="23" s="1"/>
  <c r="H127" i="23"/>
  <c r="D127" i="23"/>
  <c r="D126" i="23"/>
  <c r="H126" i="23" s="1"/>
  <c r="D125" i="23"/>
  <c r="H125" i="23" s="1"/>
  <c r="H124" i="23" s="1"/>
  <c r="H123" i="23"/>
  <c r="G123" i="23"/>
  <c r="H122" i="23"/>
  <c r="G122" i="23"/>
  <c r="H121" i="23"/>
  <c r="G121" i="23"/>
  <c r="H120" i="23"/>
  <c r="G120" i="23"/>
  <c r="D119" i="23"/>
  <c r="H119" i="23" s="1"/>
  <c r="D118" i="23"/>
  <c r="H118" i="23" s="1"/>
  <c r="H117" i="23"/>
  <c r="G117" i="23"/>
  <c r="H116" i="23"/>
  <c r="G116" i="23"/>
  <c r="H115" i="23"/>
  <c r="G115" i="23"/>
  <c r="I115" i="23" s="1"/>
  <c r="H113" i="23"/>
  <c r="G113" i="23"/>
  <c r="I113" i="23" s="1"/>
  <c r="H112" i="23"/>
  <c r="G112" i="23"/>
  <c r="D111" i="23"/>
  <c r="H111" i="23" s="1"/>
  <c r="D110" i="23"/>
  <c r="H110" i="23" s="1"/>
  <c r="D109" i="23"/>
  <c r="H109" i="23" s="1"/>
  <c r="D108" i="23"/>
  <c r="H108" i="23" s="1"/>
  <c r="D107" i="23"/>
  <c r="H107" i="23" s="1"/>
  <c r="D106" i="23"/>
  <c r="H106" i="23" s="1"/>
  <c r="D105" i="23"/>
  <c r="H105" i="23" s="1"/>
  <c r="D104" i="23"/>
  <c r="H104" i="23" s="1"/>
  <c r="H102" i="23"/>
  <c r="I102" i="23" s="1"/>
  <c r="G102" i="23"/>
  <c r="H101" i="23"/>
  <c r="G101" i="23"/>
  <c r="H100" i="23"/>
  <c r="G100" i="23"/>
  <c r="H99" i="23"/>
  <c r="G99" i="23"/>
  <c r="I99" i="23" s="1"/>
  <c r="D98" i="23"/>
  <c r="H98" i="23" s="1"/>
  <c r="D97" i="23"/>
  <c r="G97" i="23" s="1"/>
  <c r="H96" i="23"/>
  <c r="G96" i="23"/>
  <c r="I96" i="23" s="1"/>
  <c r="G95" i="23"/>
  <c r="H94" i="23"/>
  <c r="G94" i="23"/>
  <c r="I94" i="23" s="1"/>
  <c r="H93" i="23"/>
  <c r="G93" i="23"/>
  <c r="D92" i="23"/>
  <c r="H92" i="23" s="1"/>
  <c r="D91" i="23"/>
  <c r="H91" i="23" s="1"/>
  <c r="D90" i="23"/>
  <c r="G90" i="23" s="1"/>
  <c r="H88" i="23"/>
  <c r="G88" i="23"/>
  <c r="H87" i="23"/>
  <c r="G87" i="23"/>
  <c r="I87" i="23" s="1"/>
  <c r="H86" i="23"/>
  <c r="G86" i="23"/>
  <c r="H85" i="23"/>
  <c r="G85" i="23"/>
  <c r="D84" i="23"/>
  <c r="G84" i="23" s="1"/>
  <c r="D83" i="23"/>
  <c r="H83" i="23" s="1"/>
  <c r="H82" i="23"/>
  <c r="G82" i="23"/>
  <c r="H81" i="23"/>
  <c r="G81" i="23"/>
  <c r="H80" i="23"/>
  <c r="G80" i="23"/>
  <c r="H79" i="23"/>
  <c r="G79" i="23"/>
  <c r="D78" i="23"/>
  <c r="H78" i="23" s="1"/>
  <c r="D77" i="23"/>
  <c r="G77" i="23" s="1"/>
  <c r="D76" i="23"/>
  <c r="G76" i="23" s="1"/>
  <c r="D75" i="23"/>
  <c r="H75" i="23" s="1"/>
  <c r="H73" i="23"/>
  <c r="G73" i="23"/>
  <c r="H72" i="23"/>
  <c r="G72" i="23"/>
  <c r="H71" i="23"/>
  <c r="G71" i="23"/>
  <c r="H70" i="23"/>
  <c r="G70" i="23"/>
  <c r="D69" i="23"/>
  <c r="G69" i="23" s="1"/>
  <c r="D68" i="23"/>
  <c r="H68" i="23" s="1"/>
  <c r="H67" i="23"/>
  <c r="G67" i="23"/>
  <c r="H66" i="23"/>
  <c r="G66" i="23"/>
  <c r="H65" i="23"/>
  <c r="G65" i="23"/>
  <c r="H64" i="23"/>
  <c r="G64" i="23"/>
  <c r="I64" i="23" s="1"/>
  <c r="H63" i="23"/>
  <c r="G63" i="23"/>
  <c r="H62" i="23"/>
  <c r="G62" i="23"/>
  <c r="D61" i="23"/>
  <c r="G61" i="23" s="1"/>
  <c r="D60" i="23"/>
  <c r="H60" i="23" s="1"/>
  <c r="H58" i="23"/>
  <c r="G58" i="23"/>
  <c r="H57" i="23"/>
  <c r="G57" i="23"/>
  <c r="H56" i="23"/>
  <c r="G56" i="23"/>
  <c r="I55" i="23"/>
  <c r="H55" i="23"/>
  <c r="G55" i="23"/>
  <c r="D54" i="23"/>
  <c r="H54" i="23" s="1"/>
  <c r="H53" i="23"/>
  <c r="G53" i="23"/>
  <c r="G52" i="23"/>
  <c r="H52" i="23"/>
  <c r="H51" i="23"/>
  <c r="G51" i="23"/>
  <c r="H50" i="23"/>
  <c r="G50" i="23"/>
  <c r="H49" i="23"/>
  <c r="G49" i="23"/>
  <c r="I49" i="23" s="1"/>
  <c r="D48" i="23"/>
  <c r="G48" i="23" s="1"/>
  <c r="H47" i="23"/>
  <c r="G47" i="23"/>
  <c r="D47" i="23"/>
  <c r="D46" i="23"/>
  <c r="H46" i="23" s="1"/>
  <c r="H45" i="23"/>
  <c r="G45" i="23"/>
  <c r="H44" i="23"/>
  <c r="G44" i="23"/>
  <c r="D44" i="23"/>
  <c r="D43" i="23"/>
  <c r="H43" i="23" s="1"/>
  <c r="H42" i="23"/>
  <c r="G42" i="23"/>
  <c r="D42" i="23"/>
  <c r="G41" i="23"/>
  <c r="D41" i="23"/>
  <c r="H41" i="23" s="1"/>
  <c r="H40" i="23"/>
  <c r="G40" i="23"/>
  <c r="I40" i="23" s="1"/>
  <c r="D40" i="23"/>
  <c r="G39" i="23"/>
  <c r="D39" i="23"/>
  <c r="H39" i="23" s="1"/>
  <c r="D35" i="23"/>
  <c r="H35" i="23" s="1"/>
  <c r="D34" i="23"/>
  <c r="H34" i="23" s="1"/>
  <c r="D33" i="23"/>
  <c r="H33" i="23" s="1"/>
  <c r="D32" i="23"/>
  <c r="H32" i="23" s="1"/>
  <c r="D31" i="23"/>
  <c r="H31" i="23" s="1"/>
  <c r="H30" i="23"/>
  <c r="G30" i="23"/>
  <c r="I30" i="23" s="1"/>
  <c r="D29" i="23"/>
  <c r="H29" i="23" s="1"/>
  <c r="D28" i="23"/>
  <c r="G28" i="23" s="1"/>
  <c r="H27" i="23"/>
  <c r="G27" i="23"/>
  <c r="I27" i="23" s="1"/>
  <c r="D26" i="23"/>
  <c r="G26" i="23" s="1"/>
  <c r="D25" i="23"/>
  <c r="H25" i="23" s="1"/>
  <c r="D24" i="23"/>
  <c r="H24" i="23" s="1"/>
  <c r="D23" i="23"/>
  <c r="G23" i="23" s="1"/>
  <c r="D22" i="23"/>
  <c r="H22" i="23" s="1"/>
  <c r="H21" i="23"/>
  <c r="G21" i="23"/>
  <c r="D21" i="23"/>
  <c r="D20" i="23"/>
  <c r="G20" i="23" s="1"/>
  <c r="H19" i="23"/>
  <c r="G19" i="23"/>
  <c r="D18" i="23"/>
  <c r="H17" i="23"/>
  <c r="G17" i="23"/>
  <c r="D13" i="23"/>
  <c r="H13" i="23" s="1"/>
  <c r="D12" i="23"/>
  <c r="H12" i="23" s="1"/>
  <c r="D11" i="23"/>
  <c r="H11" i="23" s="1"/>
  <c r="D10" i="23"/>
  <c r="H10" i="23" s="1"/>
  <c r="H9" i="23"/>
  <c r="G9" i="23"/>
  <c r="I9" i="23" s="1"/>
  <c r="D8" i="23"/>
  <c r="H7" i="23"/>
  <c r="G7" i="23"/>
  <c r="I7" i="23" s="1"/>
  <c r="D6" i="23"/>
  <c r="H6" i="23" s="1"/>
  <c r="H5" i="23"/>
  <c r="G5" i="23"/>
  <c r="I130" i="20" l="1"/>
  <c r="I21" i="23"/>
  <c r="I44" i="23"/>
  <c r="I132" i="23"/>
  <c r="D14" i="23"/>
  <c r="H14" i="23" s="1"/>
  <c r="G6" i="23"/>
  <c r="G24" i="23"/>
  <c r="I24" i="23" s="1"/>
  <c r="I116" i="23"/>
  <c r="I123" i="23"/>
  <c r="I129" i="20"/>
  <c r="E9" i="1"/>
  <c r="G9" i="1" s="1"/>
  <c r="I42" i="23"/>
  <c r="G107" i="23"/>
  <c r="G104" i="23"/>
  <c r="I5" i="23"/>
  <c r="I19" i="23"/>
  <c r="G43" i="23"/>
  <c r="I43" i="23" s="1"/>
  <c r="H48" i="23"/>
  <c r="I48" i="23" s="1"/>
  <c r="G54" i="23"/>
  <c r="I62" i="23"/>
  <c r="D129" i="23"/>
  <c r="G127" i="23"/>
  <c r="I127" i="23" s="1"/>
  <c r="I39" i="23"/>
  <c r="I112" i="23"/>
  <c r="I3" i="26"/>
  <c r="K38" i="26"/>
  <c r="F38" i="26"/>
  <c r="H103" i="23"/>
  <c r="I120" i="23"/>
  <c r="I82" i="23"/>
  <c r="H38" i="23"/>
  <c r="I45" i="23"/>
  <c r="I53" i="23"/>
  <c r="I57" i="23"/>
  <c r="I67" i="23"/>
  <c r="I72" i="23"/>
  <c r="I79" i="23"/>
  <c r="I95" i="23"/>
  <c r="G68" i="23"/>
  <c r="I65" i="23"/>
  <c r="I50" i="23"/>
  <c r="I54" i="23"/>
  <c r="I84" i="7"/>
  <c r="I25" i="23"/>
  <c r="G12" i="23"/>
  <c r="I12" i="23" s="1"/>
  <c r="H69" i="23"/>
  <c r="I69" i="23" s="1"/>
  <c r="H76" i="23"/>
  <c r="I76" i="23" s="1"/>
  <c r="G110" i="23"/>
  <c r="I110" i="23" s="1"/>
  <c r="I117" i="23"/>
  <c r="I122" i="23"/>
  <c r="G25" i="23"/>
  <c r="G31" i="23"/>
  <c r="I31" i="23" s="1"/>
  <c r="I70" i="23"/>
  <c r="H77" i="23"/>
  <c r="I77" i="23" s="1"/>
  <c r="I88" i="23"/>
  <c r="I58" i="23"/>
  <c r="I17" i="23"/>
  <c r="I66" i="23"/>
  <c r="I71" i="23"/>
  <c r="G83" i="23"/>
  <c r="I83" i="23" s="1"/>
  <c r="G118" i="23"/>
  <c r="I118" i="23" s="1"/>
  <c r="I41" i="23"/>
  <c r="D37" i="23"/>
  <c r="H37" i="23" s="1"/>
  <c r="G22" i="23"/>
  <c r="I22" i="23" s="1"/>
  <c r="H26" i="23"/>
  <c r="I26" i="23" s="1"/>
  <c r="D15" i="23"/>
  <c r="G18" i="23"/>
  <c r="G34" i="23"/>
  <c r="I34" i="23" s="1"/>
  <c r="G46" i="23"/>
  <c r="I46" i="23" s="1"/>
  <c r="H84" i="23"/>
  <c r="I84" i="23" s="1"/>
  <c r="G119" i="23"/>
  <c r="I119" i="23" s="1"/>
  <c r="G126" i="23"/>
  <c r="I126" i="23" s="1"/>
  <c r="H18" i="23"/>
  <c r="H16" i="23" s="1"/>
  <c r="I23" i="23"/>
  <c r="I51" i="23"/>
  <c r="I63" i="23"/>
  <c r="I73" i="23"/>
  <c r="I80" i="23"/>
  <c r="I85" i="23"/>
  <c r="H23" i="23"/>
  <c r="D36" i="23"/>
  <c r="H36" i="23" s="1"/>
  <c r="I68" i="23"/>
  <c r="I93" i="23"/>
  <c r="I100" i="23"/>
  <c r="I138" i="23"/>
  <c r="I56" i="23"/>
  <c r="I81" i="23"/>
  <c r="I86" i="23"/>
  <c r="I52" i="23"/>
  <c r="I121" i="23"/>
  <c r="H20" i="23"/>
  <c r="I20" i="23" s="1"/>
  <c r="I47" i="23"/>
  <c r="I101" i="23"/>
  <c r="H15" i="23"/>
  <c r="G15" i="23"/>
  <c r="I107" i="23"/>
  <c r="H129" i="23"/>
  <c r="G129" i="23"/>
  <c r="H28" i="23"/>
  <c r="I28" i="23" s="1"/>
  <c r="H61" i="23"/>
  <c r="H90" i="23"/>
  <c r="I90" i="23" s="1"/>
  <c r="H97" i="23"/>
  <c r="I97" i="23" s="1"/>
  <c r="I104" i="23"/>
  <c r="H135" i="23"/>
  <c r="I135" i="23" s="1"/>
  <c r="D16" i="23"/>
  <c r="I6" i="23"/>
  <c r="G10" i="23"/>
  <c r="I10" i="23" s="1"/>
  <c r="G13" i="23"/>
  <c r="I13" i="23" s="1"/>
  <c r="G32" i="23"/>
  <c r="I32" i="23" s="1"/>
  <c r="G35" i="23"/>
  <c r="I35" i="23" s="1"/>
  <c r="G105" i="23"/>
  <c r="I105" i="23" s="1"/>
  <c r="G108" i="23"/>
  <c r="I108" i="23" s="1"/>
  <c r="G111" i="23"/>
  <c r="I111" i="23" s="1"/>
  <c r="G139" i="23"/>
  <c r="I139" i="23" s="1"/>
  <c r="G29" i="23"/>
  <c r="I29" i="23" s="1"/>
  <c r="G91" i="23"/>
  <c r="I91" i="23" s="1"/>
  <c r="G98" i="23"/>
  <c r="I98" i="23" s="1"/>
  <c r="D130" i="23"/>
  <c r="G133" i="23"/>
  <c r="I133" i="23" s="1"/>
  <c r="G136" i="23"/>
  <c r="I136" i="23" s="1"/>
  <c r="D4" i="23"/>
  <c r="G11" i="23"/>
  <c r="I11" i="23" s="1"/>
  <c r="G14" i="23"/>
  <c r="I14" i="23" s="1"/>
  <c r="G33" i="23"/>
  <c r="I33" i="23" s="1"/>
  <c r="G106" i="23"/>
  <c r="I106" i="23" s="1"/>
  <c r="G109" i="23"/>
  <c r="I109" i="23" s="1"/>
  <c r="G140" i="23"/>
  <c r="I140" i="23" s="1"/>
  <c r="G8" i="23"/>
  <c r="G60" i="23"/>
  <c r="G59" i="23" s="1"/>
  <c r="G92" i="23"/>
  <c r="I92" i="23" s="1"/>
  <c r="D128" i="23"/>
  <c r="G134" i="23"/>
  <c r="I134" i="23" s="1"/>
  <c r="H8" i="23"/>
  <c r="H4" i="23" s="1"/>
  <c r="G75" i="23"/>
  <c r="G74" i="23" s="1"/>
  <c r="G78" i="23"/>
  <c r="I78" i="23" s="1"/>
  <c r="G125" i="23"/>
  <c r="G131" i="23"/>
  <c r="I131" i="23" s="1"/>
  <c r="I222" i="22"/>
  <c r="H222" i="22"/>
  <c r="G222" i="22"/>
  <c r="H221" i="22"/>
  <c r="G221" i="22"/>
  <c r="H220" i="22"/>
  <c r="H219" i="22" s="1"/>
  <c r="G220" i="22"/>
  <c r="G219" i="22"/>
  <c r="D219" i="22"/>
  <c r="H218" i="22"/>
  <c r="I218" i="22" s="1"/>
  <c r="H217" i="22"/>
  <c r="G217" i="22"/>
  <c r="H216" i="22"/>
  <c r="I216" i="22" s="1"/>
  <c r="G216" i="22"/>
  <c r="H215" i="22"/>
  <c r="G215" i="22"/>
  <c r="I215" i="22" s="1"/>
  <c r="H214" i="22"/>
  <c r="I214" i="22" s="1"/>
  <c r="G214" i="22"/>
  <c r="D213" i="22"/>
  <c r="D212" i="22"/>
  <c r="G212" i="22" s="1"/>
  <c r="D211" i="22"/>
  <c r="G211" i="22" s="1"/>
  <c r="H210" i="22"/>
  <c r="I210" i="22" s="1"/>
  <c r="G210" i="22"/>
  <c r="H209" i="22"/>
  <c r="G209" i="22"/>
  <c r="D208" i="22"/>
  <c r="G208" i="22" s="1"/>
  <c r="H207" i="22"/>
  <c r="G207" i="22"/>
  <c r="H206" i="22"/>
  <c r="G206" i="22"/>
  <c r="H205" i="22"/>
  <c r="G205" i="22"/>
  <c r="I205" i="22" s="1"/>
  <c r="I204" i="22"/>
  <c r="H204" i="22"/>
  <c r="G204" i="22"/>
  <c r="H203" i="22"/>
  <c r="G203" i="22"/>
  <c r="I203" i="22" s="1"/>
  <c r="I202" i="22"/>
  <c r="H202" i="22"/>
  <c r="H201" i="22"/>
  <c r="I201" i="22" s="1"/>
  <c r="G201" i="22"/>
  <c r="H200" i="22"/>
  <c r="G200" i="22"/>
  <c r="I200" i="22" s="1"/>
  <c r="I199" i="22"/>
  <c r="H199" i="22"/>
  <c r="G199" i="22"/>
  <c r="H198" i="22"/>
  <c r="G198" i="22"/>
  <c r="H197" i="22"/>
  <c r="G197" i="22"/>
  <c r="H196" i="22"/>
  <c r="G196" i="22"/>
  <c r="I196" i="22" s="1"/>
  <c r="H195" i="22"/>
  <c r="G195" i="22"/>
  <c r="I195" i="22" s="1"/>
  <c r="H194" i="22"/>
  <c r="I194" i="22" s="1"/>
  <c r="G194" i="22"/>
  <c r="H193" i="22"/>
  <c r="I193" i="22" s="1"/>
  <c r="G193" i="22"/>
  <c r="H192" i="22"/>
  <c r="G192" i="22"/>
  <c r="I192" i="22" s="1"/>
  <c r="I191" i="22"/>
  <c r="H191" i="22"/>
  <c r="G191" i="22"/>
  <c r="H190" i="22"/>
  <c r="G190" i="22"/>
  <c r="H189" i="22"/>
  <c r="G189" i="22"/>
  <c r="H188" i="22"/>
  <c r="G188" i="22"/>
  <c r="I188" i="22" s="1"/>
  <c r="H187" i="22"/>
  <c r="G187" i="22"/>
  <c r="I187" i="22" s="1"/>
  <c r="H186" i="22"/>
  <c r="I186" i="22" s="1"/>
  <c r="G186" i="22"/>
  <c r="H185" i="22"/>
  <c r="I185" i="22" s="1"/>
  <c r="G185" i="22"/>
  <c r="H184" i="22"/>
  <c r="G184" i="22"/>
  <c r="I184" i="22" s="1"/>
  <c r="I183" i="22"/>
  <c r="H183" i="22"/>
  <c r="G183" i="22"/>
  <c r="H182" i="22"/>
  <c r="G182" i="22"/>
  <c r="H181" i="22"/>
  <c r="G181" i="22"/>
  <c r="H180" i="22"/>
  <c r="G180" i="22"/>
  <c r="I180" i="22" s="1"/>
  <c r="H179" i="22"/>
  <c r="G179" i="22"/>
  <c r="D178" i="22"/>
  <c r="H177" i="22"/>
  <c r="I177" i="22" s="1"/>
  <c r="G177" i="22"/>
  <c r="H176" i="22"/>
  <c r="H175" i="22" s="1"/>
  <c r="G176" i="22"/>
  <c r="G175" i="22" s="1"/>
  <c r="D175" i="22"/>
  <c r="H174" i="22"/>
  <c r="G174" i="22"/>
  <c r="H173" i="22"/>
  <c r="G173" i="22"/>
  <c r="I173" i="22" s="1"/>
  <c r="I172" i="22"/>
  <c r="H172" i="22"/>
  <c r="G172" i="22"/>
  <c r="H171" i="22"/>
  <c r="G171" i="22"/>
  <c r="I171" i="22" s="1"/>
  <c r="H170" i="22"/>
  <c r="G170" i="22"/>
  <c r="I170" i="22" s="1"/>
  <c r="H169" i="22"/>
  <c r="G169" i="22"/>
  <c r="I169" i="22" s="1"/>
  <c r="H168" i="22"/>
  <c r="G168" i="22"/>
  <c r="I168" i="22" s="1"/>
  <c r="H167" i="22"/>
  <c r="G167" i="22"/>
  <c r="H166" i="22"/>
  <c r="G166" i="22"/>
  <c r="H165" i="22"/>
  <c r="G165" i="22"/>
  <c r="I165" i="22" s="1"/>
  <c r="I164" i="22"/>
  <c r="H164" i="22"/>
  <c r="G164" i="22"/>
  <c r="H163" i="22"/>
  <c r="G163" i="22"/>
  <c r="I163" i="22" s="1"/>
  <c r="H162" i="22"/>
  <c r="G162" i="22"/>
  <c r="I162" i="22" s="1"/>
  <c r="H161" i="22"/>
  <c r="G161" i="22"/>
  <c r="I161" i="22" s="1"/>
  <c r="H160" i="22"/>
  <c r="G160" i="22"/>
  <c r="I160" i="22" s="1"/>
  <c r="H159" i="22"/>
  <c r="G159" i="22"/>
  <c r="H158" i="22"/>
  <c r="G158" i="22"/>
  <c r="H157" i="22"/>
  <c r="G157" i="22"/>
  <c r="I157" i="22" s="1"/>
  <c r="I156" i="22"/>
  <c r="H156" i="22"/>
  <c r="G156" i="22"/>
  <c r="H155" i="22"/>
  <c r="G155" i="22"/>
  <c r="I155" i="22" s="1"/>
  <c r="H154" i="22"/>
  <c r="G154" i="22"/>
  <c r="I154" i="22" s="1"/>
  <c r="H153" i="22"/>
  <c r="G153" i="22"/>
  <c r="I153" i="22" s="1"/>
  <c r="H152" i="22"/>
  <c r="G152" i="22"/>
  <c r="H151" i="22"/>
  <c r="G151" i="22"/>
  <c r="I151" i="22" s="1"/>
  <c r="H150" i="22"/>
  <c r="G150" i="22"/>
  <c r="I150" i="22" s="1"/>
  <c r="H149" i="22"/>
  <c r="G149" i="22"/>
  <c r="I149" i="22" s="1"/>
  <c r="H148" i="22"/>
  <c r="G148" i="22"/>
  <c r="H147" i="22"/>
  <c r="G147" i="22"/>
  <c r="I147" i="22" s="1"/>
  <c r="H146" i="22"/>
  <c r="G146" i="22"/>
  <c r="I146" i="22" s="1"/>
  <c r="H145" i="22"/>
  <c r="G145" i="22"/>
  <c r="I145" i="22" s="1"/>
  <c r="H144" i="22"/>
  <c r="G144" i="22"/>
  <c r="H143" i="22"/>
  <c r="G143" i="22"/>
  <c r="I143" i="22" s="1"/>
  <c r="H142" i="22"/>
  <c r="G142" i="22"/>
  <c r="I142" i="22" s="1"/>
  <c r="H141" i="22"/>
  <c r="G141" i="22"/>
  <c r="I141" i="22" s="1"/>
  <c r="H140" i="22"/>
  <c r="G140" i="22"/>
  <c r="H139" i="22"/>
  <c r="G139" i="22"/>
  <c r="I139" i="22" s="1"/>
  <c r="H138" i="22"/>
  <c r="G138" i="22"/>
  <c r="I138" i="22" s="1"/>
  <c r="H137" i="22"/>
  <c r="G137" i="22"/>
  <c r="I137" i="22" s="1"/>
  <c r="H136" i="22"/>
  <c r="G136" i="22"/>
  <c r="H135" i="22"/>
  <c r="G135" i="22"/>
  <c r="I135" i="22" s="1"/>
  <c r="H134" i="22"/>
  <c r="G134" i="22"/>
  <c r="I134" i="22" s="1"/>
  <c r="H133" i="22"/>
  <c r="G133" i="22"/>
  <c r="I133" i="22" s="1"/>
  <c r="H132" i="22"/>
  <c r="I132" i="22" s="1"/>
  <c r="G132" i="22"/>
  <c r="H131" i="22"/>
  <c r="G131" i="22"/>
  <c r="I131" i="22" s="1"/>
  <c r="H130" i="22"/>
  <c r="G130" i="22"/>
  <c r="I130" i="22" s="1"/>
  <c r="H129" i="22"/>
  <c r="G129" i="22"/>
  <c r="I129" i="22" s="1"/>
  <c r="H128" i="22"/>
  <c r="G128" i="22"/>
  <c r="H127" i="22"/>
  <c r="G127" i="22"/>
  <c r="I127" i="22" s="1"/>
  <c r="H126" i="22"/>
  <c r="G126" i="22"/>
  <c r="H125" i="22"/>
  <c r="G125" i="22"/>
  <c r="I125" i="22" s="1"/>
  <c r="H124" i="22"/>
  <c r="G124" i="22"/>
  <c r="H123" i="22"/>
  <c r="G123" i="22"/>
  <c r="I123" i="22" s="1"/>
  <c r="H122" i="22"/>
  <c r="G122" i="22"/>
  <c r="I122" i="22" s="1"/>
  <c r="H121" i="22"/>
  <c r="G121" i="22"/>
  <c r="I121" i="22" s="1"/>
  <c r="H120" i="22"/>
  <c r="I120" i="22" s="1"/>
  <c r="G120" i="22"/>
  <c r="H119" i="22"/>
  <c r="G119" i="22"/>
  <c r="I119" i="22" s="1"/>
  <c r="H118" i="22"/>
  <c r="G118" i="22"/>
  <c r="I118" i="22" s="1"/>
  <c r="H117" i="22"/>
  <c r="G117" i="22"/>
  <c r="I117" i="22" s="1"/>
  <c r="H116" i="22"/>
  <c r="G116" i="22"/>
  <c r="H115" i="22"/>
  <c r="G115" i="22"/>
  <c r="I115" i="22" s="1"/>
  <c r="H114" i="22"/>
  <c r="G114" i="22"/>
  <c r="H113" i="22"/>
  <c r="G113" i="22"/>
  <c r="I113" i="22" s="1"/>
  <c r="H112" i="22"/>
  <c r="G112" i="22"/>
  <c r="H111" i="22"/>
  <c r="G111" i="22"/>
  <c r="I111" i="22" s="1"/>
  <c r="H110" i="22"/>
  <c r="G110" i="22"/>
  <c r="I110" i="22" s="1"/>
  <c r="H109" i="22"/>
  <c r="G109" i="22"/>
  <c r="I109" i="22" s="1"/>
  <c r="H108" i="22"/>
  <c r="I108" i="22" s="1"/>
  <c r="G108" i="22"/>
  <c r="H107" i="22"/>
  <c r="G107" i="22"/>
  <c r="I107" i="22" s="1"/>
  <c r="H106" i="22"/>
  <c r="G106" i="22"/>
  <c r="I106" i="22" s="1"/>
  <c r="H105" i="22"/>
  <c r="G105" i="22"/>
  <c r="I105" i="22" s="1"/>
  <c r="H104" i="22"/>
  <c r="I104" i="22" s="1"/>
  <c r="G104" i="22"/>
  <c r="H103" i="22"/>
  <c r="G103" i="22"/>
  <c r="I103" i="22" s="1"/>
  <c r="H102" i="22"/>
  <c r="G102" i="22"/>
  <c r="H101" i="22"/>
  <c r="G101" i="22"/>
  <c r="I101" i="22" s="1"/>
  <c r="H100" i="22"/>
  <c r="G100" i="22"/>
  <c r="H99" i="22"/>
  <c r="G99" i="22"/>
  <c r="I99" i="22" s="1"/>
  <c r="H98" i="22"/>
  <c r="G98" i="22"/>
  <c r="H97" i="22"/>
  <c r="G97" i="22"/>
  <c r="D96" i="22"/>
  <c r="H95" i="22"/>
  <c r="H94" i="22" s="1"/>
  <c r="G94" i="22"/>
  <c r="H93" i="22"/>
  <c r="G93" i="22"/>
  <c r="I93" i="22" s="1"/>
  <c r="H92" i="22"/>
  <c r="G92" i="22"/>
  <c r="I92" i="22" s="1"/>
  <c r="H91" i="22"/>
  <c r="G91" i="22"/>
  <c r="H90" i="22"/>
  <c r="G90" i="22"/>
  <c r="I90" i="22" s="1"/>
  <c r="I89" i="22"/>
  <c r="H89" i="22"/>
  <c r="G89" i="22"/>
  <c r="H88" i="22"/>
  <c r="G88" i="22"/>
  <c r="I88" i="22" s="1"/>
  <c r="H87" i="22"/>
  <c r="G87" i="22"/>
  <c r="H86" i="22"/>
  <c r="G86" i="22"/>
  <c r="H85" i="22"/>
  <c r="H84" i="22" s="1"/>
  <c r="G85" i="22"/>
  <c r="I85" i="22" s="1"/>
  <c r="G84" i="22"/>
  <c r="D84" i="22"/>
  <c r="H83" i="22"/>
  <c r="H82" i="22" s="1"/>
  <c r="G82" i="22"/>
  <c r="H81" i="22"/>
  <c r="H80" i="22" s="1"/>
  <c r="G80" i="22"/>
  <c r="H79" i="22"/>
  <c r="I79" i="22" s="1"/>
  <c r="G79" i="22"/>
  <c r="H78" i="22"/>
  <c r="I78" i="22" s="1"/>
  <c r="G78" i="22"/>
  <c r="H77" i="22"/>
  <c r="G77" i="22"/>
  <c r="H76" i="22"/>
  <c r="G76" i="22"/>
  <c r="I75" i="22"/>
  <c r="H75" i="22"/>
  <c r="G75" i="22"/>
  <c r="H74" i="22"/>
  <c r="G74" i="22"/>
  <c r="D73" i="22"/>
  <c r="H72" i="22"/>
  <c r="G72" i="22"/>
  <c r="H71" i="22"/>
  <c r="G71" i="22"/>
  <c r="I71" i="22" s="1"/>
  <c r="H70" i="22"/>
  <c r="G70" i="22"/>
  <c r="I69" i="22"/>
  <c r="H69" i="22"/>
  <c r="G69" i="22"/>
  <c r="H68" i="22"/>
  <c r="G68" i="22"/>
  <c r="I68" i="22" s="1"/>
  <c r="G67" i="22"/>
  <c r="I66" i="22"/>
  <c r="H66" i="22"/>
  <c r="H65" i="22"/>
  <c r="I65" i="22" s="1"/>
  <c r="H64" i="22"/>
  <c r="G64" i="22"/>
  <c r="I64" i="22" s="1"/>
  <c r="H63" i="22"/>
  <c r="G63" i="22"/>
  <c r="G62" i="22"/>
  <c r="H61" i="22"/>
  <c r="H60" i="22" s="1"/>
  <c r="G61" i="22"/>
  <c r="I61" i="22" s="1"/>
  <c r="G60" i="22"/>
  <c r="H59" i="22"/>
  <c r="I59" i="22" s="1"/>
  <c r="G59" i="22"/>
  <c r="H58" i="22"/>
  <c r="G58" i="22"/>
  <c r="I58" i="22" s="1"/>
  <c r="H57" i="22"/>
  <c r="H56" i="22" s="1"/>
  <c r="G57" i="22"/>
  <c r="I57" i="22" s="1"/>
  <c r="G56" i="22"/>
  <c r="D55" i="22"/>
  <c r="H54" i="22"/>
  <c r="G54" i="22"/>
  <c r="H53" i="22"/>
  <c r="G53" i="22"/>
  <c r="H49" i="22"/>
  <c r="G49" i="22"/>
  <c r="H48" i="22"/>
  <c r="G48" i="22"/>
  <c r="I48" i="22" s="1"/>
  <c r="H47" i="22"/>
  <c r="I47" i="22" s="1"/>
  <c r="G47" i="22"/>
  <c r="H46" i="22"/>
  <c r="G46" i="22"/>
  <c r="H45" i="22"/>
  <c r="G45" i="22"/>
  <c r="H44" i="22"/>
  <c r="G44" i="22"/>
  <c r="I44" i="22" s="1"/>
  <c r="H43" i="22"/>
  <c r="G43" i="22"/>
  <c r="H42" i="22"/>
  <c r="G42" i="22"/>
  <c r="H41" i="22"/>
  <c r="G41" i="22"/>
  <c r="H40" i="22"/>
  <c r="G40" i="22"/>
  <c r="I40" i="22" s="1"/>
  <c r="H39" i="22"/>
  <c r="G39" i="22"/>
  <c r="H38" i="22"/>
  <c r="G38" i="22"/>
  <c r="H37" i="22"/>
  <c r="G37" i="22"/>
  <c r="H36" i="22"/>
  <c r="G36" i="22"/>
  <c r="I36" i="22" s="1"/>
  <c r="H35" i="22"/>
  <c r="G35" i="22"/>
  <c r="H34" i="22"/>
  <c r="G34" i="22"/>
  <c r="H33" i="22"/>
  <c r="G33" i="22"/>
  <c r="H32" i="22"/>
  <c r="G32" i="22"/>
  <c r="H31" i="22"/>
  <c r="I31" i="22" s="1"/>
  <c r="G31" i="22"/>
  <c r="H30" i="22"/>
  <c r="G30" i="22"/>
  <c r="H29" i="22"/>
  <c r="G29" i="22"/>
  <c r="H28" i="22"/>
  <c r="G28" i="22"/>
  <c r="I28" i="22" s="1"/>
  <c r="H27" i="22"/>
  <c r="G27" i="22"/>
  <c r="H26" i="22"/>
  <c r="G26" i="22"/>
  <c r="H25" i="22"/>
  <c r="G25" i="22"/>
  <c r="H24" i="22"/>
  <c r="G24" i="22"/>
  <c r="I24" i="22" s="1"/>
  <c r="H23" i="22"/>
  <c r="G23" i="22"/>
  <c r="H22" i="22"/>
  <c r="G22" i="22"/>
  <c r="H21" i="22"/>
  <c r="G21" i="22"/>
  <c r="H20" i="22"/>
  <c r="G20" i="22"/>
  <c r="I20" i="22" s="1"/>
  <c r="H19" i="22"/>
  <c r="G19" i="22"/>
  <c r="H18" i="22"/>
  <c r="G18" i="22"/>
  <c r="H17" i="22"/>
  <c r="G17" i="22"/>
  <c r="H16" i="22"/>
  <c r="G16" i="22"/>
  <c r="I16" i="22" s="1"/>
  <c r="H15" i="22"/>
  <c r="G15" i="22"/>
  <c r="H14" i="22"/>
  <c r="G14" i="22"/>
  <c r="H13" i="22"/>
  <c r="G13" i="22"/>
  <c r="H12" i="22"/>
  <c r="G12" i="22"/>
  <c r="I12" i="22" s="1"/>
  <c r="H11" i="22"/>
  <c r="G11" i="22"/>
  <c r="H10" i="22"/>
  <c r="G10" i="22"/>
  <c r="H9" i="22"/>
  <c r="G9" i="22"/>
  <c r="H8" i="22"/>
  <c r="G8" i="22"/>
  <c r="I8" i="22" s="1"/>
  <c r="H7" i="22"/>
  <c r="I7" i="22" s="1"/>
  <c r="G7" i="22"/>
  <c r="H6" i="22"/>
  <c r="G6" i="22"/>
  <c r="H5" i="22"/>
  <c r="G5" i="22"/>
  <c r="D4" i="22"/>
  <c r="D52" i="22" s="1"/>
  <c r="I9" i="22" l="1"/>
  <c r="I21" i="22"/>
  <c r="I25" i="22"/>
  <c r="I30" i="22"/>
  <c r="I29" i="22"/>
  <c r="I37" i="22"/>
  <c r="I41" i="22"/>
  <c r="I6" i="22"/>
  <c r="I23" i="22"/>
  <c r="I38" i="22"/>
  <c r="I5" i="22"/>
  <c r="I14" i="22"/>
  <c r="I46" i="22"/>
  <c r="I13" i="22"/>
  <c r="I19" i="22"/>
  <c r="I22" i="22"/>
  <c r="I32" i="22"/>
  <c r="I39" i="22"/>
  <c r="I45" i="22"/>
  <c r="I15" i="22"/>
  <c r="G55" i="22"/>
  <c r="I63" i="22"/>
  <c r="I70" i="22"/>
  <c r="I76" i="22"/>
  <c r="I81" i="22"/>
  <c r="I87" i="22"/>
  <c r="I159" i="22"/>
  <c r="I207" i="22"/>
  <c r="G213" i="22"/>
  <c r="I213" i="22" s="1"/>
  <c r="I124" i="22"/>
  <c r="I197" i="22"/>
  <c r="I77" i="22"/>
  <c r="I83" i="22"/>
  <c r="I176" i="22"/>
  <c r="I221" i="22"/>
  <c r="I42" i="22"/>
  <c r="I136" i="22"/>
  <c r="I11" i="22"/>
  <c r="I27" i="22"/>
  <c r="I43" i="22"/>
  <c r="I72" i="22"/>
  <c r="I94" i="22"/>
  <c r="I166" i="22"/>
  <c r="I182" i="22"/>
  <c r="I198" i="22"/>
  <c r="H213" i="22"/>
  <c r="I112" i="22"/>
  <c r="I148" i="22"/>
  <c r="H178" i="22"/>
  <c r="I17" i="22"/>
  <c r="I33" i="22"/>
  <c r="I49" i="22"/>
  <c r="I84" i="22"/>
  <c r="I102" i="22"/>
  <c r="I114" i="22"/>
  <c r="I126" i="22"/>
  <c r="I100" i="22"/>
  <c r="I144" i="22"/>
  <c r="I167" i="22"/>
  <c r="H74" i="23"/>
  <c r="I26" i="22"/>
  <c r="I74" i="22"/>
  <c r="G178" i="22"/>
  <c r="I178" i="22" s="1"/>
  <c r="I189" i="22"/>
  <c r="I211" i="22"/>
  <c r="I217" i="22"/>
  <c r="I18" i="23"/>
  <c r="I18" i="22"/>
  <c r="I34" i="22"/>
  <c r="I53" i="22"/>
  <c r="I80" i="22"/>
  <c r="I91" i="22"/>
  <c r="I98" i="22"/>
  <c r="H211" i="22"/>
  <c r="G36" i="23"/>
  <c r="I36" i="23" s="1"/>
  <c r="G96" i="22"/>
  <c r="H67" i="22"/>
  <c r="I67" i="22" s="1"/>
  <c r="I35" i="22"/>
  <c r="I54" i="22"/>
  <c r="I86" i="22"/>
  <c r="H96" i="22"/>
  <c r="I116" i="22"/>
  <c r="I128" i="22"/>
  <c r="I140" i="22"/>
  <c r="I152" i="22"/>
  <c r="I158" i="22"/>
  <c r="I174" i="22"/>
  <c r="I179" i="22"/>
  <c r="I190" i="22"/>
  <c r="I206" i="22"/>
  <c r="H59" i="23"/>
  <c r="I10" i="22"/>
  <c r="I219" i="22"/>
  <c r="G4" i="23"/>
  <c r="G103" i="23"/>
  <c r="G38" i="23"/>
  <c r="I89" i="23"/>
  <c r="H89" i="23"/>
  <c r="G89" i="23"/>
  <c r="I38" i="23"/>
  <c r="I15" i="23"/>
  <c r="G37" i="23"/>
  <c r="I37" i="23" s="1"/>
  <c r="I16" i="23" s="1"/>
  <c r="I61" i="23"/>
  <c r="I129" i="23"/>
  <c r="H128" i="23"/>
  <c r="G128" i="23"/>
  <c r="I128" i="23" s="1"/>
  <c r="I60" i="23"/>
  <c r="I8" i="23"/>
  <c r="I125" i="23"/>
  <c r="I124" i="23" s="1"/>
  <c r="G124" i="23"/>
  <c r="I103" i="23"/>
  <c r="I75" i="23"/>
  <c r="I74" i="23" s="1"/>
  <c r="H130" i="23"/>
  <c r="G130" i="23"/>
  <c r="I60" i="22"/>
  <c r="H52" i="22"/>
  <c r="G52" i="22"/>
  <c r="I82" i="22"/>
  <c r="I175" i="22"/>
  <c r="D50" i="22"/>
  <c r="I56" i="22"/>
  <c r="G73" i="22"/>
  <c r="I73" i="22" s="1"/>
  <c r="I97" i="22"/>
  <c r="I96" i="22" s="1"/>
  <c r="H212" i="22"/>
  <c r="H208" i="22" s="1"/>
  <c r="I208" i="22" s="1"/>
  <c r="I181" i="22"/>
  <c r="I220" i="22"/>
  <c r="I209" i="22"/>
  <c r="D51" i="22"/>
  <c r="H62" i="22"/>
  <c r="I62" i="22" s="1"/>
  <c r="H73" i="22"/>
  <c r="H3" i="23" l="1"/>
  <c r="I52" i="22"/>
  <c r="I59" i="23"/>
  <c r="I212" i="22"/>
  <c r="G16" i="23"/>
  <c r="G3" i="23" s="1"/>
  <c r="I130" i="23"/>
  <c r="I4" i="23"/>
  <c r="I3" i="23" s="1"/>
  <c r="H51" i="22"/>
  <c r="G51" i="22"/>
  <c r="H55" i="22"/>
  <c r="I55" i="22" s="1"/>
  <c r="G50" i="22"/>
  <c r="H50" i="22"/>
  <c r="H4" i="22" s="1"/>
  <c r="H223" i="22" s="1"/>
  <c r="I51" i="22" l="1"/>
  <c r="E17" i="1"/>
  <c r="I50" i="22"/>
  <c r="G4" i="22"/>
  <c r="I4" i="22" l="1"/>
  <c r="I223" i="22" s="1"/>
  <c r="E23" i="1" s="1"/>
  <c r="G223" i="22"/>
  <c r="F10" i="21" l="1"/>
  <c r="H10" i="21" s="1"/>
  <c r="E10" i="21"/>
  <c r="G10" i="21" s="1"/>
  <c r="F9" i="21"/>
  <c r="H9" i="21" s="1"/>
  <c r="E9" i="21"/>
  <c r="G9" i="21" s="1"/>
  <c r="D8" i="21"/>
  <c r="G8" i="21" s="1"/>
  <c r="H7" i="21"/>
  <c r="G7" i="21"/>
  <c r="I7" i="21" s="1"/>
  <c r="D6" i="21"/>
  <c r="H6" i="21" s="1"/>
  <c r="D5" i="21"/>
  <c r="H5" i="21" s="1"/>
  <c r="D4" i="21"/>
  <c r="H4" i="21" s="1"/>
  <c r="H163" i="20"/>
  <c r="G163" i="20"/>
  <c r="D146" i="20"/>
  <c r="D147" i="20" s="1"/>
  <c r="D143" i="20"/>
  <c r="G143" i="20" s="1"/>
  <c r="D142" i="20"/>
  <c r="H140" i="20"/>
  <c r="G140" i="20"/>
  <c r="D135" i="20"/>
  <c r="D137" i="20" s="1"/>
  <c r="H137" i="20" s="1"/>
  <c r="I137" i="20" s="1"/>
  <c r="D132" i="20"/>
  <c r="H132" i="20" s="1"/>
  <c r="D124" i="20"/>
  <c r="H124" i="20" s="1"/>
  <c r="H123" i="20"/>
  <c r="G123" i="20"/>
  <c r="H122" i="20"/>
  <c r="G122" i="20"/>
  <c r="D121" i="20"/>
  <c r="G121" i="20" s="1"/>
  <c r="D120" i="20"/>
  <c r="H120" i="20" s="1"/>
  <c r="D119" i="20"/>
  <c r="H119" i="20" s="1"/>
  <c r="D118" i="20"/>
  <c r="G118" i="20" s="1"/>
  <c r="D115" i="20"/>
  <c r="G115" i="20" s="1"/>
  <c r="D114" i="20"/>
  <c r="G114" i="20" s="1"/>
  <c r="D113" i="20"/>
  <c r="H113" i="20" s="1"/>
  <c r="D112" i="20"/>
  <c r="G112" i="20" s="1"/>
  <c r="D111" i="20"/>
  <c r="H111" i="20" s="1"/>
  <c r="D108" i="20"/>
  <c r="D110" i="20" s="1"/>
  <c r="H110" i="20" s="1"/>
  <c r="D105" i="20"/>
  <c r="D106" i="20" s="1"/>
  <c r="G106" i="20" s="1"/>
  <c r="D104" i="20"/>
  <c r="H104" i="20" s="1"/>
  <c r="D103" i="20"/>
  <c r="G103" i="20" s="1"/>
  <c r="D102" i="20"/>
  <c r="G102" i="20" s="1"/>
  <c r="D101" i="20"/>
  <c r="F99" i="20"/>
  <c r="D97" i="20"/>
  <c r="H97" i="20" s="1"/>
  <c r="H96" i="20"/>
  <c r="G96" i="20"/>
  <c r="D92" i="20"/>
  <c r="D94" i="20" s="1"/>
  <c r="D90" i="20"/>
  <c r="G90" i="20" s="1"/>
  <c r="D89" i="20"/>
  <c r="G89" i="20" s="1"/>
  <c r="D88" i="20"/>
  <c r="H88" i="20" s="1"/>
  <c r="D87" i="20"/>
  <c r="G87" i="20" s="1"/>
  <c r="D86" i="20"/>
  <c r="G86" i="20" s="1"/>
  <c r="D85" i="20"/>
  <c r="H85" i="20" s="1"/>
  <c r="D82" i="20"/>
  <c r="H82" i="20" s="1"/>
  <c r="D81" i="20"/>
  <c r="G81" i="20" s="1"/>
  <c r="D80" i="20"/>
  <c r="G80" i="20" s="1"/>
  <c r="D79" i="20"/>
  <c r="H79" i="20" s="1"/>
  <c r="D78" i="20"/>
  <c r="G78" i="20" s="1"/>
  <c r="D76" i="20"/>
  <c r="H76" i="20" s="1"/>
  <c r="H75" i="20"/>
  <c r="G75" i="20"/>
  <c r="D72" i="20"/>
  <c r="D74" i="20" s="1"/>
  <c r="D69" i="20"/>
  <c r="D71" i="20" s="1"/>
  <c r="H68" i="20"/>
  <c r="G68" i="20"/>
  <c r="D67" i="20"/>
  <c r="H67" i="20" s="1"/>
  <c r="D66" i="20"/>
  <c r="H66" i="20" s="1"/>
  <c r="D65" i="20"/>
  <c r="H65" i="20" s="1"/>
  <c r="D64" i="20"/>
  <c r="G64" i="20" s="1"/>
  <c r="D61" i="20"/>
  <c r="D63" i="20" s="1"/>
  <c r="H59" i="20"/>
  <c r="G59" i="20"/>
  <c r="G58" i="20"/>
  <c r="D58" i="20"/>
  <c r="H58" i="20" s="1"/>
  <c r="D57" i="20"/>
  <c r="H57" i="20" s="1"/>
  <c r="D56" i="20"/>
  <c r="H56" i="20" s="1"/>
  <c r="D55" i="20"/>
  <c r="H55" i="20" s="1"/>
  <c r="D54" i="20"/>
  <c r="H54" i="20" s="1"/>
  <c r="D53" i="20"/>
  <c r="H53" i="20" s="1"/>
  <c r="D52" i="20"/>
  <c r="H52" i="20" s="1"/>
  <c r="D51" i="20"/>
  <c r="H49" i="20"/>
  <c r="D48" i="20"/>
  <c r="H48" i="20" s="1"/>
  <c r="D47" i="20"/>
  <c r="G47" i="20" s="1"/>
  <c r="D46" i="20"/>
  <c r="G46" i="20" s="1"/>
  <c r="D45" i="20"/>
  <c r="D44" i="20"/>
  <c r="G44" i="20" s="1"/>
  <c r="D42" i="20"/>
  <c r="H42" i="20" s="1"/>
  <c r="D41" i="20"/>
  <c r="G41" i="20" s="1"/>
  <c r="D40" i="20"/>
  <c r="G40" i="20" s="1"/>
  <c r="D39" i="20"/>
  <c r="H39" i="20" s="1"/>
  <c r="D38" i="20"/>
  <c r="G38" i="20" s="1"/>
  <c r="D37" i="20"/>
  <c r="G37" i="20" s="1"/>
  <c r="D36" i="20"/>
  <c r="D34" i="20"/>
  <c r="G34" i="20" s="1"/>
  <c r="D31" i="20"/>
  <c r="G31" i="20" s="1"/>
  <c r="D30" i="20"/>
  <c r="D32" i="20" s="1"/>
  <c r="D29" i="20"/>
  <c r="G29" i="20" s="1"/>
  <c r="H28" i="20"/>
  <c r="G28" i="20"/>
  <c r="D27" i="20"/>
  <c r="H27" i="20" s="1"/>
  <c r="D26" i="20"/>
  <c r="H26" i="20" s="1"/>
  <c r="D22" i="20"/>
  <c r="H22" i="20" s="1"/>
  <c r="D21" i="20"/>
  <c r="D23" i="20" s="1"/>
  <c r="D20" i="20"/>
  <c r="H20" i="20" s="1"/>
  <c r="H19" i="20"/>
  <c r="G19" i="20"/>
  <c r="H18" i="20"/>
  <c r="G18" i="20"/>
  <c r="D17" i="20"/>
  <c r="H17" i="20" s="1"/>
  <c r="D16" i="20"/>
  <c r="H16" i="20" s="1"/>
  <c r="H15" i="20"/>
  <c r="D15" i="20"/>
  <c r="G15" i="20" s="1"/>
  <c r="H14" i="20"/>
  <c r="G14" i="20"/>
  <c r="D13" i="20"/>
  <c r="G13" i="20" s="1"/>
  <c r="D12" i="20"/>
  <c r="H12" i="20" s="1"/>
  <c r="D11" i="20"/>
  <c r="G11" i="20" s="1"/>
  <c r="H10" i="20"/>
  <c r="G10" i="20"/>
  <c r="D9" i="20"/>
  <c r="H9" i="20" s="1"/>
  <c r="D6" i="20"/>
  <c r="H6" i="20" s="1"/>
  <c r="D5" i="20"/>
  <c r="D7" i="20" s="1"/>
  <c r="D160" i="20"/>
  <c r="H160" i="20" s="1"/>
  <c r="D159" i="20"/>
  <c r="H159" i="20" s="1"/>
  <c r="D158" i="20"/>
  <c r="H158" i="20" s="1"/>
  <c r="D157" i="20"/>
  <c r="H153" i="20"/>
  <c r="D153" i="20"/>
  <c r="G153" i="20" s="1"/>
  <c r="H152" i="20"/>
  <c r="G152" i="20"/>
  <c r="H151" i="20"/>
  <c r="G151" i="20"/>
  <c r="D149" i="20"/>
  <c r="H149" i="20" s="1"/>
  <c r="H64" i="20" l="1"/>
  <c r="I75" i="20"/>
  <c r="H108" i="20"/>
  <c r="I10" i="20"/>
  <c r="G52" i="20"/>
  <c r="I152" i="20"/>
  <c r="D154" i="20"/>
  <c r="H154" i="20" s="1"/>
  <c r="G159" i="20"/>
  <c r="I159" i="20" s="1"/>
  <c r="H114" i="20"/>
  <c r="I28" i="20"/>
  <c r="I52" i="20"/>
  <c r="I96" i="20"/>
  <c r="I140" i="20"/>
  <c r="H143" i="20"/>
  <c r="I143" i="20" s="1"/>
  <c r="I14" i="20"/>
  <c r="I19" i="20"/>
  <c r="D43" i="20"/>
  <c r="I114" i="20"/>
  <c r="G55" i="20"/>
  <c r="I55" i="20" s="1"/>
  <c r="G66" i="20"/>
  <c r="D136" i="20"/>
  <c r="H136" i="20" s="1"/>
  <c r="I136" i="20" s="1"/>
  <c r="I164" i="20" s="1"/>
  <c r="D107" i="20"/>
  <c r="H107" i="20" s="1"/>
  <c r="I15" i="20"/>
  <c r="D25" i="20"/>
  <c r="H25" i="20" s="1"/>
  <c r="G120" i="20"/>
  <c r="I120" i="20" s="1"/>
  <c r="I26" i="20"/>
  <c r="I58" i="20"/>
  <c r="G67" i="20"/>
  <c r="I67" i="20" s="1"/>
  <c r="G26" i="20"/>
  <c r="G16" i="20"/>
  <c r="I16" i="20" s="1"/>
  <c r="H40" i="20"/>
  <c r="I40" i="20" s="1"/>
  <c r="I59" i="20"/>
  <c r="G97" i="20"/>
  <c r="I97" i="20" s="1"/>
  <c r="D98" i="20"/>
  <c r="H98" i="20" s="1"/>
  <c r="H69" i="20"/>
  <c r="I69" i="20" s="1"/>
  <c r="I18" i="20"/>
  <c r="G53" i="20"/>
  <c r="I53" i="20" s="1"/>
  <c r="H86" i="20"/>
  <c r="I86" i="20" s="1"/>
  <c r="D100" i="20"/>
  <c r="H100" i="20" s="1"/>
  <c r="G146" i="20"/>
  <c r="H71" i="20"/>
  <c r="G71" i="20"/>
  <c r="I71" i="20" s="1"/>
  <c r="G63" i="20"/>
  <c r="H63" i="20"/>
  <c r="H74" i="20"/>
  <c r="G74" i="20"/>
  <c r="I74" i="20" s="1"/>
  <c r="I153" i="20"/>
  <c r="I123" i="20"/>
  <c r="G9" i="20"/>
  <c r="I9" i="20" s="1"/>
  <c r="D156" i="20"/>
  <c r="G22" i="20"/>
  <c r="H31" i="20"/>
  <c r="I31" i="20" s="1"/>
  <c r="G69" i="20"/>
  <c r="G108" i="20"/>
  <c r="G135" i="20"/>
  <c r="D70" i="20"/>
  <c r="H70" i="20" s="1"/>
  <c r="D109" i="20"/>
  <c r="G109" i="20" s="1"/>
  <c r="H146" i="20"/>
  <c r="H8" i="21"/>
  <c r="H11" i="21" s="1"/>
  <c r="D150" i="20"/>
  <c r="G150" i="20" s="1"/>
  <c r="D35" i="20"/>
  <c r="H35" i="20" s="1"/>
  <c r="H46" i="20"/>
  <c r="I46" i="20" s="1"/>
  <c r="H89" i="20"/>
  <c r="I89" i="20" s="1"/>
  <c r="H102" i="20"/>
  <c r="I102" i="20" s="1"/>
  <c r="D138" i="20"/>
  <c r="H138" i="20" s="1"/>
  <c r="I138" i="20" s="1"/>
  <c r="D148" i="20"/>
  <c r="H148" i="20" s="1"/>
  <c r="I108" i="20"/>
  <c r="I66" i="20"/>
  <c r="I8" i="21"/>
  <c r="H37" i="20"/>
  <c r="I37" i="20" s="1"/>
  <c r="G61" i="20"/>
  <c r="G111" i="20"/>
  <c r="I111" i="20" s="1"/>
  <c r="D139" i="20"/>
  <c r="H139" i="20" s="1"/>
  <c r="I139" i="20" s="1"/>
  <c r="H61" i="20"/>
  <c r="I61" i="20" s="1"/>
  <c r="G72" i="20"/>
  <c r="H80" i="20"/>
  <c r="I80" i="20" s="1"/>
  <c r="G132" i="20"/>
  <c r="I132" i="20" s="1"/>
  <c r="I10" i="21"/>
  <c r="G149" i="20"/>
  <c r="I149" i="20" s="1"/>
  <c r="I151" i="20"/>
  <c r="D50" i="20"/>
  <c r="D60" i="20" s="1"/>
  <c r="D62" i="20"/>
  <c r="H62" i="20" s="1"/>
  <c r="H72" i="20"/>
  <c r="G105" i="20"/>
  <c r="H121" i="20"/>
  <c r="I121" i="20" s="1"/>
  <c r="D133" i="20"/>
  <c r="H133" i="20" s="1"/>
  <c r="G20" i="20"/>
  <c r="I20" i="20" s="1"/>
  <c r="G56" i="20"/>
  <c r="I56" i="20" s="1"/>
  <c r="D73" i="20"/>
  <c r="H73" i="20" s="1"/>
  <c r="H105" i="20"/>
  <c r="I122" i="20"/>
  <c r="D134" i="20"/>
  <c r="D141" i="20"/>
  <c r="G141" i="20" s="1"/>
  <c r="G5" i="21"/>
  <c r="I5" i="21" s="1"/>
  <c r="I64" i="20"/>
  <c r="G158" i="20"/>
  <c r="I158" i="20" s="1"/>
  <c r="H34" i="20"/>
  <c r="I34" i="20" s="1"/>
  <c r="G6" i="20"/>
  <c r="I6" i="20" s="1"/>
  <c r="I68" i="20"/>
  <c r="I9" i="21"/>
  <c r="G6" i="21"/>
  <c r="I6" i="21" s="1"/>
  <c r="G4" i="21"/>
  <c r="G32" i="20"/>
  <c r="H32" i="20"/>
  <c r="G94" i="20"/>
  <c r="H94" i="20"/>
  <c r="G35" i="20"/>
  <c r="H7" i="20"/>
  <c r="G7" i="20"/>
  <c r="H50" i="20"/>
  <c r="G50" i="20"/>
  <c r="G49" i="20"/>
  <c r="I49" i="20" s="1"/>
  <c r="H141" i="20"/>
  <c r="H23" i="20"/>
  <c r="G23" i="20"/>
  <c r="D162" i="20"/>
  <c r="D161" i="20"/>
  <c r="D155" i="20"/>
  <c r="H156" i="20"/>
  <c r="G156" i="20"/>
  <c r="I22" i="20"/>
  <c r="H147" i="20"/>
  <c r="G147" i="20"/>
  <c r="H43" i="20"/>
  <c r="G43" i="20"/>
  <c r="G100" i="20"/>
  <c r="H13" i="20"/>
  <c r="I13" i="20" s="1"/>
  <c r="H29" i="20"/>
  <c r="I29" i="20" s="1"/>
  <c r="H38" i="20"/>
  <c r="I38" i="20" s="1"/>
  <c r="H41" i="20"/>
  <c r="I41" i="20" s="1"/>
  <c r="H44" i="20"/>
  <c r="I44" i="20" s="1"/>
  <c r="H47" i="20"/>
  <c r="I47" i="20" s="1"/>
  <c r="H78" i="20"/>
  <c r="I78" i="20" s="1"/>
  <c r="H81" i="20"/>
  <c r="I81" i="20" s="1"/>
  <c r="H87" i="20"/>
  <c r="I87" i="20" s="1"/>
  <c r="H90" i="20"/>
  <c r="I90" i="20" s="1"/>
  <c r="H103" i="20"/>
  <c r="I103" i="20" s="1"/>
  <c r="H106" i="20"/>
  <c r="I106" i="20" s="1"/>
  <c r="H112" i="20"/>
  <c r="I112" i="20" s="1"/>
  <c r="H115" i="20"/>
  <c r="I115" i="20" s="1"/>
  <c r="H118" i="20"/>
  <c r="I118" i="20" s="1"/>
  <c r="D125" i="20"/>
  <c r="G17" i="20"/>
  <c r="I17" i="20" s="1"/>
  <c r="D33" i="20"/>
  <c r="G51" i="20"/>
  <c r="G54" i="20"/>
  <c r="I54" i="20" s="1"/>
  <c r="G57" i="20"/>
  <c r="I57" i="20" s="1"/>
  <c r="D95" i="20"/>
  <c r="D116" i="20"/>
  <c r="G30" i="20"/>
  <c r="G36" i="20"/>
  <c r="G42" i="20"/>
  <c r="I42" i="20" s="1"/>
  <c r="G45" i="20"/>
  <c r="G48" i="20"/>
  <c r="I48" i="20" s="1"/>
  <c r="H51" i="20"/>
  <c r="G76" i="20"/>
  <c r="I76" i="20" s="1"/>
  <c r="G79" i="20"/>
  <c r="I79" i="20" s="1"/>
  <c r="G82" i="20"/>
  <c r="I82" i="20" s="1"/>
  <c r="G85" i="20"/>
  <c r="I85" i="20" s="1"/>
  <c r="G88" i="20"/>
  <c r="I88" i="20" s="1"/>
  <c r="G92" i="20"/>
  <c r="G101" i="20"/>
  <c r="G104" i="20"/>
  <c r="I104" i="20" s="1"/>
  <c r="G107" i="20"/>
  <c r="I107" i="20" s="1"/>
  <c r="G110" i="20"/>
  <c r="I110" i="20" s="1"/>
  <c r="G113" i="20"/>
  <c r="I113" i="20" s="1"/>
  <c r="G119" i="20"/>
  <c r="I119" i="20" s="1"/>
  <c r="D24" i="20"/>
  <c r="G39" i="20"/>
  <c r="I39" i="20" s="1"/>
  <c r="G154" i="20"/>
  <c r="I154" i="20" s="1"/>
  <c r="G157" i="20"/>
  <c r="G160" i="20"/>
  <c r="I160" i="20" s="1"/>
  <c r="G5" i="20"/>
  <c r="H11" i="20"/>
  <c r="I11" i="20" s="1"/>
  <c r="G21" i="20"/>
  <c r="G27" i="20"/>
  <c r="I27" i="20" s="1"/>
  <c r="H30" i="20"/>
  <c r="H36" i="20"/>
  <c r="H45" i="20"/>
  <c r="H92" i="20"/>
  <c r="H101" i="20"/>
  <c r="D126" i="20"/>
  <c r="G142" i="20"/>
  <c r="G148" i="20"/>
  <c r="I148" i="20" s="1"/>
  <c r="D8" i="20"/>
  <c r="H157" i="20"/>
  <c r="H5" i="20"/>
  <c r="H21" i="20"/>
  <c r="D99" i="20"/>
  <c r="H142" i="20"/>
  <c r="D77" i="20"/>
  <c r="D93" i="20"/>
  <c r="D117" i="20"/>
  <c r="H135" i="20"/>
  <c r="G12" i="20"/>
  <c r="I12" i="20" s="1"/>
  <c r="D127" i="20"/>
  <c r="G62" i="20"/>
  <c r="I62" i="20" s="1"/>
  <c r="G65" i="20"/>
  <c r="I65" i="20" s="1"/>
  <c r="G124" i="20"/>
  <c r="I124" i="20" s="1"/>
  <c r="G14" i="18"/>
  <c r="H14" i="18"/>
  <c r="I14" i="18" s="1"/>
  <c r="G73" i="20" l="1"/>
  <c r="I73" i="20" s="1"/>
  <c r="H150" i="20"/>
  <c r="I150" i="20" s="1"/>
  <c r="I146" i="20"/>
  <c r="I135" i="20"/>
  <c r="G70" i="20"/>
  <c r="I70" i="20" s="1"/>
  <c r="G98" i="20"/>
  <c r="I98" i="20" s="1"/>
  <c r="I156" i="20"/>
  <c r="D145" i="20"/>
  <c r="H145" i="20" s="1"/>
  <c r="I50" i="20"/>
  <c r="I142" i="20"/>
  <c r="I45" i="20"/>
  <c r="D144" i="20"/>
  <c r="G144" i="20" s="1"/>
  <c r="H109" i="20"/>
  <c r="I109" i="20" s="1"/>
  <c r="I72" i="20"/>
  <c r="I100" i="20"/>
  <c r="I7" i="20"/>
  <c r="G25" i="20"/>
  <c r="I25" i="20" s="1"/>
  <c r="I23" i="20"/>
  <c r="I43" i="20"/>
  <c r="I147" i="20"/>
  <c r="G134" i="20"/>
  <c r="H134" i="20"/>
  <c r="I105" i="20"/>
  <c r="I36" i="20"/>
  <c r="I63" i="20"/>
  <c r="I21" i="20"/>
  <c r="G133" i="20"/>
  <c r="I133" i="20" s="1"/>
  <c r="G11" i="21"/>
  <c r="I4" i="21"/>
  <c r="I11" i="21" s="1"/>
  <c r="E21" i="1" s="1"/>
  <c r="H24" i="20"/>
  <c r="G24" i="20"/>
  <c r="H162" i="20"/>
  <c r="G162" i="20"/>
  <c r="H99" i="20"/>
  <c r="G99" i="20"/>
  <c r="I99" i="20" s="1"/>
  <c r="I51" i="20"/>
  <c r="H126" i="20"/>
  <c r="G126" i="20"/>
  <c r="I157" i="20"/>
  <c r="H93" i="20"/>
  <c r="G93" i="20"/>
  <c r="D84" i="20"/>
  <c r="H77" i="20"/>
  <c r="G77" i="20"/>
  <c r="D83" i="20"/>
  <c r="H33" i="20"/>
  <c r="G33" i="20"/>
  <c r="I33" i="20" s="1"/>
  <c r="I141" i="20"/>
  <c r="I94" i="20"/>
  <c r="H144" i="20"/>
  <c r="H127" i="20"/>
  <c r="G127" i="20"/>
  <c r="I127" i="20" s="1"/>
  <c r="I101" i="20"/>
  <c r="I30" i="20"/>
  <c r="H155" i="20"/>
  <c r="G155" i="20"/>
  <c r="I35" i="20"/>
  <c r="H8" i="20"/>
  <c r="G8" i="20"/>
  <c r="G125" i="20"/>
  <c r="H125" i="20"/>
  <c r="I5" i="20"/>
  <c r="I92" i="20"/>
  <c r="H161" i="20"/>
  <c r="G161" i="20"/>
  <c r="H116" i="20"/>
  <c r="G116" i="20"/>
  <c r="H117" i="20"/>
  <c r="G117" i="20"/>
  <c r="H60" i="20"/>
  <c r="G60" i="20"/>
  <c r="H95" i="20"/>
  <c r="G95" i="20"/>
  <c r="I95" i="20" s="1"/>
  <c r="I32" i="20"/>
  <c r="G145" i="20" l="1"/>
  <c r="I145" i="20" s="1"/>
  <c r="I162" i="20"/>
  <c r="I117" i="20"/>
  <c r="I161" i="20"/>
  <c r="I77" i="20"/>
  <c r="I126" i="20"/>
  <c r="I134" i="20"/>
  <c r="I24" i="20"/>
  <c r="G84" i="20"/>
  <c r="H84" i="20"/>
  <c r="H164" i="20" s="1"/>
  <c r="I60" i="20"/>
  <c r="I8" i="20"/>
  <c r="I93" i="20"/>
  <c r="I125" i="20"/>
  <c r="I155" i="20"/>
  <c r="I116" i="20"/>
  <c r="H83" i="20"/>
  <c r="G83" i="20"/>
  <c r="I83" i="20" s="1"/>
  <c r="I144" i="20"/>
  <c r="D83" i="6"/>
  <c r="G13" i="7"/>
  <c r="H13" i="7"/>
  <c r="G21" i="7"/>
  <c r="H21" i="7"/>
  <c r="G31" i="7"/>
  <c r="H31" i="7"/>
  <c r="G32" i="7"/>
  <c r="H32" i="7"/>
  <c r="G34" i="7"/>
  <c r="H34" i="7"/>
  <c r="G35" i="7"/>
  <c r="H35" i="7"/>
  <c r="G40" i="7"/>
  <c r="H40" i="7"/>
  <c r="G41" i="7"/>
  <c r="H41" i="7"/>
  <c r="G52" i="7"/>
  <c r="H52" i="7"/>
  <c r="G57" i="7"/>
  <c r="H57" i="7"/>
  <c r="G63" i="7"/>
  <c r="H63" i="7"/>
  <c r="G70" i="7"/>
  <c r="H70" i="7"/>
  <c r="G71" i="7"/>
  <c r="H71" i="7"/>
  <c r="G72" i="7"/>
  <c r="H72" i="7"/>
  <c r="G87" i="7"/>
  <c r="H87" i="7"/>
  <c r="G94" i="7"/>
  <c r="H94" i="7"/>
  <c r="G95" i="7"/>
  <c r="H95" i="7"/>
  <c r="G106" i="7"/>
  <c r="H106" i="7"/>
  <c r="G109" i="7"/>
  <c r="H109" i="7"/>
  <c r="E13" i="18"/>
  <c r="F15" i="18"/>
  <c r="G13" i="18"/>
  <c r="I95" i="7" l="1"/>
  <c r="I106" i="7"/>
  <c r="G164" i="20"/>
  <c r="I84" i="20"/>
  <c r="E7" i="1" s="1"/>
  <c r="I34" i="7"/>
  <c r="I57" i="7"/>
  <c r="I72" i="7"/>
  <c r="I21" i="7"/>
  <c r="I94" i="7"/>
  <c r="I52" i="7"/>
  <c r="I70" i="7"/>
  <c r="I63" i="7"/>
  <c r="I109" i="7"/>
  <c r="I40" i="7"/>
  <c r="I13" i="7"/>
  <c r="I87" i="7"/>
  <c r="I31" i="7"/>
  <c r="I32" i="7"/>
  <c r="I71" i="7"/>
  <c r="I41" i="7"/>
  <c r="I35" i="7"/>
  <c r="H80" i="6"/>
  <c r="D81" i="6"/>
  <c r="H81" i="6" s="1"/>
  <c r="I81" i="6" s="1"/>
  <c r="D82" i="6"/>
  <c r="H82" i="6" s="1"/>
  <c r="I82" i="6" s="1"/>
  <c r="H83" i="6"/>
  <c r="I83" i="6" s="1"/>
  <c r="D84" i="6"/>
  <c r="H84" i="6" s="1"/>
  <c r="I84" i="6" s="1"/>
  <c r="D85" i="6"/>
  <c r="H85" i="6" s="1"/>
  <c r="I85" i="6" s="1"/>
  <c r="D95" i="6"/>
  <c r="H95" i="6" s="1"/>
  <c r="D96" i="6"/>
  <c r="H96" i="6" s="1"/>
  <c r="I96" i="6" s="1"/>
  <c r="D97" i="6"/>
  <c r="H97" i="6" s="1"/>
  <c r="I97" i="6" s="1"/>
  <c r="D87" i="6"/>
  <c r="D88" i="6"/>
  <c r="H88" i="6" s="1"/>
  <c r="D89" i="6"/>
  <c r="H89" i="6" s="1"/>
  <c r="I89" i="6" s="1"/>
  <c r="D90" i="6"/>
  <c r="H90" i="6" s="1"/>
  <c r="I90" i="6" s="1"/>
  <c r="D91" i="6"/>
  <c r="H91" i="6" s="1"/>
  <c r="I91" i="6" s="1"/>
  <c r="D92" i="6"/>
  <c r="H92" i="6" s="1"/>
  <c r="I92" i="6" s="1"/>
  <c r="D93" i="6"/>
  <c r="H93" i="6" s="1"/>
  <c r="I93" i="6" s="1"/>
  <c r="D86" i="6"/>
  <c r="H86" i="6" s="1"/>
  <c r="D98" i="6"/>
  <c r="H98" i="6" s="1"/>
  <c r="I98" i="6" s="1"/>
  <c r="D30" i="1"/>
  <c r="E28" i="1"/>
  <c r="E27" i="1"/>
  <c r="D28" i="1"/>
  <c r="G28" i="1" s="1"/>
  <c r="D27" i="1"/>
  <c r="D26" i="1"/>
  <c r="D24" i="1"/>
  <c r="G24" i="1" s="1"/>
  <c r="D23" i="1"/>
  <c r="G23" i="1" s="1"/>
  <c r="D21" i="1"/>
  <c r="G21" i="1" s="1"/>
  <c r="D20" i="1"/>
  <c r="G20" i="1" s="1"/>
  <c r="D19" i="1"/>
  <c r="G19" i="1" s="1"/>
  <c r="D18" i="1"/>
  <c r="D17" i="1"/>
  <c r="D16" i="1"/>
  <c r="D14" i="1"/>
  <c r="G14" i="1" s="1"/>
  <c r="D12" i="1"/>
  <c r="G12" i="1" s="1"/>
  <c r="D9" i="1"/>
  <c r="G11" i="1" s="1"/>
  <c r="D8" i="1"/>
  <c r="D7" i="1"/>
  <c r="H15" i="18"/>
  <c r="G15" i="18"/>
  <c r="G12" i="18" s="1"/>
  <c r="H13" i="18"/>
  <c r="H12" i="18" s="1"/>
  <c r="H11" i="18"/>
  <c r="H10" i="18"/>
  <c r="G10" i="18"/>
  <c r="H9" i="18"/>
  <c r="G9" i="18"/>
  <c r="I9" i="18" s="1"/>
  <c r="H8" i="18"/>
  <c r="G8" i="18"/>
  <c r="I8" i="18" s="1"/>
  <c r="H7" i="18"/>
  <c r="G7" i="18"/>
  <c r="H5" i="18"/>
  <c r="H4" i="18" s="1"/>
  <c r="G5" i="18"/>
  <c r="G4" i="18" s="1"/>
  <c r="G27" i="1" l="1"/>
  <c r="G17" i="1" a="1"/>
  <c r="G17" i="1" s="1"/>
  <c r="I13" i="18"/>
  <c r="I7" i="18"/>
  <c r="G6" i="18"/>
  <c r="H6" i="18"/>
  <c r="D94" i="6"/>
  <c r="G94" i="6" s="1"/>
  <c r="I88" i="6"/>
  <c r="H87" i="6"/>
  <c r="G80" i="6"/>
  <c r="I80" i="6" s="1"/>
  <c r="I95" i="6"/>
  <c r="H94" i="6"/>
  <c r="I86" i="6"/>
  <c r="I15" i="18"/>
  <c r="I10" i="18"/>
  <c r="I11" i="18"/>
  <c r="I5" i="18"/>
  <c r="I12" i="18" l="1"/>
  <c r="I6" i="18"/>
  <c r="E30" i="1" s="1"/>
  <c r="I94" i="6"/>
  <c r="F87" i="6"/>
  <c r="E87" i="6" s="1"/>
  <c r="G87" i="6" s="1"/>
  <c r="D2" i="17"/>
  <c r="D3" i="17" s="1"/>
  <c r="H3" i="17" s="1"/>
  <c r="I3" i="17" s="1"/>
  <c r="H4" i="17"/>
  <c r="I4" i="17" s="1"/>
  <c r="H5" i="17"/>
  <c r="I5" i="17" s="1"/>
  <c r="G6" i="17"/>
  <c r="H6" i="17"/>
  <c r="G7" i="17"/>
  <c r="I7" i="17" s="1"/>
  <c r="H7" i="17"/>
  <c r="G8" i="17"/>
  <c r="H8" i="17"/>
  <c r="G9" i="17"/>
  <c r="H9" i="17"/>
  <c r="G10" i="17"/>
  <c r="I10" i="17" s="1"/>
  <c r="H10" i="17"/>
  <c r="G11" i="17"/>
  <c r="H11" i="17"/>
  <c r="G12" i="17"/>
  <c r="H12" i="17"/>
  <c r="D13" i="17"/>
  <c r="G13" i="17"/>
  <c r="H13" i="17"/>
  <c r="I13" i="17" s="1"/>
  <c r="I6" i="17" l="1"/>
  <c r="I12" i="17"/>
  <c r="G30" i="1"/>
  <c r="I87" i="6"/>
  <c r="G2" i="17"/>
  <c r="I8" i="17"/>
  <c r="H14" i="17"/>
  <c r="H17" i="17" s="1"/>
  <c r="I11" i="17"/>
  <c r="I9" i="17"/>
  <c r="D263" i="4"/>
  <c r="G263" i="4" s="1"/>
  <c r="D239" i="4"/>
  <c r="D232" i="4" s="1"/>
  <c r="D255" i="4"/>
  <c r="D248" i="4" s="1"/>
  <c r="D6" i="1" l="1"/>
  <c r="G6" i="1" s="1" a="1"/>
  <c r="G6" i="1" s="1"/>
  <c r="H263" i="4"/>
  <c r="G14" i="17"/>
  <c r="I2" i="17"/>
  <c r="I14" i="17" s="1"/>
  <c r="I263" i="4"/>
  <c r="G5" i="3"/>
  <c r="I5" i="3" s="1"/>
  <c r="D5" i="3"/>
  <c r="D5" i="2"/>
  <c r="D9" i="2"/>
  <c r="G8" i="2"/>
  <c r="I8" i="2" s="1"/>
  <c r="G6" i="2"/>
  <c r="I6" i="2" s="1"/>
  <c r="G7" i="2"/>
  <c r="I7" i="2" s="1"/>
  <c r="D4" i="1"/>
  <c r="D3" i="1"/>
  <c r="D2" i="1"/>
  <c r="G9" i="2" l="1"/>
  <c r="I9" i="2" s="1"/>
  <c r="D33" i="1"/>
  <c r="G15" i="17"/>
  <c r="I15" i="17" s="1"/>
  <c r="I17" i="17" s="1"/>
  <c r="G16" i="17"/>
  <c r="I16" i="17" s="1"/>
  <c r="C22" i="1"/>
  <c r="C21" i="1"/>
  <c r="C20" i="1"/>
  <c r="C19" i="1"/>
  <c r="C18" i="1"/>
  <c r="C17" i="1"/>
  <c r="C16" i="1"/>
  <c r="C14" i="1"/>
  <c r="C12" i="1"/>
  <c r="C9" i="1"/>
  <c r="C8" i="1"/>
  <c r="C7" i="1"/>
  <c r="C6" i="1"/>
  <c r="C5" i="1"/>
  <c r="C4" i="1"/>
  <c r="C3" i="1"/>
  <c r="C2" i="1"/>
  <c r="G17" i="17" l="1"/>
  <c r="C33" i="1"/>
  <c r="F78" i="13" l="1"/>
  <c r="F77" i="13"/>
  <c r="F76" i="13"/>
  <c r="F75" i="13"/>
  <c r="F74" i="13"/>
  <c r="F73" i="13"/>
  <c r="F72" i="13"/>
  <c r="F71" i="13"/>
  <c r="F70" i="13"/>
  <c r="F69" i="13"/>
  <c r="F79" i="13" s="1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64" i="13" s="1"/>
  <c r="F81" i="13" l="1"/>
  <c r="F19" i="14" l="1"/>
  <c r="F18" i="14"/>
  <c r="F17" i="14"/>
  <c r="F15" i="14"/>
  <c r="F14" i="14"/>
  <c r="F13" i="14"/>
  <c r="F12" i="14"/>
  <c r="F11" i="14"/>
  <c r="F10" i="14"/>
  <c r="F9" i="14"/>
  <c r="F8" i="14"/>
  <c r="F7" i="14"/>
  <c r="F6" i="14"/>
  <c r="F5" i="14"/>
  <c r="F9" i="12" l="1"/>
  <c r="F8" i="12"/>
  <c r="F7" i="12"/>
  <c r="F6" i="12"/>
  <c r="F5" i="12"/>
  <c r="F4" i="12"/>
  <c r="F10" i="12" s="1"/>
  <c r="C13" i="12" s="1"/>
  <c r="C20" i="12" l="1"/>
  <c r="D5" i="6" l="1"/>
  <c r="H129" i="8" l="1"/>
  <c r="G129" i="8"/>
  <c r="H128" i="8"/>
  <c r="G128" i="8"/>
  <c r="H127" i="8"/>
  <c r="G127" i="8"/>
  <c r="H126" i="8"/>
  <c r="G126" i="8"/>
  <c r="H125" i="8"/>
  <c r="G125" i="8"/>
  <c r="H124" i="8"/>
  <c r="G124" i="8"/>
  <c r="H123" i="8"/>
  <c r="G123" i="8"/>
  <c r="H122" i="8"/>
  <c r="G122" i="8"/>
  <c r="H121" i="8"/>
  <c r="G121" i="8"/>
  <c r="H120" i="8"/>
  <c r="G120" i="8"/>
  <c r="H119" i="8"/>
  <c r="G119" i="8"/>
  <c r="H118" i="8"/>
  <c r="G118" i="8"/>
  <c r="H117" i="8"/>
  <c r="G117" i="8"/>
  <c r="H116" i="8"/>
  <c r="G116" i="8"/>
  <c r="H115" i="8"/>
  <c r="G115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H74" i="8"/>
  <c r="G74" i="8"/>
  <c r="H73" i="8"/>
  <c r="G73" i="8"/>
  <c r="H72" i="8"/>
  <c r="G72" i="8"/>
  <c r="H71" i="8"/>
  <c r="G71" i="8"/>
  <c r="H70" i="8"/>
  <c r="G70" i="8"/>
  <c r="H69" i="8"/>
  <c r="G69" i="8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F36" i="8"/>
  <c r="G36" i="8" s="1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05" i="8" l="1"/>
  <c r="H108" i="8" s="1"/>
  <c r="G105" i="8"/>
  <c r="G130" i="8"/>
  <c r="H130" i="8"/>
  <c r="D127" i="7"/>
  <c r="D126" i="7"/>
  <c r="D125" i="7"/>
  <c r="D124" i="7"/>
  <c r="D123" i="7"/>
  <c r="D122" i="7"/>
  <c r="D121" i="7"/>
  <c r="D116" i="7"/>
  <c r="D115" i="7"/>
  <c r="D114" i="7"/>
  <c r="D113" i="7"/>
  <c r="D112" i="7"/>
  <c r="D111" i="7"/>
  <c r="D105" i="7"/>
  <c r="D104" i="7"/>
  <c r="D103" i="7"/>
  <c r="D102" i="7"/>
  <c r="D100" i="7" s="1"/>
  <c r="D101" i="7"/>
  <c r="D99" i="7"/>
  <c r="D96" i="7"/>
  <c r="D93" i="7"/>
  <c r="D92" i="7"/>
  <c r="D91" i="7"/>
  <c r="D90" i="7"/>
  <c r="D89" i="7"/>
  <c r="D79" i="7"/>
  <c r="D78" i="7"/>
  <c r="D73" i="7"/>
  <c r="D69" i="7"/>
  <c r="D68" i="7"/>
  <c r="D67" i="7"/>
  <c r="D66" i="7"/>
  <c r="D65" i="7"/>
  <c r="D64" i="7"/>
  <c r="D62" i="7"/>
  <c r="D61" i="7"/>
  <c r="D60" i="7"/>
  <c r="D59" i="7"/>
  <c r="D58" i="7"/>
  <c r="D56" i="7"/>
  <c r="D55" i="7"/>
  <c r="D53" i="7"/>
  <c r="D43" i="7"/>
  <c r="D42" i="7"/>
  <c r="D39" i="7"/>
  <c r="D38" i="7"/>
  <c r="D37" i="7"/>
  <c r="D36" i="7"/>
  <c r="D33" i="7"/>
  <c r="D29" i="7"/>
  <c r="D28" i="7"/>
  <c r="D27" i="7"/>
  <c r="D25" i="7"/>
  <c r="D24" i="7"/>
  <c r="D23" i="7"/>
  <c r="D22" i="7"/>
  <c r="D20" i="7"/>
  <c r="D19" i="7"/>
  <c r="D18" i="7"/>
  <c r="D17" i="7"/>
  <c r="D15" i="7"/>
  <c r="D14" i="7"/>
  <c r="D12" i="7"/>
  <c r="D11" i="7"/>
  <c r="D9" i="7"/>
  <c r="D8" i="7"/>
  <c r="D7" i="7"/>
  <c r="D6" i="7"/>
  <c r="D5" i="7"/>
  <c r="H4" i="7"/>
  <c r="G4" i="7"/>
  <c r="H77" i="6"/>
  <c r="D103" i="6"/>
  <c r="H103" i="6" s="1"/>
  <c r="D102" i="6"/>
  <c r="G102" i="6" s="1"/>
  <c r="D101" i="6"/>
  <c r="H101" i="6" s="1"/>
  <c r="D100" i="6"/>
  <c r="H100" i="6" s="1"/>
  <c r="D72" i="6"/>
  <c r="H72" i="6" s="1"/>
  <c r="H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H62" i="6"/>
  <c r="G62" i="6"/>
  <c r="H61" i="6"/>
  <c r="G61" i="6"/>
  <c r="D60" i="6"/>
  <c r="H60" i="6" s="1"/>
  <c r="H59" i="6"/>
  <c r="G59" i="6"/>
  <c r="D58" i="6"/>
  <c r="H58" i="6" s="1"/>
  <c r="H57" i="6"/>
  <c r="G57" i="6"/>
  <c r="H56" i="6"/>
  <c r="G56" i="6"/>
  <c r="H55" i="6"/>
  <c r="G55" i="6"/>
  <c r="H54" i="6"/>
  <c r="G54" i="6"/>
  <c r="H53" i="6"/>
  <c r="G53" i="6"/>
  <c r="H52" i="6"/>
  <c r="G52" i="6"/>
  <c r="H51" i="6"/>
  <c r="I51" i="6" s="1"/>
  <c r="H50" i="6"/>
  <c r="G50" i="6"/>
  <c r="H49" i="6"/>
  <c r="G49" i="6"/>
  <c r="H48" i="6"/>
  <c r="G48" i="6"/>
  <c r="H47" i="6"/>
  <c r="G47" i="6"/>
  <c r="H46" i="6"/>
  <c r="G46" i="6"/>
  <c r="D44" i="6"/>
  <c r="H44" i="6" s="1"/>
  <c r="D43" i="6"/>
  <c r="H43" i="6" s="1"/>
  <c r="D42" i="6"/>
  <c r="H42" i="6" s="1"/>
  <c r="D41" i="6"/>
  <c r="H41" i="6" s="1"/>
  <c r="D40" i="6"/>
  <c r="H40" i="6" s="1"/>
  <c r="D39" i="6"/>
  <c r="H39" i="6" s="1"/>
  <c r="D38" i="6"/>
  <c r="H38" i="6" s="1"/>
  <c r="D37" i="6"/>
  <c r="H37" i="6" s="1"/>
  <c r="D36" i="6"/>
  <c r="H36" i="6" s="1"/>
  <c r="D35" i="6"/>
  <c r="H35" i="6" s="1"/>
  <c r="D34" i="6"/>
  <c r="H34" i="6" s="1"/>
  <c r="D33" i="6"/>
  <c r="H33" i="6" s="1"/>
  <c r="D32" i="6"/>
  <c r="H32" i="6" s="1"/>
  <c r="D31" i="6"/>
  <c r="H31" i="6" s="1"/>
  <c r="D30" i="6"/>
  <c r="H30" i="6" s="1"/>
  <c r="D29" i="6"/>
  <c r="H29" i="6" s="1"/>
  <c r="D28" i="6"/>
  <c r="H28" i="6" s="1"/>
  <c r="D27" i="6"/>
  <c r="H27" i="6" s="1"/>
  <c r="D26" i="6"/>
  <c r="H26" i="6" s="1"/>
  <c r="D25" i="6"/>
  <c r="H25" i="6" s="1"/>
  <c r="D24" i="6"/>
  <c r="H24" i="6" s="1"/>
  <c r="H23" i="6"/>
  <c r="G23" i="6"/>
  <c r="D22" i="6"/>
  <c r="H22" i="6" s="1"/>
  <c r="D21" i="6"/>
  <c r="H21" i="6" s="1"/>
  <c r="D20" i="6"/>
  <c r="H20" i="6" s="1"/>
  <c r="D19" i="6"/>
  <c r="H19" i="6" s="1"/>
  <c r="D18" i="6"/>
  <c r="H18" i="6" s="1"/>
  <c r="D17" i="6"/>
  <c r="H17" i="6" s="1"/>
  <c r="D16" i="6"/>
  <c r="H16" i="6" s="1"/>
  <c r="D15" i="6"/>
  <c r="H15" i="6" s="1"/>
  <c r="D14" i="6"/>
  <c r="H14" i="6" s="1"/>
  <c r="D13" i="6"/>
  <c r="H13" i="6" s="1"/>
  <c r="D12" i="6"/>
  <c r="H12" i="6" s="1"/>
  <c r="D11" i="6"/>
  <c r="H11" i="6" s="1"/>
  <c r="D10" i="6"/>
  <c r="H10" i="6" s="1"/>
  <c r="D9" i="6"/>
  <c r="H9" i="6" s="1"/>
  <c r="D8" i="6"/>
  <c r="H8" i="6" s="1"/>
  <c r="D7" i="6"/>
  <c r="H7" i="6" s="1"/>
  <c r="D6" i="6"/>
  <c r="H6" i="6" s="1"/>
  <c r="D262" i="4"/>
  <c r="H262" i="4" s="1"/>
  <c r="D260" i="4"/>
  <c r="H260" i="4" s="1"/>
  <c r="D259" i="4"/>
  <c r="D257" i="4"/>
  <c r="H257" i="4" s="1"/>
  <c r="D256" i="4"/>
  <c r="G256" i="4" s="1"/>
  <c r="H255" i="4"/>
  <c r="G255" i="4"/>
  <c r="D253" i="4"/>
  <c r="H253" i="4" s="1"/>
  <c r="D252" i="4"/>
  <c r="G252" i="4" s="1"/>
  <c r="D250" i="4"/>
  <c r="H250" i="4" s="1"/>
  <c r="H249" i="4"/>
  <c r="G249" i="4"/>
  <c r="H248" i="4"/>
  <c r="G248" i="4"/>
  <c r="D247" i="4"/>
  <c r="H247" i="4" s="1"/>
  <c r="D246" i="4"/>
  <c r="H246" i="4" s="1"/>
  <c r="D244" i="4"/>
  <c r="H244" i="4" s="1"/>
  <c r="D243" i="4"/>
  <c r="G243" i="4" s="1"/>
  <c r="D241" i="4"/>
  <c r="H241" i="4" s="1"/>
  <c r="D240" i="4"/>
  <c r="H240" i="4" s="1"/>
  <c r="H239" i="4"/>
  <c r="G239" i="4"/>
  <c r="D237" i="4"/>
  <c r="G237" i="4" s="1"/>
  <c r="D236" i="4"/>
  <c r="H236" i="4" s="1"/>
  <c r="D234" i="4"/>
  <c r="H234" i="4" s="1"/>
  <c r="H233" i="4"/>
  <c r="G233" i="4"/>
  <c r="H232" i="4"/>
  <c r="G232" i="4"/>
  <c r="H230" i="4"/>
  <c r="G230" i="4"/>
  <c r="H229" i="4"/>
  <c r="G229" i="4"/>
  <c r="D228" i="4"/>
  <c r="H228" i="4" s="1"/>
  <c r="D227" i="4"/>
  <c r="H227" i="4" s="1"/>
  <c r="D226" i="4"/>
  <c r="H226" i="4" s="1"/>
  <c r="D224" i="4"/>
  <c r="H224" i="4" s="1"/>
  <c r="D223" i="4"/>
  <c r="H223" i="4" s="1"/>
  <c r="D222" i="4"/>
  <c r="H222" i="4" s="1"/>
  <c r="D221" i="4"/>
  <c r="H221" i="4" s="1"/>
  <c r="D220" i="4"/>
  <c r="H220" i="4" s="1"/>
  <c r="D219" i="4"/>
  <c r="H219" i="4" s="1"/>
  <c r="H218" i="4"/>
  <c r="G218" i="4"/>
  <c r="D217" i="4"/>
  <c r="H217" i="4" s="1"/>
  <c r="D216" i="4"/>
  <c r="H216" i="4" s="1"/>
  <c r="D215" i="4"/>
  <c r="G215" i="4" s="1"/>
  <c r="D214" i="4"/>
  <c r="H214" i="4" s="1"/>
  <c r="H213" i="4"/>
  <c r="G213" i="4"/>
  <c r="D211" i="4"/>
  <c r="D212" i="4" s="1"/>
  <c r="D209" i="4"/>
  <c r="G209" i="4" s="1"/>
  <c r="D208" i="4"/>
  <c r="G208" i="4" s="1"/>
  <c r="D207" i="4"/>
  <c r="D206" i="4"/>
  <c r="G206" i="4" s="1"/>
  <c r="D204" i="4"/>
  <c r="H204" i="4" s="1"/>
  <c r="D203" i="4"/>
  <c r="H203" i="4" s="1"/>
  <c r="D202" i="4"/>
  <c r="G202" i="4" s="1"/>
  <c r="D200" i="4"/>
  <c r="H200" i="4" s="1"/>
  <c r="D199" i="4"/>
  <c r="G199" i="4" s="1"/>
  <c r="D198" i="4"/>
  <c r="D197" i="4"/>
  <c r="H197" i="4" s="1"/>
  <c r="D195" i="4"/>
  <c r="H195" i="4" s="1"/>
  <c r="D194" i="4"/>
  <c r="G194" i="4" s="1"/>
  <c r="D193" i="4"/>
  <c r="G193" i="4" s="1"/>
  <c r="D191" i="4"/>
  <c r="H191" i="4" s="1"/>
  <c r="D190" i="4"/>
  <c r="G190" i="4" s="1"/>
  <c r="D189" i="4"/>
  <c r="D188" i="4"/>
  <c r="G188" i="4" s="1"/>
  <c r="D186" i="4"/>
  <c r="H186" i="4" s="1"/>
  <c r="D185" i="4"/>
  <c r="H185" i="4" s="1"/>
  <c r="D184" i="4"/>
  <c r="G184" i="4" s="1"/>
  <c r="D183" i="4"/>
  <c r="H183" i="4" s="1"/>
  <c r="D182" i="4"/>
  <c r="H182" i="4" s="1"/>
  <c r="D181" i="4"/>
  <c r="G181" i="4" s="1"/>
  <c r="H180" i="4"/>
  <c r="G180" i="4"/>
  <c r="D179" i="4"/>
  <c r="H179" i="4" s="1"/>
  <c r="D178" i="4"/>
  <c r="H178" i="4" s="1"/>
  <c r="D177" i="4"/>
  <c r="G177" i="4" s="1"/>
  <c r="H176" i="4"/>
  <c r="G176" i="4"/>
  <c r="D175" i="4"/>
  <c r="H175" i="4" s="1"/>
  <c r="D174" i="4"/>
  <c r="H174" i="4" s="1"/>
  <c r="D173" i="4"/>
  <c r="G173" i="4" s="1"/>
  <c r="H172" i="4"/>
  <c r="G172" i="4"/>
  <c r="D171" i="4"/>
  <c r="H171" i="4" s="1"/>
  <c r="D170" i="4"/>
  <c r="H170" i="4" s="1"/>
  <c r="D169" i="4"/>
  <c r="G169" i="4" s="1"/>
  <c r="D168" i="4"/>
  <c r="H168" i="4" s="1"/>
  <c r="D167" i="4"/>
  <c r="H167" i="4" s="1"/>
  <c r="H166" i="4"/>
  <c r="I166" i="4" s="1"/>
  <c r="G166" i="4"/>
  <c r="D165" i="4"/>
  <c r="H165" i="4" s="1"/>
  <c r="H164" i="4"/>
  <c r="G164" i="4"/>
  <c r="D163" i="4"/>
  <c r="H163" i="4" s="1"/>
  <c r="D162" i="4"/>
  <c r="H162" i="4" s="1"/>
  <c r="H161" i="4"/>
  <c r="G161" i="4"/>
  <c r="D160" i="4"/>
  <c r="G160" i="4" s="1"/>
  <c r="D159" i="4"/>
  <c r="H159" i="4" s="1"/>
  <c r="D158" i="4"/>
  <c r="G158" i="4" s="1"/>
  <c r="D157" i="4"/>
  <c r="H157" i="4" s="1"/>
  <c r="D156" i="4"/>
  <c r="H156" i="4" s="1"/>
  <c r="H155" i="4"/>
  <c r="G155" i="4"/>
  <c r="D154" i="4"/>
  <c r="H154" i="4" s="1"/>
  <c r="D153" i="4"/>
  <c r="H153" i="4" s="1"/>
  <c r="D152" i="4"/>
  <c r="H152" i="4" s="1"/>
  <c r="D150" i="4"/>
  <c r="H150" i="4" s="1"/>
  <c r="D149" i="4"/>
  <c r="H149" i="4" s="1"/>
  <c r="D148" i="4"/>
  <c r="H148" i="4" s="1"/>
  <c r="D147" i="4"/>
  <c r="G147" i="4" s="1"/>
  <c r="D146" i="4"/>
  <c r="H146" i="4" s="1"/>
  <c r="H145" i="4"/>
  <c r="G145" i="4"/>
  <c r="D143" i="4"/>
  <c r="H143" i="4" s="1"/>
  <c r="D142" i="4"/>
  <c r="H142" i="4" s="1"/>
  <c r="D141" i="4"/>
  <c r="H141" i="4" s="1"/>
  <c r="D140" i="4"/>
  <c r="H140" i="4" s="1"/>
  <c r="D139" i="4"/>
  <c r="H139" i="4" s="1"/>
  <c r="D138" i="4"/>
  <c r="H138" i="4" s="1"/>
  <c r="H137" i="4"/>
  <c r="G137" i="4"/>
  <c r="D135" i="4"/>
  <c r="D136" i="4" s="1"/>
  <c r="D134" i="4"/>
  <c r="H134" i="4" s="1"/>
  <c r="D132" i="4"/>
  <c r="H132" i="4" s="1"/>
  <c r="D131" i="4"/>
  <c r="H131" i="4" s="1"/>
  <c r="D130" i="4"/>
  <c r="G130" i="4" s="1"/>
  <c r="D129" i="4"/>
  <c r="H129" i="4" s="1"/>
  <c r="D128" i="4"/>
  <c r="H128" i="4" s="1"/>
  <c r="D127" i="4"/>
  <c r="G127" i="4" s="1"/>
  <c r="D125" i="4"/>
  <c r="H125" i="4" s="1"/>
  <c r="D124" i="4"/>
  <c r="H124" i="4" s="1"/>
  <c r="D123" i="4"/>
  <c r="H123" i="4" s="1"/>
  <c r="D122" i="4"/>
  <c r="H122" i="4" s="1"/>
  <c r="D120" i="4"/>
  <c r="H120" i="4" s="1"/>
  <c r="D119" i="4"/>
  <c r="H119" i="4" s="1"/>
  <c r="D118" i="4"/>
  <c r="H118" i="4" s="1"/>
  <c r="D117" i="4"/>
  <c r="H117" i="4" s="1"/>
  <c r="D116" i="4"/>
  <c r="H116" i="4" s="1"/>
  <c r="D115" i="4"/>
  <c r="H115" i="4" s="1"/>
  <c r="D113" i="4"/>
  <c r="H113" i="4" s="1"/>
  <c r="D112" i="4"/>
  <c r="H112" i="4" s="1"/>
  <c r="D111" i="4"/>
  <c r="H111" i="4" s="1"/>
  <c r="D110" i="4"/>
  <c r="H110" i="4" s="1"/>
  <c r="H108" i="4"/>
  <c r="G108" i="4"/>
  <c r="I108" i="4" s="1"/>
  <c r="D106" i="4"/>
  <c r="G106" i="4" s="1"/>
  <c r="D105" i="4"/>
  <c r="H105" i="4" s="1"/>
  <c r="D103" i="4"/>
  <c r="G103" i="4" s="1"/>
  <c r="D102" i="4"/>
  <c r="H102" i="4" s="1"/>
  <c r="D101" i="4"/>
  <c r="G101" i="4" s="1"/>
  <c r="H100" i="4"/>
  <c r="G100" i="4"/>
  <c r="D99" i="4"/>
  <c r="G99" i="4" s="1"/>
  <c r="D98" i="4"/>
  <c r="H98" i="4" s="1"/>
  <c r="D97" i="4"/>
  <c r="H97" i="4" s="1"/>
  <c r="D96" i="4"/>
  <c r="H96" i="4" s="1"/>
  <c r="H95" i="4"/>
  <c r="G95" i="4"/>
  <c r="D94" i="4"/>
  <c r="H94" i="4" s="1"/>
  <c r="H93" i="4"/>
  <c r="G93" i="4"/>
  <c r="D92" i="4"/>
  <c r="H92" i="4" s="1"/>
  <c r="D91" i="4"/>
  <c r="H91" i="4" s="1"/>
  <c r="H90" i="4"/>
  <c r="G90" i="4"/>
  <c r="H89" i="4"/>
  <c r="G89" i="4"/>
  <c r="H88" i="4"/>
  <c r="G88" i="4"/>
  <c r="H87" i="4"/>
  <c r="G87" i="4"/>
  <c r="D85" i="4"/>
  <c r="H85" i="4" s="1"/>
  <c r="D84" i="4"/>
  <c r="G84" i="4" s="1"/>
  <c r="D83" i="4"/>
  <c r="H83" i="4" s="1"/>
  <c r="D82" i="4"/>
  <c r="H82" i="4" s="1"/>
  <c r="D81" i="4"/>
  <c r="G81" i="4" s="1"/>
  <c r="H80" i="4"/>
  <c r="G80" i="4"/>
  <c r="D78" i="4"/>
  <c r="G78" i="4" s="1"/>
  <c r="D77" i="4"/>
  <c r="H77" i="4" s="1"/>
  <c r="D76" i="4"/>
  <c r="H76" i="4" s="1"/>
  <c r="D75" i="4"/>
  <c r="G75" i="4" s="1"/>
  <c r="H74" i="4"/>
  <c r="G74" i="4"/>
  <c r="D73" i="4"/>
  <c r="G73" i="4" s="1"/>
  <c r="D72" i="4"/>
  <c r="H72" i="4" s="1"/>
  <c r="D70" i="4"/>
  <c r="H70" i="4" s="1"/>
  <c r="D69" i="4"/>
  <c r="H69" i="4" s="1"/>
  <c r="D68" i="4"/>
  <c r="H68" i="4" s="1"/>
  <c r="D67" i="4"/>
  <c r="G67" i="4" s="1"/>
  <c r="D65" i="4"/>
  <c r="H65" i="4" s="1"/>
  <c r="H64" i="4"/>
  <c r="G64" i="4"/>
  <c r="D62" i="4"/>
  <c r="H62" i="4" s="1"/>
  <c r="D61" i="4"/>
  <c r="H61" i="4" s="1"/>
  <c r="D60" i="4"/>
  <c r="G60" i="4" s="1"/>
  <c r="D59" i="4"/>
  <c r="H59" i="4" s="1"/>
  <c r="D58" i="4"/>
  <c r="H58" i="4" s="1"/>
  <c r="D57" i="4"/>
  <c r="H57" i="4" s="1"/>
  <c r="D56" i="4"/>
  <c r="G56" i="4" s="1"/>
  <c r="D54" i="4"/>
  <c r="G54" i="4" s="1"/>
  <c r="H53" i="4"/>
  <c r="G53" i="4"/>
  <c r="D51" i="4"/>
  <c r="H51" i="4" s="1"/>
  <c r="D50" i="4"/>
  <c r="G50" i="4" s="1"/>
  <c r="D49" i="4"/>
  <c r="H49" i="4" s="1"/>
  <c r="D48" i="4"/>
  <c r="H48" i="4" s="1"/>
  <c r="D47" i="4"/>
  <c r="H47" i="4" s="1"/>
  <c r="D46" i="4"/>
  <c r="H46" i="4" s="1"/>
  <c r="D45" i="4"/>
  <c r="H45" i="4" s="1"/>
  <c r="D43" i="4"/>
  <c r="H43" i="4" s="1"/>
  <c r="D42" i="4"/>
  <c r="H41" i="4"/>
  <c r="G41" i="4"/>
  <c r="D39" i="4"/>
  <c r="D40" i="4" s="1"/>
  <c r="D37" i="4"/>
  <c r="G37" i="4" s="1"/>
  <c r="D36" i="4"/>
  <c r="G36" i="4" s="1"/>
  <c r="D35" i="4"/>
  <c r="D34" i="4"/>
  <c r="H34" i="4" s="1"/>
  <c r="H32" i="4"/>
  <c r="G32" i="4"/>
  <c r="D31" i="4"/>
  <c r="H31" i="4" s="1"/>
  <c r="H30" i="4"/>
  <c r="G30" i="4"/>
  <c r="H29" i="4"/>
  <c r="G29" i="4"/>
  <c r="H28" i="4"/>
  <c r="G28" i="4"/>
  <c r="H27" i="4"/>
  <c r="G27" i="4"/>
  <c r="D26" i="4"/>
  <c r="H26" i="4" s="1"/>
  <c r="H25" i="4"/>
  <c r="G25" i="4"/>
  <c r="D24" i="4"/>
  <c r="G24" i="4" s="1"/>
  <c r="H23" i="4"/>
  <c r="G23" i="4"/>
  <c r="H22" i="4"/>
  <c r="G22" i="4"/>
  <c r="D20" i="4"/>
  <c r="H20" i="4" s="1"/>
  <c r="D19" i="4"/>
  <c r="G19" i="4" s="1"/>
  <c r="D18" i="4"/>
  <c r="G18" i="4" s="1"/>
  <c r="D17" i="4"/>
  <c r="H17" i="4" s="1"/>
  <c r="D16" i="4"/>
  <c r="G16" i="4" s="1"/>
  <c r="D15" i="4"/>
  <c r="G15" i="4" s="1"/>
  <c r="H14" i="4"/>
  <c r="G14" i="4"/>
  <c r="H13" i="4"/>
  <c r="D12" i="4"/>
  <c r="H12" i="4" s="1"/>
  <c r="D11" i="4"/>
  <c r="G11" i="4" s="1"/>
  <c r="H9" i="4"/>
  <c r="G9" i="4"/>
  <c r="D8" i="4"/>
  <c r="H8" i="4" s="1"/>
  <c r="H7" i="4"/>
  <c r="G7" i="4"/>
  <c r="D6" i="4"/>
  <c r="H6" i="4" s="1"/>
  <c r="H5" i="4"/>
  <c r="G5" i="4"/>
  <c r="G9" i="3"/>
  <c r="G8" i="3"/>
  <c r="I8" i="3" s="1"/>
  <c r="D7" i="3"/>
  <c r="D4" i="3" s="1"/>
  <c r="D6" i="3"/>
  <c r="G6" i="3" s="1"/>
  <c r="I95" i="4" l="1"/>
  <c r="I22" i="4"/>
  <c r="I41" i="4"/>
  <c r="H109" i="8"/>
  <c r="E26" i="1" s="1"/>
  <c r="G26" i="1" s="1"/>
  <c r="G116" i="7"/>
  <c r="H116" i="7"/>
  <c r="D10" i="7"/>
  <c r="H9" i="7"/>
  <c r="G9" i="7"/>
  <c r="I9" i="7" s="1"/>
  <c r="G25" i="7"/>
  <c r="H25" i="7"/>
  <c r="G55" i="7"/>
  <c r="H55" i="7"/>
  <c r="H69" i="7"/>
  <c r="G69" i="7"/>
  <c r="I69" i="7" s="1"/>
  <c r="G101" i="7"/>
  <c r="I101" i="7" s="1"/>
  <c r="H101" i="7"/>
  <c r="G122" i="7"/>
  <c r="H122" i="7"/>
  <c r="G67" i="7"/>
  <c r="H67" i="7"/>
  <c r="G24" i="7"/>
  <c r="H24" i="7"/>
  <c r="G11" i="7"/>
  <c r="H11" i="7"/>
  <c r="H27" i="7"/>
  <c r="G27" i="7"/>
  <c r="I27" i="7" s="1"/>
  <c r="G56" i="7"/>
  <c r="I56" i="7" s="1"/>
  <c r="H56" i="7"/>
  <c r="D75" i="7"/>
  <c r="D74" i="7"/>
  <c r="G73" i="7"/>
  <c r="H73" i="7"/>
  <c r="G102" i="7"/>
  <c r="H102" i="7"/>
  <c r="G123" i="7"/>
  <c r="H123" i="7"/>
  <c r="D49" i="7"/>
  <c r="D3" i="7"/>
  <c r="G43" i="7"/>
  <c r="I43" i="7" s="1"/>
  <c r="H43" i="7"/>
  <c r="H8" i="7"/>
  <c r="G8" i="7"/>
  <c r="G12" i="7"/>
  <c r="H12" i="7"/>
  <c r="G28" i="7"/>
  <c r="H28" i="7"/>
  <c r="G58" i="7"/>
  <c r="I58" i="7" s="1"/>
  <c r="H58" i="7"/>
  <c r="H78" i="7"/>
  <c r="D76" i="7"/>
  <c r="G78" i="7"/>
  <c r="G103" i="7"/>
  <c r="H103" i="7"/>
  <c r="H124" i="7"/>
  <c r="G124" i="7"/>
  <c r="D54" i="7"/>
  <c r="G53" i="7"/>
  <c r="H53" i="7"/>
  <c r="G14" i="7"/>
  <c r="I14" i="7" s="1"/>
  <c r="H14" i="7"/>
  <c r="G29" i="7"/>
  <c r="H29" i="7"/>
  <c r="G59" i="7"/>
  <c r="I59" i="7" s="1"/>
  <c r="H59" i="7"/>
  <c r="G79" i="7"/>
  <c r="H79" i="7"/>
  <c r="G104" i="7"/>
  <c r="H104" i="7"/>
  <c r="G125" i="7"/>
  <c r="H125" i="7"/>
  <c r="D107" i="7"/>
  <c r="H100" i="7"/>
  <c r="G100" i="7"/>
  <c r="I100" i="7" s="1"/>
  <c r="D16" i="7"/>
  <c r="H15" i="7"/>
  <c r="G15" i="7"/>
  <c r="H33" i="7"/>
  <c r="G33" i="7"/>
  <c r="G60" i="7"/>
  <c r="H60" i="7"/>
  <c r="G89" i="7"/>
  <c r="H89" i="7"/>
  <c r="G105" i="7"/>
  <c r="I105" i="7" s="1"/>
  <c r="H105" i="7"/>
  <c r="G126" i="7"/>
  <c r="H126" i="7"/>
  <c r="G17" i="7"/>
  <c r="I17" i="7" s="1"/>
  <c r="H17" i="7"/>
  <c r="G36" i="7"/>
  <c r="H36" i="7"/>
  <c r="G61" i="7"/>
  <c r="H61" i="7"/>
  <c r="G90" i="7"/>
  <c r="H90" i="7"/>
  <c r="H111" i="7"/>
  <c r="G111" i="7"/>
  <c r="G127" i="7"/>
  <c r="H127" i="7"/>
  <c r="G23" i="7"/>
  <c r="I23" i="7" s="1"/>
  <c r="H23" i="7"/>
  <c r="G18" i="7"/>
  <c r="H18" i="7"/>
  <c r="G37" i="7"/>
  <c r="H37" i="7"/>
  <c r="H62" i="7"/>
  <c r="G62" i="7"/>
  <c r="G91" i="7"/>
  <c r="H91" i="7"/>
  <c r="H112" i="7"/>
  <c r="G112" i="7"/>
  <c r="I112" i="7" s="1"/>
  <c r="H99" i="7"/>
  <c r="G99" i="7"/>
  <c r="G19" i="7"/>
  <c r="H19" i="7"/>
  <c r="G38" i="7"/>
  <c r="H38" i="7"/>
  <c r="G64" i="7"/>
  <c r="H64" i="7"/>
  <c r="G92" i="7"/>
  <c r="H92" i="7"/>
  <c r="G113" i="7"/>
  <c r="H113" i="7"/>
  <c r="G121" i="7"/>
  <c r="H121" i="7"/>
  <c r="G5" i="7"/>
  <c r="H5" i="7"/>
  <c r="G20" i="7"/>
  <c r="H20" i="7"/>
  <c r="H39" i="7"/>
  <c r="G39" i="7"/>
  <c r="G65" i="7"/>
  <c r="H65" i="7"/>
  <c r="H93" i="7"/>
  <c r="G93" i="7"/>
  <c r="G114" i="7"/>
  <c r="H114" i="7"/>
  <c r="G7" i="7"/>
  <c r="H7" i="7"/>
  <c r="G68" i="7"/>
  <c r="H68" i="7"/>
  <c r="G6" i="7"/>
  <c r="H6" i="7"/>
  <c r="G22" i="7"/>
  <c r="H22" i="7"/>
  <c r="G42" i="7"/>
  <c r="H42" i="7"/>
  <c r="G66" i="7"/>
  <c r="H66" i="7"/>
  <c r="G96" i="7"/>
  <c r="H96" i="7"/>
  <c r="G115" i="7"/>
  <c r="H115" i="7"/>
  <c r="I64" i="6"/>
  <c r="I70" i="6"/>
  <c r="I66" i="6"/>
  <c r="I49" i="6"/>
  <c r="I65" i="6"/>
  <c r="I55" i="6"/>
  <c r="I62" i="6"/>
  <c r="G29" i="6"/>
  <c r="I29" i="6" s="1"/>
  <c r="G35" i="6"/>
  <c r="I35" i="6" s="1"/>
  <c r="I69" i="6"/>
  <c r="G100" i="6"/>
  <c r="I100" i="6" s="1"/>
  <c r="I61" i="6"/>
  <c r="I67" i="6"/>
  <c r="I23" i="6"/>
  <c r="I68" i="6"/>
  <c r="I54" i="6"/>
  <c r="G41" i="6"/>
  <c r="I41" i="6" s="1"/>
  <c r="I57" i="6"/>
  <c r="I53" i="6"/>
  <c r="G58" i="6"/>
  <c r="I58" i="6" s="1"/>
  <c r="G31" i="6"/>
  <c r="I31" i="6" s="1"/>
  <c r="G37" i="6"/>
  <c r="I37" i="6" s="1"/>
  <c r="G43" i="6"/>
  <c r="I43" i="6" s="1"/>
  <c r="I48" i="6"/>
  <c r="G101" i="6"/>
  <c r="I101" i="6" s="1"/>
  <c r="I47" i="6"/>
  <c r="G26" i="6"/>
  <c r="I26" i="6" s="1"/>
  <c r="G32" i="6"/>
  <c r="I32" i="6" s="1"/>
  <c r="G38" i="6"/>
  <c r="I38" i="6" s="1"/>
  <c r="G44" i="6"/>
  <c r="I44" i="6" s="1"/>
  <c r="I59" i="6"/>
  <c r="H102" i="6"/>
  <c r="I102" i="6" s="1"/>
  <c r="I50" i="6"/>
  <c r="G103" i="6"/>
  <c r="I103" i="6" s="1"/>
  <c r="G28" i="6"/>
  <c r="I28" i="6" s="1"/>
  <c r="G34" i="6"/>
  <c r="I34" i="6" s="1"/>
  <c r="G40" i="6"/>
  <c r="I40" i="6" s="1"/>
  <c r="I56" i="6"/>
  <c r="D104" i="6"/>
  <c r="I46" i="6"/>
  <c r="I52" i="6"/>
  <c r="I63" i="6"/>
  <c r="I4" i="7"/>
  <c r="D26" i="7"/>
  <c r="D119" i="7"/>
  <c r="D44" i="7"/>
  <c r="D120" i="7"/>
  <c r="D45" i="7"/>
  <c r="D47" i="7"/>
  <c r="D48" i="7"/>
  <c r="D30" i="7"/>
  <c r="D50" i="7"/>
  <c r="D51" i="7"/>
  <c r="I89" i="4"/>
  <c r="H169" i="4"/>
  <c r="I169" i="4" s="1"/>
  <c r="H54" i="4"/>
  <c r="G13" i="4"/>
  <c r="I74" i="4"/>
  <c r="G105" i="4"/>
  <c r="I105" i="4" s="1"/>
  <c r="H56" i="4"/>
  <c r="I56" i="4" s="1"/>
  <c r="H184" i="4"/>
  <c r="I184" i="4" s="1"/>
  <c r="I249" i="4"/>
  <c r="H99" i="4"/>
  <c r="I99" i="4" s="1"/>
  <c r="H11" i="4"/>
  <c r="H158" i="4"/>
  <c r="I158" i="4" s="1"/>
  <c r="I23" i="4"/>
  <c r="G62" i="4"/>
  <c r="H130" i="4"/>
  <c r="I14" i="4"/>
  <c r="I80" i="4"/>
  <c r="I27" i="4"/>
  <c r="G34" i="4"/>
  <c r="I34" i="4" s="1"/>
  <c r="G47" i="4"/>
  <c r="I47" i="4" s="1"/>
  <c r="G68" i="4"/>
  <c r="I68" i="4" s="1"/>
  <c r="I218" i="4"/>
  <c r="G20" i="4"/>
  <c r="I20" i="4" s="1"/>
  <c r="G152" i="4"/>
  <c r="I152" i="4" s="1"/>
  <c r="G197" i="4"/>
  <c r="I197" i="4" s="1"/>
  <c r="H206" i="4"/>
  <c r="I206" i="4" s="1"/>
  <c r="G162" i="4"/>
  <c r="I162" i="4" s="1"/>
  <c r="H190" i="4"/>
  <c r="I190" i="4" s="1"/>
  <c r="H60" i="4"/>
  <c r="I60" i="4" s="1"/>
  <c r="H106" i="4"/>
  <c r="I106" i="4" s="1"/>
  <c r="I180" i="4"/>
  <c r="I7" i="4"/>
  <c r="G191" i="4"/>
  <c r="I191" i="4" s="1"/>
  <c r="G76" i="4"/>
  <c r="I76" i="4" s="1"/>
  <c r="G129" i="4"/>
  <c r="D4" i="4"/>
  <c r="G61" i="4"/>
  <c r="I164" i="4"/>
  <c r="G200" i="4"/>
  <c r="I200" i="4" s="1"/>
  <c r="H24" i="4"/>
  <c r="G168" i="4"/>
  <c r="I168" i="4" s="1"/>
  <c r="H16" i="4"/>
  <c r="I16" i="4" s="1"/>
  <c r="I100" i="4"/>
  <c r="H147" i="4"/>
  <c r="I147" i="4" s="1"/>
  <c r="H193" i="4"/>
  <c r="I193" i="4" s="1"/>
  <c r="H84" i="4"/>
  <c r="I84" i="4" s="1"/>
  <c r="H194" i="4"/>
  <c r="I25" i="4"/>
  <c r="I145" i="4"/>
  <c r="G153" i="4"/>
  <c r="I153" i="4" s="1"/>
  <c r="I213" i="4"/>
  <c r="H243" i="4"/>
  <c r="I243" i="4" s="1"/>
  <c r="I50" i="4"/>
  <c r="H19" i="4"/>
  <c r="I19" i="4" s="1"/>
  <c r="G26" i="4"/>
  <c r="I26" i="4" s="1"/>
  <c r="G31" i="4"/>
  <c r="I31" i="4" s="1"/>
  <c r="H50" i="4"/>
  <c r="I90" i="4"/>
  <c r="H127" i="4"/>
  <c r="I127" i="4" s="1"/>
  <c r="G179" i="4"/>
  <c r="I179" i="4" s="1"/>
  <c r="H188" i="4"/>
  <c r="I188" i="4" s="1"/>
  <c r="I233" i="4"/>
  <c r="I9" i="4"/>
  <c r="G59" i="4"/>
  <c r="I59" i="4" s="1"/>
  <c r="H67" i="4"/>
  <c r="I67" i="4" s="1"/>
  <c r="G246" i="4"/>
  <c r="I246" i="4" s="1"/>
  <c r="I172" i="4"/>
  <c r="D44" i="4"/>
  <c r="D52" i="4" s="1"/>
  <c r="H52" i="4" s="1"/>
  <c r="G77" i="4"/>
  <c r="I77" i="4" s="1"/>
  <c r="D107" i="4"/>
  <c r="G107" i="4" s="1"/>
  <c r="G120" i="4"/>
  <c r="I120" i="4" s="1"/>
  <c r="G141" i="4"/>
  <c r="I141" i="4" s="1"/>
  <c r="G150" i="4"/>
  <c r="I150" i="4" s="1"/>
  <c r="H199" i="4"/>
  <c r="D55" i="4"/>
  <c r="H55" i="4" s="1"/>
  <c r="I176" i="4"/>
  <c r="H209" i="4"/>
  <c r="I209" i="4" s="1"/>
  <c r="I230" i="4"/>
  <c r="H73" i="4"/>
  <c r="I73" i="4" s="1"/>
  <c r="G96" i="4"/>
  <c r="I96" i="4" s="1"/>
  <c r="D104" i="4"/>
  <c r="G104" i="4" s="1"/>
  <c r="G134" i="4"/>
  <c r="I134" i="4" s="1"/>
  <c r="I161" i="4"/>
  <c r="H211" i="4"/>
  <c r="G220" i="4"/>
  <c r="I220" i="4" s="1"/>
  <c r="H252" i="4"/>
  <c r="I252" i="4" s="1"/>
  <c r="I255" i="4"/>
  <c r="H36" i="4"/>
  <c r="I36" i="4" s="1"/>
  <c r="G57" i="4"/>
  <c r="I57" i="4" s="1"/>
  <c r="G91" i="4"/>
  <c r="I91" i="4" s="1"/>
  <c r="D114" i="4"/>
  <c r="G171" i="4"/>
  <c r="I171" i="4" s="1"/>
  <c r="H177" i="4"/>
  <c r="I177" i="4" s="1"/>
  <c r="G182" i="4"/>
  <c r="I182" i="4" s="1"/>
  <c r="D187" i="4"/>
  <c r="H187" i="4" s="1"/>
  <c r="G203" i="4"/>
  <c r="I203" i="4" s="1"/>
  <c r="I239" i="4"/>
  <c r="G8" i="4"/>
  <c r="I8" i="4" s="1"/>
  <c r="I53" i="4"/>
  <c r="I62" i="4"/>
  <c r="G97" i="4"/>
  <c r="I97" i="4" s="1"/>
  <c r="G102" i="4"/>
  <c r="I102" i="4" s="1"/>
  <c r="I129" i="4"/>
  <c r="G178" i="4"/>
  <c r="I178" i="4" s="1"/>
  <c r="H37" i="4"/>
  <c r="I37" i="4" s="1"/>
  <c r="G58" i="4"/>
  <c r="I58" i="4" s="1"/>
  <c r="I64" i="4"/>
  <c r="I88" i="4"/>
  <c r="I93" i="4"/>
  <c r="G123" i="4"/>
  <c r="I123" i="4" s="1"/>
  <c r="G135" i="4"/>
  <c r="G149" i="4"/>
  <c r="I149" i="4" s="1"/>
  <c r="I155" i="4"/>
  <c r="D196" i="4"/>
  <c r="H196" i="4" s="1"/>
  <c r="G240" i="4"/>
  <c r="I240" i="4" s="1"/>
  <c r="I248" i="4"/>
  <c r="I87" i="4"/>
  <c r="I32" i="4"/>
  <c r="I54" i="4"/>
  <c r="D86" i="4"/>
  <c r="H86" i="4" s="1"/>
  <c r="I130" i="4"/>
  <c r="H135" i="4"/>
  <c r="I199" i="4"/>
  <c r="D258" i="4"/>
  <c r="H258" i="4" s="1"/>
  <c r="I11" i="4"/>
  <c r="I28" i="4"/>
  <c r="H39" i="4"/>
  <c r="G65" i="4"/>
  <c r="I65" i="4" s="1"/>
  <c r="G70" i="4"/>
  <c r="I70" i="4" s="1"/>
  <c r="H81" i="4"/>
  <c r="I81" i="4" s="1"/>
  <c r="G94" i="4"/>
  <c r="I94" i="4" s="1"/>
  <c r="H103" i="4"/>
  <c r="I103" i="4" s="1"/>
  <c r="G117" i="4"/>
  <c r="I117" i="4" s="1"/>
  <c r="I137" i="4"/>
  <c r="G163" i="4"/>
  <c r="I163" i="4" s="1"/>
  <c r="G174" i="4"/>
  <c r="I174" i="4" s="1"/>
  <c r="G185" i="4"/>
  <c r="I185" i="4" s="1"/>
  <c r="D205" i="4"/>
  <c r="H205" i="4" s="1"/>
  <c r="H215" i="4"/>
  <c r="I215" i="4" s="1"/>
  <c r="G223" i="4"/>
  <c r="I223" i="4" s="1"/>
  <c r="D242" i="4"/>
  <c r="D245" i="4" s="1"/>
  <c r="D126" i="4"/>
  <c r="D144" i="4"/>
  <c r="H144" i="4" s="1"/>
  <c r="I29" i="4"/>
  <c r="G111" i="4"/>
  <c r="I111" i="4" s="1"/>
  <c r="G132" i="4"/>
  <c r="I132" i="4" s="1"/>
  <c r="G138" i="4"/>
  <c r="I138" i="4" s="1"/>
  <c r="G146" i="4"/>
  <c r="I146" i="4" s="1"/>
  <c r="H208" i="4"/>
  <c r="I208" i="4" s="1"/>
  <c r="I24" i="4"/>
  <c r="H42" i="4"/>
  <c r="I13" i="4"/>
  <c r="I30" i="4"/>
  <c r="D33" i="4"/>
  <c r="H33" i="4" s="1"/>
  <c r="H181" i="4"/>
  <c r="I181" i="4" s="1"/>
  <c r="I194" i="4"/>
  <c r="H202" i="4"/>
  <c r="I202" i="4" s="1"/>
  <c r="G227" i="4"/>
  <c r="I227" i="4" s="1"/>
  <c r="I232" i="4"/>
  <c r="I229" i="4"/>
  <c r="G7" i="3"/>
  <c r="I7" i="3" s="1"/>
  <c r="I9" i="3"/>
  <c r="I6" i="3"/>
  <c r="H132" i="8"/>
  <c r="H133" i="8"/>
  <c r="D88" i="7"/>
  <c r="D110" i="7"/>
  <c r="D108" i="7"/>
  <c r="D46" i="7"/>
  <c r="G8" i="6"/>
  <c r="I8" i="6" s="1"/>
  <c r="G11" i="6"/>
  <c r="I11" i="6" s="1"/>
  <c r="G14" i="6"/>
  <c r="I14" i="6" s="1"/>
  <c r="G17" i="6"/>
  <c r="I17" i="6" s="1"/>
  <c r="G20" i="6"/>
  <c r="I20" i="6" s="1"/>
  <c r="G77" i="6"/>
  <c r="I77" i="6" s="1"/>
  <c r="G24" i="6"/>
  <c r="I24" i="6" s="1"/>
  <c r="G27" i="6"/>
  <c r="I27" i="6" s="1"/>
  <c r="G30" i="6"/>
  <c r="I30" i="6" s="1"/>
  <c r="G33" i="6"/>
  <c r="I33" i="6" s="1"/>
  <c r="G36" i="6"/>
  <c r="I36" i="6" s="1"/>
  <c r="G39" i="6"/>
  <c r="I39" i="6" s="1"/>
  <c r="G42" i="6"/>
  <c r="I42" i="6" s="1"/>
  <c r="G6" i="6"/>
  <c r="I6" i="6" s="1"/>
  <c r="G9" i="6"/>
  <c r="I9" i="6" s="1"/>
  <c r="G12" i="6"/>
  <c r="I12" i="6" s="1"/>
  <c r="G15" i="6"/>
  <c r="I15" i="6" s="1"/>
  <c r="G18" i="6"/>
  <c r="I18" i="6" s="1"/>
  <c r="G21" i="6"/>
  <c r="I21" i="6" s="1"/>
  <c r="G72" i="6"/>
  <c r="I72" i="6" s="1"/>
  <c r="G60" i="6"/>
  <c r="I60" i="6" s="1"/>
  <c r="G25" i="6"/>
  <c r="I25" i="6" s="1"/>
  <c r="G7" i="6"/>
  <c r="I7" i="6" s="1"/>
  <c r="G10" i="6"/>
  <c r="I10" i="6" s="1"/>
  <c r="G13" i="6"/>
  <c r="I13" i="6" s="1"/>
  <c r="G16" i="6"/>
  <c r="I16" i="6" s="1"/>
  <c r="G19" i="6"/>
  <c r="I19" i="6" s="1"/>
  <c r="G22" i="6"/>
  <c r="I22" i="6" s="1"/>
  <c r="I61" i="4"/>
  <c r="H212" i="4"/>
  <c r="G212" i="4"/>
  <c r="H136" i="4"/>
  <c r="G136" i="4"/>
  <c r="H40" i="4"/>
  <c r="G40" i="4"/>
  <c r="D66" i="4"/>
  <c r="D151" i="4"/>
  <c r="G157" i="4"/>
  <c r="I157" i="4" s="1"/>
  <c r="G219" i="4"/>
  <c r="I219" i="4" s="1"/>
  <c r="G222" i="4"/>
  <c r="I222" i="4" s="1"/>
  <c r="G226" i="4"/>
  <c r="I226" i="4" s="1"/>
  <c r="G234" i="4"/>
  <c r="I234" i="4" s="1"/>
  <c r="G262" i="4"/>
  <c r="I262" i="4" s="1"/>
  <c r="I5" i="4"/>
  <c r="G12" i="4"/>
  <c r="I12" i="4" s="1"/>
  <c r="H15" i="4"/>
  <c r="I15" i="4" s="1"/>
  <c r="H18" i="4"/>
  <c r="I18" i="4" s="1"/>
  <c r="H35" i="4"/>
  <c r="G69" i="4"/>
  <c r="I69" i="4" s="1"/>
  <c r="G72" i="4"/>
  <c r="I72" i="4" s="1"/>
  <c r="H75" i="4"/>
  <c r="I75" i="4" s="1"/>
  <c r="H78" i="4"/>
  <c r="I78" i="4" s="1"/>
  <c r="G98" i="4"/>
  <c r="I98" i="4" s="1"/>
  <c r="H101" i="4"/>
  <c r="I101" i="4" s="1"/>
  <c r="G148" i="4"/>
  <c r="I148" i="4" s="1"/>
  <c r="G154" i="4"/>
  <c r="I154" i="4" s="1"/>
  <c r="H160" i="4"/>
  <c r="I160" i="4" s="1"/>
  <c r="G167" i="4"/>
  <c r="I167" i="4" s="1"/>
  <c r="G170" i="4"/>
  <c r="I170" i="4" s="1"/>
  <c r="H173" i="4"/>
  <c r="I173" i="4" s="1"/>
  <c r="G216" i="4"/>
  <c r="I216" i="4" s="1"/>
  <c r="H237" i="4"/>
  <c r="I237" i="4" s="1"/>
  <c r="G250" i="4"/>
  <c r="I250" i="4" s="1"/>
  <c r="G253" i="4"/>
  <c r="I253" i="4" s="1"/>
  <c r="H256" i="4"/>
  <c r="I256" i="4" s="1"/>
  <c r="H259" i="4"/>
  <c r="G139" i="4"/>
  <c r="I139" i="4" s="1"/>
  <c r="G142" i="4"/>
  <c r="I142" i="4" s="1"/>
  <c r="G183" i="4"/>
  <c r="I183" i="4" s="1"/>
  <c r="G186" i="4"/>
  <c r="I186" i="4" s="1"/>
  <c r="G189" i="4"/>
  <c r="G195" i="4"/>
  <c r="I195" i="4" s="1"/>
  <c r="G198" i="4"/>
  <c r="G204" i="4"/>
  <c r="I204" i="4" s="1"/>
  <c r="G207" i="4"/>
  <c r="G35" i="4"/>
  <c r="G259" i="4"/>
  <c r="G6" i="4"/>
  <c r="I6" i="4" s="1"/>
  <c r="G42" i="4"/>
  <c r="G45" i="4"/>
  <c r="I45" i="4" s="1"/>
  <c r="G48" i="4"/>
  <c r="I48" i="4" s="1"/>
  <c r="G51" i="4"/>
  <c r="I51" i="4" s="1"/>
  <c r="D79" i="4"/>
  <c r="G82" i="4"/>
  <c r="I82" i="4" s="1"/>
  <c r="G85" i="4"/>
  <c r="I85" i="4" s="1"/>
  <c r="G92" i="4"/>
  <c r="I92" i="4" s="1"/>
  <c r="G112" i="4"/>
  <c r="I112" i="4" s="1"/>
  <c r="G115" i="4"/>
  <c r="I115" i="4" s="1"/>
  <c r="G118" i="4"/>
  <c r="I118" i="4" s="1"/>
  <c r="G124" i="4"/>
  <c r="I124" i="4" s="1"/>
  <c r="H189" i="4"/>
  <c r="H198" i="4"/>
  <c r="H207" i="4"/>
  <c r="D235" i="4"/>
  <c r="G241" i="4"/>
  <c r="I241" i="4" s="1"/>
  <c r="G244" i="4"/>
  <c r="I244" i="4" s="1"/>
  <c r="G247" i="4"/>
  <c r="I247" i="4" s="1"/>
  <c r="D10" i="4"/>
  <c r="G39" i="4"/>
  <c r="D251" i="4"/>
  <c r="G257" i="4"/>
  <c r="I257" i="4" s="1"/>
  <c r="G260" i="4"/>
  <c r="I260" i="4" s="1"/>
  <c r="G214" i="4"/>
  <c r="I214" i="4" s="1"/>
  <c r="G217" i="4"/>
  <c r="I217" i="4" s="1"/>
  <c r="G140" i="4"/>
  <c r="I140" i="4" s="1"/>
  <c r="G143" i="4"/>
  <c r="I143" i="4" s="1"/>
  <c r="G165" i="4"/>
  <c r="I165" i="4" s="1"/>
  <c r="G211" i="4"/>
  <c r="I211" i="4" s="1"/>
  <c r="G43" i="4"/>
  <c r="I43" i="4" s="1"/>
  <c r="G46" i="4"/>
  <c r="I46" i="4" s="1"/>
  <c r="G49" i="4"/>
  <c r="I49" i="4" s="1"/>
  <c r="G83" i="4"/>
  <c r="I83" i="4" s="1"/>
  <c r="G110" i="4"/>
  <c r="I110" i="4" s="1"/>
  <c r="G113" i="4"/>
  <c r="I113" i="4" s="1"/>
  <c r="G116" i="4"/>
  <c r="I116" i="4" s="1"/>
  <c r="G119" i="4"/>
  <c r="I119" i="4" s="1"/>
  <c r="G122" i="4"/>
  <c r="I122" i="4" s="1"/>
  <c r="G125" i="4"/>
  <c r="I125" i="4" s="1"/>
  <c r="G128" i="4"/>
  <c r="I128" i="4" s="1"/>
  <c r="G131" i="4"/>
  <c r="I131" i="4" s="1"/>
  <c r="G17" i="4"/>
  <c r="I17" i="4" s="1"/>
  <c r="G156" i="4"/>
  <c r="I156" i="4" s="1"/>
  <c r="G159" i="4"/>
  <c r="I159" i="4" s="1"/>
  <c r="G175" i="4"/>
  <c r="I175" i="4" s="1"/>
  <c r="G221" i="4"/>
  <c r="I221" i="4" s="1"/>
  <c r="G224" i="4"/>
  <c r="I224" i="4" s="1"/>
  <c r="G228" i="4"/>
  <c r="I228" i="4" s="1"/>
  <c r="G236" i="4"/>
  <c r="I236" i="4" s="1"/>
  <c r="I4" i="3" l="1"/>
  <c r="E3" i="1" s="1"/>
  <c r="G3" i="1" s="1"/>
  <c r="I64" i="7"/>
  <c r="I28" i="7"/>
  <c r="I6" i="7"/>
  <c r="I42" i="4"/>
  <c r="I53" i="7"/>
  <c r="I96" i="7"/>
  <c r="I90" i="7"/>
  <c r="I89" i="7"/>
  <c r="I125" i="7"/>
  <c r="I78" i="7"/>
  <c r="I42" i="7"/>
  <c r="I113" i="7"/>
  <c r="I123" i="7"/>
  <c r="I11" i="7"/>
  <c r="I55" i="7"/>
  <c r="I62" i="7"/>
  <c r="I102" i="7"/>
  <c r="I24" i="7"/>
  <c r="I25" i="7"/>
  <c r="I115" i="7"/>
  <c r="I68" i="7"/>
  <c r="I20" i="7"/>
  <c r="I38" i="7"/>
  <c r="I61" i="7"/>
  <c r="I60" i="7"/>
  <c r="I33" i="7"/>
  <c r="I8" i="7"/>
  <c r="I7" i="7"/>
  <c r="I5" i="7"/>
  <c r="I19" i="7"/>
  <c r="I18" i="7"/>
  <c r="I99" i="7"/>
  <c r="G48" i="7"/>
  <c r="H48" i="7"/>
  <c r="I22" i="7"/>
  <c r="I65" i="7"/>
  <c r="I92" i="7"/>
  <c r="I127" i="7"/>
  <c r="I126" i="7"/>
  <c r="I29" i="7"/>
  <c r="G49" i="7"/>
  <c r="H49" i="7"/>
  <c r="G50" i="7"/>
  <c r="H50" i="7"/>
  <c r="G108" i="7"/>
  <c r="H108" i="7"/>
  <c r="G47" i="7"/>
  <c r="H47" i="7"/>
  <c r="I39" i="7"/>
  <c r="I91" i="7"/>
  <c r="I111" i="7"/>
  <c r="H45" i="7"/>
  <c r="G45" i="7"/>
  <c r="I45" i="7" s="1"/>
  <c r="G107" i="7"/>
  <c r="H107" i="7"/>
  <c r="G110" i="7"/>
  <c r="H110" i="7"/>
  <c r="H88" i="7"/>
  <c r="G88" i="7"/>
  <c r="G120" i="7"/>
  <c r="H120" i="7"/>
  <c r="H76" i="7"/>
  <c r="G76" i="7"/>
  <c r="H44" i="7"/>
  <c r="G44" i="7"/>
  <c r="I44" i="7" s="1"/>
  <c r="G119" i="7"/>
  <c r="H119" i="7"/>
  <c r="I37" i="7"/>
  <c r="G54" i="7"/>
  <c r="H54" i="7"/>
  <c r="G16" i="7"/>
  <c r="H16" i="7"/>
  <c r="H26" i="7"/>
  <c r="G26" i="7"/>
  <c r="I26" i="7" s="1"/>
  <c r="I104" i="7"/>
  <c r="I124" i="7"/>
  <c r="I12" i="7"/>
  <c r="I73" i="7"/>
  <c r="I67" i="7"/>
  <c r="G30" i="7"/>
  <c r="H30" i="7"/>
  <c r="H74" i="7"/>
  <c r="G74" i="7"/>
  <c r="G10" i="7"/>
  <c r="H10" i="7"/>
  <c r="G46" i="7"/>
  <c r="H46" i="7"/>
  <c r="I66" i="7"/>
  <c r="I114" i="7"/>
  <c r="I121" i="7"/>
  <c r="I36" i="7"/>
  <c r="I79" i="7"/>
  <c r="H75" i="7"/>
  <c r="G75" i="7"/>
  <c r="I122" i="7"/>
  <c r="H51" i="7"/>
  <c r="G51" i="7"/>
  <c r="I93" i="7"/>
  <c r="I15" i="7"/>
  <c r="I103" i="7"/>
  <c r="I116" i="7"/>
  <c r="H104" i="6"/>
  <c r="G104" i="6"/>
  <c r="G242" i="4"/>
  <c r="I242" i="4" s="1"/>
  <c r="G258" i="4"/>
  <c r="I258" i="4" s="1"/>
  <c r="D261" i="4"/>
  <c r="H261" i="4" s="1"/>
  <c r="D38" i="4"/>
  <c r="G38" i="4" s="1"/>
  <c r="H107" i="4"/>
  <c r="I107" i="4" s="1"/>
  <c r="D210" i="4"/>
  <c r="H242" i="4"/>
  <c r="I40" i="4"/>
  <c r="D201" i="4"/>
  <c r="G196" i="4"/>
  <c r="I196" i="4" s="1"/>
  <c r="D63" i="4"/>
  <c r="G63" i="4" s="1"/>
  <c r="I135" i="4"/>
  <c r="G205" i="4"/>
  <c r="I205" i="4" s="1"/>
  <c r="I136" i="4"/>
  <c r="I39" i="4"/>
  <c r="I207" i="4"/>
  <c r="G52" i="4"/>
  <c r="I52" i="4" s="1"/>
  <c r="H44" i="4"/>
  <c r="I198" i="4"/>
  <c r="G55" i="4"/>
  <c r="I55" i="4" s="1"/>
  <c r="G44" i="4"/>
  <c r="I44" i="4" s="1"/>
  <c r="D192" i="4"/>
  <c r="G192" i="4" s="1"/>
  <c r="H104" i="4"/>
  <c r="I104" i="4" s="1"/>
  <c r="G33" i="4"/>
  <c r="I33" i="4" s="1"/>
  <c r="G187" i="4"/>
  <c r="G144" i="4"/>
  <c r="I144" i="4" s="1"/>
  <c r="I187" i="4"/>
  <c r="D133" i="4"/>
  <c r="H126" i="4"/>
  <c r="G126" i="4"/>
  <c r="I189" i="4"/>
  <c r="G86" i="4"/>
  <c r="I86" i="4" s="1"/>
  <c r="D121" i="4"/>
  <c r="H114" i="4"/>
  <c r="G114" i="4"/>
  <c r="I259" i="4"/>
  <c r="D118" i="7"/>
  <c r="D117" i="7"/>
  <c r="D97" i="7"/>
  <c r="D98" i="7"/>
  <c r="H10" i="4"/>
  <c r="D21" i="4"/>
  <c r="G10" i="4"/>
  <c r="I212" i="4"/>
  <c r="H235" i="4"/>
  <c r="G235" i="4"/>
  <c r="D238" i="4"/>
  <c r="D71" i="4"/>
  <c r="H66" i="4"/>
  <c r="G66" i="4"/>
  <c r="H210" i="4"/>
  <c r="G210" i="4"/>
  <c r="I210" i="4" s="1"/>
  <c r="H201" i="4"/>
  <c r="G201" i="4"/>
  <c r="H79" i="4"/>
  <c r="G79" i="4"/>
  <c r="H245" i="4"/>
  <c r="G245" i="4"/>
  <c r="H151" i="4"/>
  <c r="G151" i="4"/>
  <c r="H251" i="4"/>
  <c r="G251" i="4"/>
  <c r="D254" i="4"/>
  <c r="I35" i="4"/>
  <c r="G11" i="2"/>
  <c r="I11" i="2" s="1"/>
  <c r="D10" i="2"/>
  <c r="D4" i="2" s="1"/>
  <c r="E36" i="1"/>
  <c r="I74" i="7" l="1"/>
  <c r="I88" i="7"/>
  <c r="G261" i="4"/>
  <c r="I54" i="7"/>
  <c r="H38" i="4"/>
  <c r="I38" i="4" s="1"/>
  <c r="I51" i="7"/>
  <c r="I50" i="7"/>
  <c r="I107" i="7"/>
  <c r="I76" i="7"/>
  <c r="I119" i="7"/>
  <c r="I75" i="7"/>
  <c r="G98" i="7"/>
  <c r="H98" i="7"/>
  <c r="I46" i="7"/>
  <c r="G117" i="7"/>
  <c r="H117" i="7"/>
  <c r="I49" i="7"/>
  <c r="I10" i="7"/>
  <c r="I120" i="7"/>
  <c r="I16" i="7"/>
  <c r="I47" i="7"/>
  <c r="H118" i="7"/>
  <c r="G118" i="7"/>
  <c r="I118" i="7" s="1"/>
  <c r="I108" i="7"/>
  <c r="I48" i="7"/>
  <c r="G97" i="7"/>
  <c r="H97" i="7"/>
  <c r="I30" i="7"/>
  <c r="I110" i="7"/>
  <c r="I104" i="6"/>
  <c r="H63" i="4"/>
  <c r="I63" i="4" s="1"/>
  <c r="I201" i="4"/>
  <c r="I151" i="4"/>
  <c r="I261" i="4"/>
  <c r="H192" i="4"/>
  <c r="I192" i="4" s="1"/>
  <c r="I79" i="4"/>
  <c r="I235" i="4"/>
  <c r="I114" i="4"/>
  <c r="I251" i="4"/>
  <c r="H121" i="4"/>
  <c r="G121" i="4"/>
  <c r="I121" i="4" s="1"/>
  <c r="I66" i="4"/>
  <c r="I126" i="4"/>
  <c r="H133" i="4"/>
  <c r="G133" i="4"/>
  <c r="I133" i="4" s="1"/>
  <c r="H238" i="4"/>
  <c r="G238" i="4"/>
  <c r="H254" i="4"/>
  <c r="G254" i="4"/>
  <c r="I10" i="4"/>
  <c r="I245" i="4"/>
  <c r="G71" i="4"/>
  <c r="H71" i="4"/>
  <c r="H21" i="4"/>
  <c r="G21" i="4"/>
  <c r="G10" i="2"/>
  <c r="I10" i="2" l="1"/>
  <c r="G4" i="2"/>
  <c r="H4" i="4"/>
  <c r="F4" i="4" s="1"/>
  <c r="I117" i="7"/>
  <c r="I97" i="7"/>
  <c r="I98" i="7"/>
  <c r="I21" i="4"/>
  <c r="I4" i="4" s="1"/>
  <c r="I71" i="4"/>
  <c r="I254" i="4"/>
  <c r="I238" i="4"/>
  <c r="G4" i="4"/>
  <c r="E4" i="4" s="1"/>
  <c r="E2" i="1" l="1"/>
  <c r="G2" i="1" s="1"/>
  <c r="E4" i="1"/>
  <c r="G4" i="1" l="1"/>
  <c r="D81" i="7"/>
  <c r="D80" i="7"/>
  <c r="D82" i="7"/>
  <c r="G82" i="7" l="1"/>
  <c r="H82" i="7"/>
  <c r="G81" i="7"/>
  <c r="H81" i="7"/>
  <c r="G80" i="7"/>
  <c r="H80" i="7"/>
  <c r="H3" i="7" s="1"/>
  <c r="I80" i="7" l="1"/>
  <c r="G3" i="7"/>
  <c r="I81" i="7"/>
  <c r="I82" i="7"/>
  <c r="I3" i="7" s="1"/>
  <c r="E16" i="1" l="1"/>
  <c r="G16" i="1" l="1"/>
  <c r="G33" i="1" s="1"/>
  <c r="E33" i="1"/>
</calcChain>
</file>

<file path=xl/comments1.xml><?xml version="1.0" encoding="utf-8"?>
<comments xmlns="http://schemas.openxmlformats.org/spreadsheetml/2006/main">
  <authors>
    <author>tc={060AA9A8-3DE8-4D86-897E-3863AAED0F9D}</author>
    <author>tc={B7BBF3F7-28F7-49E9-AF39-055C25970EB0}</author>
    <author>tc={72DE1684-2682-4737-A24F-4CA12C45E56B}</author>
    <author>tc={F0498F7E-E42E-4D6E-85E4-81CE76FA6AA0}</author>
    <author>tc={EC340869-7DDE-4691-A697-B3AB09C6EF9E}</author>
    <author>tc={47601B9D-85B8-4803-8404-5388DDEC06AA}</author>
    <author>tc={33DB57AF-F636-469E-9F70-8DB0ADFF6C7D}</author>
    <author>tc={3CE0BD54-D094-4476-AEC1-F48DCF66EED5}</author>
    <author>tc={73792048-6FA7-488D-ADA1-6DEA95DF735D}</author>
    <author>tc={F438FC40-E6C9-4D28-A3D9-69E2AD7CCE61}</author>
    <author>tc={0CDE85E7-17D1-44BF-B723-40B573A0C97F}</author>
  </authors>
  <commentList>
    <comment ref="D5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5" authorId="1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6" authorId="2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6" authorId="3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7" authorId="4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7" authorId="5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Егоров В.Д.</t>
        </r>
      </text>
    </comment>
    <comment ref="E8" authorId="6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9" authorId="7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Казакова Ю.М.</t>
        </r>
      </text>
    </comment>
    <comment ref="E9" authorId="8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10" authorId="9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Казакова Ю.М.</t>
        </r>
      </text>
    </comment>
    <comment ref="E10" authorId="1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</commentList>
</comments>
</file>

<file path=xl/comments2.xml><?xml version="1.0" encoding="utf-8"?>
<comments xmlns="http://schemas.openxmlformats.org/spreadsheetml/2006/main">
  <authors>
    <author>tc={CAF62CB1-B4CD-4DA6-9DF5-24B8BEAE68DC}</author>
    <author>tc={1E2E6478-3CF4-40F2-A24E-654359CAB106}</author>
    <author>tc={D25F3900-781B-415D-B1AB-4950788A3A70}</author>
    <author>tc={558AE663-5267-4BBD-8BAF-58F143663BE7}</author>
    <author>tc={7EA255A4-1865-4E56-A2C2-8F7CBD2810E7}</author>
    <author>tc={6EABCF68-D779-4222-B0B4-56FE6D2A6226}</author>
    <author>tc={DF6B662E-67BD-4064-A35C-169C498A2E04}</author>
    <author>tc={EF70D6E5-EFAA-460A-8300-5388BF3DB3B0}</author>
    <author>tc={4D16A040-105D-434B-BFC1-E43A81E2636A}</author>
    <author>tc={B3B23A4D-38AA-4FA6-A3E2-4713FC0E9589}</author>
    <author>tc={E380364A-9BC2-40F7-BD56-9F74F2644BEA}</author>
  </authors>
  <commentList>
    <comment ref="D6" authorId="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6" authorId="1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7" authorId="2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7" authorId="3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8" authorId="4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геодезии</t>
        </r>
      </text>
    </comment>
    <comment ref="E8" authorId="5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Егоров В.Д.</t>
        </r>
      </text>
    </comment>
    <comment ref="E9" authorId="6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10" authorId="7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Казакова Ю.М.</t>
        </r>
      </text>
    </comment>
    <comment ref="E10" authorId="8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  <comment ref="D11" authorId="9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Казакова Ю.М.</t>
        </r>
      </text>
    </comment>
    <comment ref="E11" authorId="10" shapeId="0">
      <text>
        <r>
          <rPr>
            <sz val="11"/>
            <color theme="1"/>
            <rFont val="Calibri"/>
            <family val="2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Данные Львова Ю.Е.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<sst xmlns="http://schemas.openxmlformats.org/spreadsheetml/2006/main" count="10301" uniqueCount="3656">
  <si>
    <t>Раздел</t>
  </si>
  <si>
    <t>Наименование работ</t>
  </si>
  <si>
    <t>Земляные работы</t>
  </si>
  <si>
    <t>Погружение составных ж/б свай. Срубка свай</t>
  </si>
  <si>
    <t>Устройство монолитного ж/б каркаса ниже отм. 0.000</t>
  </si>
  <si>
    <t>Устройство монолитного ж/б каркаса выше отм. 0.000</t>
  </si>
  <si>
    <t>Стены наружные</t>
  </si>
  <si>
    <t>Внутренние стены и перегородки</t>
  </si>
  <si>
    <t>Окна и витражи</t>
  </si>
  <si>
    <t>Двери</t>
  </si>
  <si>
    <t>Кровля</t>
  </si>
  <si>
    <t>Отделка полов входных групп, лестниц, пандусов</t>
  </si>
  <si>
    <t>Козырьки</t>
  </si>
  <si>
    <t>Отделочные работы</t>
  </si>
  <si>
    <t xml:space="preserve">Прочие </t>
  </si>
  <si>
    <t>Лифты</t>
  </si>
  <si>
    <t>Инженерные системы</t>
  </si>
  <si>
    <t>Механизмы</t>
  </si>
  <si>
    <t>Всего по смете</t>
  </si>
  <si>
    <t>Дополнительные сметы</t>
  </si>
  <si>
    <t xml:space="preserve">Комплекс работ по вдавливанию дубляжей свай. </t>
  </si>
  <si>
    <t>это ссылка на таблицу</t>
  </si>
  <si>
    <t>№ п/п</t>
  </si>
  <si>
    <t>Ед. изм.</t>
  </si>
  <si>
    <t>кол-во</t>
  </si>
  <si>
    <t>стоимость ед. (руб.)</t>
  </si>
  <si>
    <t>итого (руб.)</t>
  </si>
  <si>
    <t>Итого общая</t>
  </si>
  <si>
    <t xml:space="preserve"> Работа</t>
  </si>
  <si>
    <t xml:space="preserve"> Материал</t>
  </si>
  <si>
    <t>Материал</t>
  </si>
  <si>
    <t>Общестроительные работы ниже отм. 0.000</t>
  </si>
  <si>
    <t>1</t>
  </si>
  <si>
    <t>1.1.</t>
  </si>
  <si>
    <t>м3</t>
  </si>
  <si>
    <t>1.2</t>
  </si>
  <si>
    <t xml:space="preserve">Обратная засыпка </t>
  </si>
  <si>
    <t>1.3</t>
  </si>
  <si>
    <t>Обратная засыпка лифтовых шахт в осях 4-8/Е-Ж, 4-6/К-Л  песком средней крупности без крупных включений, Купл=0,95</t>
  </si>
  <si>
    <t>1.4</t>
  </si>
  <si>
    <t>Обратная засыпка лестницы Лм-1 в осях 1/Р-Н, 12/А-Д  песком средней крупности без крупных включений, Купл=0,96</t>
  </si>
  <si>
    <t>2</t>
  </si>
  <si>
    <t>2.1</t>
  </si>
  <si>
    <t>м</t>
  </si>
  <si>
    <t>шт</t>
  </si>
  <si>
    <t>2.2</t>
  </si>
  <si>
    <t>Антикоррозионная обработка стыка свай</t>
  </si>
  <si>
    <t>2.3</t>
  </si>
  <si>
    <t>Срубка оголовков свай</t>
  </si>
  <si>
    <t>3</t>
  </si>
  <si>
    <t>3.1</t>
  </si>
  <si>
    <t>Устройство бетонной подготовки  под монолитную фундаментную плиту</t>
  </si>
  <si>
    <t>Бетон В7,5 W4 F7,5</t>
  </si>
  <si>
    <t>3.2</t>
  </si>
  <si>
    <t xml:space="preserve">Устройство фундаментной монолитной ж/б плиты </t>
  </si>
  <si>
    <t>3.2.1</t>
  </si>
  <si>
    <t>Бетон В30 W8 F200</t>
  </si>
  <si>
    <t>3.2.2</t>
  </si>
  <si>
    <t>Пластиковый фиксатор нижней арматуры</t>
  </si>
  <si>
    <t>3.2.3</t>
  </si>
  <si>
    <t>металл, в т.ч.:</t>
  </si>
  <si>
    <t>арматура 20А500С</t>
  </si>
  <si>
    <t>тн</t>
  </si>
  <si>
    <t>арматура 25А500С</t>
  </si>
  <si>
    <t>выпуски В, ВС, ВСН:</t>
  </si>
  <si>
    <t>арматура 16А500С</t>
  </si>
  <si>
    <t xml:space="preserve">арматура 12А500С </t>
  </si>
  <si>
    <t xml:space="preserve">арматура 10А500С </t>
  </si>
  <si>
    <t xml:space="preserve">арматура 8А500С </t>
  </si>
  <si>
    <t>арматура 8А240</t>
  </si>
  <si>
    <t>3.2.4</t>
  </si>
  <si>
    <t xml:space="preserve">вязальная проволока </t>
  </si>
  <si>
    <t>3.3</t>
  </si>
  <si>
    <t>Оклеечная гидроизоляция фундаментной плиты и  стен подвала в 2 слоя</t>
  </si>
  <si>
    <t>м2</t>
  </si>
  <si>
    <t>3.3.1</t>
  </si>
  <si>
    <t>Техноэласт ЭПП (2 слоя)</t>
  </si>
  <si>
    <t>3.3.2</t>
  </si>
  <si>
    <t>Праймер битумный</t>
  </si>
  <si>
    <t>кг</t>
  </si>
  <si>
    <t>3.4</t>
  </si>
  <si>
    <t>Устройство швов бетонирования (л.31 КЖ)</t>
  </si>
  <si>
    <t>пм</t>
  </si>
  <si>
    <t>3.4.1</t>
  </si>
  <si>
    <t>гидропрокладка  Penebar</t>
  </si>
  <si>
    <t>3.4.2</t>
  </si>
  <si>
    <t>Скоба крепежная (П-образный металлический профиль 15х25 для шнура)</t>
  </si>
  <si>
    <t>3.4.3</t>
  </si>
  <si>
    <t>Состав Скрепа М500, b=0,2 м s=0,01</t>
  </si>
  <si>
    <t>Техноэласт ЭПП b=0,2 м</t>
  </si>
  <si>
    <t>3.5</t>
  </si>
  <si>
    <t xml:space="preserve">Устройство монолитной ж/б наружней стены подвала </t>
  </si>
  <si>
    <t>3.5.1</t>
  </si>
  <si>
    <t>Бетон  В30 W8 F200</t>
  </si>
  <si>
    <t>3.5.2</t>
  </si>
  <si>
    <t>Труба 57*3 L=250мм</t>
  </si>
  <si>
    <t>шт.</t>
  </si>
  <si>
    <t>3.5.3</t>
  </si>
  <si>
    <t>Арматура Ф16А500С</t>
  </si>
  <si>
    <t>Арматура Ф12 А500С</t>
  </si>
  <si>
    <t>Арматура Ф8 А500С</t>
  </si>
  <si>
    <t>Арматура Ф8 А240</t>
  </si>
  <si>
    <t>3.5.4</t>
  </si>
  <si>
    <t>3.6</t>
  </si>
  <si>
    <t>Утепление стен подвала</t>
  </si>
  <si>
    <t>Экструдированный пенополистерол</t>
  </si>
  <si>
    <t>Клей пена Технониколь</t>
  </si>
  <si>
    <t>3.7</t>
  </si>
  <si>
    <t>Устройство монолитных стен лифтовой шахты в осях 4-8/Е-Ж на отм. -2,520 (Лш-2)</t>
  </si>
  <si>
    <t>3.7.1</t>
  </si>
  <si>
    <t xml:space="preserve">Бетон кл. B30 F200 W8 </t>
  </si>
  <si>
    <t>3.7.2</t>
  </si>
  <si>
    <t>Арматура Ф16 А500С</t>
  </si>
  <si>
    <t>Арматура ф10 А500С</t>
  </si>
  <si>
    <t>сталь полосовая t= 6мм</t>
  </si>
  <si>
    <t>сталь полосовая t=8мм</t>
  </si>
  <si>
    <t>3.7.3</t>
  </si>
  <si>
    <t>3.8</t>
  </si>
  <si>
    <t>Устройство монолитных стен лифтовой шахты в осях 4-6/К-Л на отм. -2,520</t>
  </si>
  <si>
    <t>3.8.1</t>
  </si>
  <si>
    <t>3.8.2</t>
  </si>
  <si>
    <t>3.8.3</t>
  </si>
  <si>
    <t>3.9</t>
  </si>
  <si>
    <t>Устройство монолитных стен лестничной клетки на отм. -2,520 в осях 4-6/М-П</t>
  </si>
  <si>
    <t>3.9.1</t>
  </si>
  <si>
    <t>3.9.2</t>
  </si>
  <si>
    <t>Арматура 16А500С</t>
  </si>
  <si>
    <t>Арматура 12А500С</t>
  </si>
  <si>
    <t>Арматура 8А500С</t>
  </si>
  <si>
    <t>Арматура 8А240</t>
  </si>
  <si>
    <t>3.9.3</t>
  </si>
  <si>
    <t>3.10</t>
  </si>
  <si>
    <t>Плита перекрытия на отм. -0,120</t>
  </si>
  <si>
    <t>3.10.1</t>
  </si>
  <si>
    <t>Бетон кл. B25 F100 W6</t>
  </si>
  <si>
    <t>3.10.2</t>
  </si>
  <si>
    <t>Нижнее армирование</t>
  </si>
  <si>
    <t>Арматура ф12 А500С</t>
  </si>
  <si>
    <t>Арматура ф16 А500С</t>
  </si>
  <si>
    <t>Арматура ф8 А240</t>
  </si>
  <si>
    <t>3.10.3</t>
  </si>
  <si>
    <t>Верхнее армирование</t>
  </si>
  <si>
    <t>Арматура ф20 А500С</t>
  </si>
  <si>
    <t>3.10.4</t>
  </si>
  <si>
    <t>Зд1</t>
  </si>
  <si>
    <t>Лист 6х100 L=100</t>
  </si>
  <si>
    <t>3.10.5</t>
  </si>
  <si>
    <t>Гильзы</t>
  </si>
  <si>
    <t>труба 159х4,0 L=220 по ГОСТ  10704-91</t>
  </si>
  <si>
    <t>труба 108х3,5 L=220 ГОСТ 10704-91</t>
  </si>
  <si>
    <t>3.10.6</t>
  </si>
  <si>
    <t>Фиксатор П-1</t>
  </si>
  <si>
    <t>3.10.7</t>
  </si>
  <si>
    <t>Балки Б-1 - 5шт, Б-2 - 6шт.</t>
  </si>
  <si>
    <t>3.10.8</t>
  </si>
  <si>
    <t>Термовкладыши</t>
  </si>
  <si>
    <t>пенополистерол Пеноплекс</t>
  </si>
  <si>
    <t>3.11</t>
  </si>
  <si>
    <t>Устройство монолитной лестницы Лм-1 входов в подвал в осях 1/Р-Н, 12/А-Д</t>
  </si>
  <si>
    <t>3.11.1</t>
  </si>
  <si>
    <t>Бетон В30 F200 W8</t>
  </si>
  <si>
    <t>3.11.2</t>
  </si>
  <si>
    <t>Арматура 12 А500С</t>
  </si>
  <si>
    <t>Арматура 8 А500С</t>
  </si>
  <si>
    <t>3.11.3</t>
  </si>
  <si>
    <t>Клеевой анкер Hilti HIT-MM PLUS</t>
  </si>
  <si>
    <t>мл</t>
  </si>
  <si>
    <t>Общестроительные работы выше отм. 0.000</t>
  </si>
  <si>
    <t>4.1</t>
  </si>
  <si>
    <t>Устройство наружных монолитных стен с отм. -0.120 до отм. +73.980</t>
  </si>
  <si>
    <t>4.1.1</t>
  </si>
  <si>
    <t>БетонВ30, F200, W8</t>
  </si>
  <si>
    <t>4.1.2</t>
  </si>
  <si>
    <t>БетонВ30, F200, W6</t>
  </si>
  <si>
    <t>4.1.3</t>
  </si>
  <si>
    <t>БетонВ25, F100, W6</t>
  </si>
  <si>
    <t>4.1.4</t>
  </si>
  <si>
    <t>Арматура 20 А500С</t>
  </si>
  <si>
    <t>Арматура 16 А500С</t>
  </si>
  <si>
    <t>Арматура 8 А240</t>
  </si>
  <si>
    <t>Сетка кладочная 5 Вр-1</t>
  </si>
  <si>
    <t>4.2</t>
  </si>
  <si>
    <t>Устройство внутренних монолитных стен с отм. -0.120 до отм. +73.980</t>
  </si>
  <si>
    <t>4.2.1</t>
  </si>
  <si>
    <t>4.2.2</t>
  </si>
  <si>
    <t>4.2.3</t>
  </si>
  <si>
    <t>4.2.4</t>
  </si>
  <si>
    <t>сетка кладочная 5 Вр-1</t>
  </si>
  <si>
    <t>Арматура ф25А240С (для геотехнического мониторинга на отм.-0,12)</t>
  </si>
  <si>
    <t>4.3</t>
  </si>
  <si>
    <t>Устройство монолитных перекрытий из бетона с отм.+2.920 до отм. +73.980</t>
  </si>
  <si>
    <t>4.3.1</t>
  </si>
  <si>
    <t>4.3.2</t>
  </si>
  <si>
    <t>Арматура ф25 А240</t>
  </si>
  <si>
    <t>4.3.3.</t>
  </si>
  <si>
    <t>4.3.4</t>
  </si>
  <si>
    <t>4.3.5</t>
  </si>
  <si>
    <t>Зд2</t>
  </si>
  <si>
    <t>Лист 6х100 L=200</t>
  </si>
  <si>
    <t>4.3.6</t>
  </si>
  <si>
    <t>Зд3</t>
  </si>
  <si>
    <t xml:space="preserve">Арматура 12 А500С </t>
  </si>
  <si>
    <t>Лист 8х150 L=400</t>
  </si>
  <si>
    <t>4.3.7</t>
  </si>
  <si>
    <t>4.3.8</t>
  </si>
  <si>
    <t>Фиксатор П-2</t>
  </si>
  <si>
    <t>4.3.9</t>
  </si>
  <si>
    <t>4.3.10</t>
  </si>
  <si>
    <t xml:space="preserve">Балка Б1 </t>
  </si>
  <si>
    <t>4.3.11</t>
  </si>
  <si>
    <t>Балка Б1.1</t>
  </si>
  <si>
    <t>4.3.12</t>
  </si>
  <si>
    <t>Балка Б1.2</t>
  </si>
  <si>
    <t>4.3.13</t>
  </si>
  <si>
    <t>Балка Б1.3</t>
  </si>
  <si>
    <t>4.4</t>
  </si>
  <si>
    <t>Устройство монолитных стен лифтового узла в осях 4-8/Е-Ж с отм. -0.120 до отм. +71,920</t>
  </si>
  <si>
    <t>4.4.1</t>
  </si>
  <si>
    <t>4.4.2</t>
  </si>
  <si>
    <t>4.4.3</t>
  </si>
  <si>
    <t>4.5</t>
  </si>
  <si>
    <t>Устройство монолитных стен лифтовой шахты в осях 4-6/К-Л с отм. -0.120 до отм. +71,920</t>
  </si>
  <si>
    <t>4.5.1</t>
  </si>
  <si>
    <t>4.5.2</t>
  </si>
  <si>
    <t>4.5.3</t>
  </si>
  <si>
    <t>4.6</t>
  </si>
  <si>
    <t>Устройство монолитных стен лестницы в осях 4-6/М-П с отм. -0.120 до отм. +71,920</t>
  </si>
  <si>
    <t>4.6.1</t>
  </si>
  <si>
    <t>4.6.2</t>
  </si>
  <si>
    <t>4.6.3</t>
  </si>
  <si>
    <t>4.7</t>
  </si>
  <si>
    <t>Устройство монолитных ж/б лестничных площадок из бетона в осях 4-6/М-П</t>
  </si>
  <si>
    <t>4.7.1</t>
  </si>
  <si>
    <t>4.7.2</t>
  </si>
  <si>
    <t>Арматура 10 А500С</t>
  </si>
  <si>
    <t>4.8</t>
  </si>
  <si>
    <t>Изготовление сеток, каркаса колонн и плит перекрытий</t>
  </si>
  <si>
    <t>4.8.1</t>
  </si>
  <si>
    <t>Изготовление каркаса плит перекрытий КР1</t>
  </si>
  <si>
    <t>4.8.2</t>
  </si>
  <si>
    <t>Изготовление каркаса плит перекрытий КР2</t>
  </si>
  <si>
    <t>4.8.3</t>
  </si>
  <si>
    <t>Изготовление каркаса колонн объемных l=1000,1200,1500,1800,2000,3000,3500мм</t>
  </si>
  <si>
    <t>4.8.4</t>
  </si>
  <si>
    <t>Изготовление сеток колонн С1</t>
  </si>
  <si>
    <t>4.8.5</t>
  </si>
  <si>
    <t>Изготовление сеток колонн С2</t>
  </si>
  <si>
    <t>4.8.6</t>
  </si>
  <si>
    <t>Изготовление сеток колонн С3</t>
  </si>
  <si>
    <t>5</t>
  </si>
  <si>
    <t>5.1</t>
  </si>
  <si>
    <t>Устройство лестничных маршей ИМЛ 30.12.15-4</t>
  </si>
  <si>
    <t>5.1.1</t>
  </si>
  <si>
    <t>Лестничный марш ИМЛ 30.12.15-5</t>
  </si>
  <si>
    <t>5.1.2</t>
  </si>
  <si>
    <t>Уголок 50х5 (Упор У-1)</t>
  </si>
  <si>
    <t>5.1.3</t>
  </si>
  <si>
    <t>Клиновой анкер  Ø12мм</t>
  </si>
  <si>
    <t>5.1.4</t>
  </si>
  <si>
    <t>Ограждение лестничных маршей h=0,9 м (ГОСТ 25772-83)</t>
  </si>
  <si>
    <t>Устройство входных групп</t>
  </si>
  <si>
    <t>5.1.</t>
  </si>
  <si>
    <t>Устройство входной группы в осях 1/М-Н, 1/В-Д, 12/М-Н, 12/Д-Л, А/2-11</t>
  </si>
  <si>
    <t>Опорные стены</t>
  </si>
  <si>
    <t>БетонВ30 F200 W8</t>
  </si>
  <si>
    <t>Площадка</t>
  </si>
  <si>
    <t>БетонВ7,5 F50 W4</t>
  </si>
  <si>
    <t>Арматура 8 А240 (Фиксатор П-1)</t>
  </si>
  <si>
    <t xml:space="preserve">Утеплитель - экструдированный пенополистерол </t>
  </si>
  <si>
    <t>Оклеечная гидроизоляция Технониколь ЭПП</t>
  </si>
  <si>
    <t>5.2</t>
  </si>
  <si>
    <t>Устройство входной группы в осях 1/Л-Ж</t>
  </si>
  <si>
    <t>5.2.1</t>
  </si>
  <si>
    <t>5.2.2</t>
  </si>
  <si>
    <t>Арматура 8 А240 (Фиксатор П-2)</t>
  </si>
  <si>
    <t>5.2.3</t>
  </si>
  <si>
    <t>5.2.4</t>
  </si>
  <si>
    <t>Раздел КЖ</t>
  </si>
  <si>
    <t>Раздел АС</t>
  </si>
  <si>
    <t>Раздел АР</t>
  </si>
  <si>
    <t>Монтаж мет.ограждения высотой 1,8 м  в подвале</t>
  </si>
  <si>
    <t>м.п.</t>
  </si>
  <si>
    <t>1.1</t>
  </si>
  <si>
    <t>Оцинкованное металлическое ограждение (секции)</t>
  </si>
  <si>
    <t>Калитки 1,8*1,2</t>
  </si>
  <si>
    <t>бетонные блоки 600х250х50</t>
  </si>
  <si>
    <t>Бетонирование основания под оборудование ВК  в подвале</t>
  </si>
  <si>
    <t>Бетон кл. В15 W4 F100</t>
  </si>
  <si>
    <t>Люк приямка Л-1 - 5шт</t>
  </si>
  <si>
    <t>Металл, в т.ч.:</t>
  </si>
  <si>
    <t>Уголок 75х5</t>
  </si>
  <si>
    <t>Лист 5мм</t>
  </si>
  <si>
    <t>Лист ПВ 508х650х650</t>
  </si>
  <si>
    <t>Арматура 12 А240</t>
  </si>
  <si>
    <t>Грунтовка ГФ-021 за 2 раза</t>
  </si>
  <si>
    <t>Эмаль ПФ-115 за 2 раза</t>
  </si>
  <si>
    <t>4</t>
  </si>
  <si>
    <t>Кладка наружных стен толщ.250мм</t>
  </si>
  <si>
    <t>Блоки из ячеистых бетонов по ГОСТ 31360-2007</t>
  </si>
  <si>
    <t>клей для газобетона Seneco GS39, 25кг</t>
  </si>
  <si>
    <t>меш</t>
  </si>
  <si>
    <t>Труба Ду 108х3,5 по ГОСТ 10705-91 L=250</t>
  </si>
  <si>
    <t>Армирование кладки :</t>
  </si>
  <si>
    <r>
      <t xml:space="preserve">Композитная арматура  </t>
    </r>
    <r>
      <rPr>
        <sz val="11"/>
        <rFont val="Calibri"/>
        <family val="2"/>
        <charset val="204"/>
      </rPr>
      <t>Ø</t>
    </r>
    <r>
      <rPr>
        <sz val="11"/>
        <rFont val="Times New Roman"/>
        <family val="1"/>
        <charset val="204"/>
      </rPr>
      <t xml:space="preserve">10 </t>
    </r>
  </si>
  <si>
    <t>Закладнаая деталь ГС-1</t>
  </si>
  <si>
    <t>4.1.5</t>
  </si>
  <si>
    <t>Закладные детали:</t>
  </si>
  <si>
    <t>Пластина 6х100х200</t>
  </si>
  <si>
    <t>Арматура д.10 А500</t>
  </si>
  <si>
    <t xml:space="preserve">Краска Цинол </t>
  </si>
  <si>
    <t>Растворитель Сольвент</t>
  </si>
  <si>
    <t>л</t>
  </si>
  <si>
    <t>4.1.6</t>
  </si>
  <si>
    <t>Перемычки металлические для наружных стен</t>
  </si>
  <si>
    <t>Клин анкер WAM 8х80мм (50 шт)</t>
  </si>
  <si>
    <t>Грунтовка ГФ-021</t>
  </si>
  <si>
    <t>Эмаль ПФ-115</t>
  </si>
  <si>
    <t>Заделка внутренних швов наружной кладки</t>
  </si>
  <si>
    <t>п.м.</t>
  </si>
  <si>
    <t>4.1.7</t>
  </si>
  <si>
    <r>
      <t xml:space="preserve">Вилатерм </t>
    </r>
    <r>
      <rPr>
        <sz val="11"/>
        <rFont val="Calibri"/>
        <family val="2"/>
        <charset val="204"/>
      </rPr>
      <t>Ø</t>
    </r>
    <r>
      <rPr>
        <sz val="11"/>
        <rFont val="Times New Roman"/>
        <family val="1"/>
        <charset val="204"/>
      </rPr>
      <t>30</t>
    </r>
  </si>
  <si>
    <r>
      <t xml:space="preserve">Вилатерм </t>
    </r>
    <r>
      <rPr>
        <sz val="11"/>
        <rFont val="Calibri"/>
        <family val="2"/>
        <charset val="204"/>
      </rPr>
      <t>Ø</t>
    </r>
    <r>
      <rPr>
        <sz val="11"/>
        <rFont val="Times New Roman"/>
        <family val="1"/>
        <charset val="204"/>
      </rPr>
      <t>50</t>
    </r>
  </si>
  <si>
    <t>Пена монтажная 890 г</t>
  </si>
  <si>
    <t>Ursa р=30 кг/м3 150 мм</t>
  </si>
  <si>
    <t>Устройство ограждений балконов и лоджий</t>
  </si>
  <si>
    <t>Кладка ограждений из силикатного кирпича</t>
  </si>
  <si>
    <t>Кирпич силикатный</t>
  </si>
  <si>
    <t>Раствор</t>
  </si>
  <si>
    <t>Проволока 4 Вр1</t>
  </si>
  <si>
    <t>Металлическое усиление ограждений</t>
  </si>
  <si>
    <t>Пластина 6х160х70</t>
  </si>
  <si>
    <t>Пластина 6х195х70</t>
  </si>
  <si>
    <t>Пластина 4х290х60</t>
  </si>
  <si>
    <t>Пластина 4х50х130</t>
  </si>
  <si>
    <t>Пластина 4х50х140</t>
  </si>
  <si>
    <t xml:space="preserve">Стойки Ст-1 </t>
  </si>
  <si>
    <t>Профиль 40х4</t>
  </si>
  <si>
    <t>Пластина 6х70х70</t>
  </si>
  <si>
    <t>Пластина 4х40х4</t>
  </si>
  <si>
    <t>Анкер-шпилька Hilti HST3-R М8х95</t>
  </si>
  <si>
    <t>4.2.5</t>
  </si>
  <si>
    <t>Анкер для газобетона Hilti HPD М10</t>
  </si>
  <si>
    <t>Металлическое ограждение незадымляемых балконов (ОГ-1)</t>
  </si>
  <si>
    <t>Металл, вт.ч.:</t>
  </si>
  <si>
    <t>Профиль 60х40х4</t>
  </si>
  <si>
    <t>Профиль 30х4</t>
  </si>
  <si>
    <t>Квадрат 15х15</t>
  </si>
  <si>
    <t>Пластина 6х100х120</t>
  </si>
  <si>
    <t>Электроды</t>
  </si>
  <si>
    <t xml:space="preserve">Кладка парапета из силикатного кирпича </t>
  </si>
  <si>
    <t>Кирпич СУРПо-М150/F35/2,0 по ГОСТ 379-2015</t>
  </si>
  <si>
    <t>Цементно-известковый раствор М100, F50,Пк3 ГОСТ 28013-98</t>
  </si>
  <si>
    <t>Уголок 63х4</t>
  </si>
  <si>
    <t>4.4.4</t>
  </si>
  <si>
    <t>Сетка 3Вр-1 с ячейками 50х50</t>
  </si>
  <si>
    <t>4.4.5</t>
  </si>
  <si>
    <t>Сетка 5Вр-1 с ячейками 50х50</t>
  </si>
  <si>
    <t>4.4.6</t>
  </si>
  <si>
    <t>Эпоксидный клей</t>
  </si>
  <si>
    <t>4.4.7</t>
  </si>
  <si>
    <t>Арматурный стержень 10 А500С</t>
  </si>
  <si>
    <t>Кладка ветшахт и лифтового помещения на кровле</t>
  </si>
  <si>
    <t>Кладка стен из блоков ячеистых бетонов по ГОСТ 31360 2007, Блок I/625х250х250/D500/В2,5/F25 - 250мм</t>
  </si>
  <si>
    <t>Кладка из кирпича керамического</t>
  </si>
  <si>
    <t>Кирпич керамический КР-р по 1,4НФ/150/2,0/35 по ГОСТ 530-2012</t>
  </si>
  <si>
    <t xml:space="preserve">Опорная подушка ОП-1 </t>
  </si>
  <si>
    <t>4.5.4</t>
  </si>
  <si>
    <t>цементно-песчаный раствор 10мм</t>
  </si>
  <si>
    <t>4.5.5</t>
  </si>
  <si>
    <t>Двутавр 30Б2</t>
  </si>
  <si>
    <t>Двутавр 20Б1</t>
  </si>
  <si>
    <t>Швеллер 20П</t>
  </si>
  <si>
    <t>Швеллер 24П</t>
  </si>
  <si>
    <t>Закладная деталь МН103-3 (ЗД-1)</t>
  </si>
  <si>
    <t>4.5.6</t>
  </si>
  <si>
    <t>4.5.7</t>
  </si>
  <si>
    <t>4.5.8</t>
  </si>
  <si>
    <t>Огнезащитное покрытие FinnProtect-K1</t>
  </si>
  <si>
    <t>4.5.9</t>
  </si>
  <si>
    <t>Профлист Н75-750-0.9</t>
  </si>
  <si>
    <t>Монолитный пояс  МП-1, Мп-2, МП-3</t>
  </si>
  <si>
    <t>Арматура 6 А240</t>
  </si>
  <si>
    <t>Кладка внутренних стен  толщ.190мм из блоков бетонных</t>
  </si>
  <si>
    <t>Раствор цементно-песчаный м75</t>
  </si>
  <si>
    <t>Композитная арматура Ф10мм L=290мм</t>
  </si>
  <si>
    <t>Арматура Ф10мм L=300мм</t>
  </si>
  <si>
    <t>Кладка внутренних стен  толщ.190мм из блоков керамзитобетонных</t>
  </si>
  <si>
    <t>цементно-известняковом кладочном р-ре М75,Пк2 ГОСТ 28013-98*</t>
  </si>
  <si>
    <t>5.3</t>
  </si>
  <si>
    <t>Перегородки из силикатного кирпича в МОП т.120мм</t>
  </si>
  <si>
    <t>5.3.1</t>
  </si>
  <si>
    <t>Кирпич  силикатный СУРПо-М150/F35/2,0 по ГОСТ 379-2015</t>
  </si>
  <si>
    <t>5.3.2</t>
  </si>
  <si>
    <t>Стена, разделяющая выход из лестничной клетки от хоз помещения т.250мм</t>
  </si>
  <si>
    <t>5.4</t>
  </si>
  <si>
    <t>Перемычки металлические для внутренних стен</t>
  </si>
  <si>
    <t>5.4.1</t>
  </si>
  <si>
    <t>Уголок 75х50х5</t>
  </si>
  <si>
    <t>5.4.2</t>
  </si>
  <si>
    <t>5.4.3</t>
  </si>
  <si>
    <t>Полоса 50х5</t>
  </si>
  <si>
    <t>5.4.4</t>
  </si>
  <si>
    <t>5.4.5</t>
  </si>
  <si>
    <t>5.4.6</t>
  </si>
  <si>
    <t>5.5</t>
  </si>
  <si>
    <t>Перемычки деревянные (весь дом)</t>
  </si>
  <si>
    <t>5.5.1</t>
  </si>
  <si>
    <t>Брус 80х80</t>
  </si>
  <si>
    <t>5.5.2</t>
  </si>
  <si>
    <t>5.5.3</t>
  </si>
  <si>
    <t xml:space="preserve">Клин анкер WAM 8х80мм </t>
  </si>
  <si>
    <t>5.5.4</t>
  </si>
  <si>
    <t>Антисептик  Акватекс (10кг)</t>
  </si>
  <si>
    <t>5.5.5</t>
  </si>
  <si>
    <t>Растворитель Р646 Бутылка 0,5л (0,37кг)</t>
  </si>
  <si>
    <t>5.6</t>
  </si>
  <si>
    <t>5.6.1</t>
  </si>
  <si>
    <t>5.6.2</t>
  </si>
  <si>
    <t>5.6.3</t>
  </si>
  <si>
    <t>Витражи входных групп</t>
  </si>
  <si>
    <t xml:space="preserve">Устройство ПВХ окон </t>
  </si>
  <si>
    <t>1.2.1</t>
  </si>
  <si>
    <t>ОП В2 1520-900 (4М1-16-И4)- 138 шт</t>
  </si>
  <si>
    <t>1.2.2</t>
  </si>
  <si>
    <t>ОП В2 1520-1300 (4М1-16-И4) - 69 шт</t>
  </si>
  <si>
    <t>1.2.3</t>
  </si>
  <si>
    <t>ОП В2 1770-1300 (4М1-8-4М1-8-К4) -161 шт</t>
  </si>
  <si>
    <t>1.2.4</t>
  </si>
  <si>
    <t>ОП В2 1770-1500 (4М1-8-4М1-8-К4) - 207 шт</t>
  </si>
  <si>
    <t>1.2.5</t>
  </si>
  <si>
    <t>ОП В2 1560-900 (4М1-16-И4) - 1 шт</t>
  </si>
  <si>
    <t>1.2.6</t>
  </si>
  <si>
    <t>ОП В2 1810-1500 (4М1-8-4М1-8-К4) - 10 шт</t>
  </si>
  <si>
    <t>1.2.7</t>
  </si>
  <si>
    <t>ОП В2 1810-1300 (4М1-8-4М1-8-К4) - 7 шт</t>
  </si>
  <si>
    <t>1.2.8</t>
  </si>
  <si>
    <t>ОП В2 1950-1200 (4М1-16-И4) - 1 шт</t>
  </si>
  <si>
    <t>1.2.9</t>
  </si>
  <si>
    <t>1.2.10</t>
  </si>
  <si>
    <t>ОП В2 800-800 (4М1-16-И4) с противовандальной пленкой - 8 шт</t>
  </si>
  <si>
    <t>1.2.11</t>
  </si>
  <si>
    <t>Tech-Krep RD 10/60</t>
  </si>
  <si>
    <t>1.2.12</t>
  </si>
  <si>
    <t>Tech-KREP FRS-S 7.5/52</t>
  </si>
  <si>
    <t>1.2.13</t>
  </si>
  <si>
    <t>Tech-KREP FRS-S 7.5/72</t>
  </si>
  <si>
    <t>1.2.14</t>
  </si>
  <si>
    <t>саморезы кровельные с буром 4.8х28 мм;</t>
  </si>
  <si>
    <t>1.2.15</t>
  </si>
  <si>
    <t>Дюбель-гвоздь 6х40;</t>
  </si>
  <si>
    <t>1.2.16</t>
  </si>
  <si>
    <t>Анкерная пластина KBE 190мм (толщина 1,2 мм)</t>
  </si>
  <si>
    <t>1.2.17</t>
  </si>
  <si>
    <t>Fisher SXR 10x260 FUS</t>
  </si>
  <si>
    <t>1.2.18</t>
  </si>
  <si>
    <t xml:space="preserve">СТИЗ А </t>
  </si>
  <si>
    <t>1.2.19</t>
  </si>
  <si>
    <t xml:space="preserve">СТИЗ В </t>
  </si>
  <si>
    <t>1.2.20</t>
  </si>
  <si>
    <t>Пена монтажная ТехноНиколь 650 prof</t>
  </si>
  <si>
    <t>балон</t>
  </si>
  <si>
    <t>1.2.21</t>
  </si>
  <si>
    <t>Подоконные доски</t>
  </si>
  <si>
    <t>1.2.22</t>
  </si>
  <si>
    <t>ПД-1000х300х3</t>
  </si>
  <si>
    <t>1.2.23</t>
  </si>
  <si>
    <t>ПД-1400х300х3</t>
  </si>
  <si>
    <t>1.2.24</t>
  </si>
  <si>
    <t>ПД-1600х300х3</t>
  </si>
  <si>
    <t xml:space="preserve">Устройство ПВХ балконных дверей </t>
  </si>
  <si>
    <t>1.3.1</t>
  </si>
  <si>
    <t>БП В2 2420х750 (4М1-16-И4) П - 115 шт</t>
  </si>
  <si>
    <t>1.3.2</t>
  </si>
  <si>
    <t>БП В2 2420х750 (4М1-16-И4) Л - 92 шт</t>
  </si>
  <si>
    <t>1.3.3</t>
  </si>
  <si>
    <t>БП В2 2440х750 (4М1-16-И4) П - 1шт</t>
  </si>
  <si>
    <t xml:space="preserve">Устройство ПВХ заполнений балконов </t>
  </si>
  <si>
    <t>1.4.1</t>
  </si>
  <si>
    <t>ВБ-1 (3,26х1,56) - 1шт</t>
  </si>
  <si>
    <t>1.4.2</t>
  </si>
  <si>
    <t>ВБ-2 (0,92х1,56) - 2 шт</t>
  </si>
  <si>
    <t>1.4.3</t>
  </si>
  <si>
    <t>ВБ-3 (3,26х1,52) - 69 шт</t>
  </si>
  <si>
    <t>1.4.4</t>
  </si>
  <si>
    <t>ВБ-4 (1,12х1,52) - 161 шт</t>
  </si>
  <si>
    <t>1.4.5</t>
  </si>
  <si>
    <t>ВБ-5 (6,08х1,52) - 23 шт</t>
  </si>
  <si>
    <t>1.4.6</t>
  </si>
  <si>
    <t>ВБ-6 (6,26х1,52) - 23 шт</t>
  </si>
  <si>
    <t>1.4.7</t>
  </si>
  <si>
    <t>ВБ-7 (5,645х1,52) - 23 шт</t>
  </si>
  <si>
    <t>1.4.8</t>
  </si>
  <si>
    <t>ВБ-8 (1,07х1,52) - 23шт</t>
  </si>
  <si>
    <t>1.4.9</t>
  </si>
  <si>
    <t>ВБ-9 (0,92х1,52) - 23 шт</t>
  </si>
  <si>
    <t>1.5</t>
  </si>
  <si>
    <t>ДАН О Бпр Дв Пр Р 2150х1550</t>
  </si>
  <si>
    <t>компл</t>
  </si>
  <si>
    <t>ДАН О Бпр ДвЛ Р 2150х1550</t>
  </si>
  <si>
    <t>ДАВ О Бпр Дв Пр Р 2150х1550</t>
  </si>
  <si>
    <t>2.4</t>
  </si>
  <si>
    <t>ДАВ О Бпр Дв Л Р 2150х1550</t>
  </si>
  <si>
    <t>2.5</t>
  </si>
  <si>
    <t>ДСН Оп Прг Пр Н Псп 2100х1240</t>
  </si>
  <si>
    <t>2.6</t>
  </si>
  <si>
    <t>ДПН Км Бпр Ф Дп Пр 2790х1350</t>
  </si>
  <si>
    <t xml:space="preserve"> </t>
  </si>
  <si>
    <t>2.7</t>
  </si>
  <si>
    <t>ДПН Км Бпр Ф Дп Л Р 2760х1350</t>
  </si>
  <si>
    <t>2.8</t>
  </si>
  <si>
    <t>ДПН Км Бпр Ф Дп Л Р 2790х1350</t>
  </si>
  <si>
    <t>2.9</t>
  </si>
  <si>
    <t>ДПН Г П Оп Л Р 1790х1040</t>
  </si>
  <si>
    <t>2.10</t>
  </si>
  <si>
    <t>ДПН Г П Оп Пр Р 1850х1040</t>
  </si>
  <si>
    <t>2.11</t>
  </si>
  <si>
    <t>ДСН Оп Прг Пр Н Псн 2000х1000</t>
  </si>
  <si>
    <t>2.12</t>
  </si>
  <si>
    <t>ДПС 01 2100х1000 Л ЕIS60</t>
  </si>
  <si>
    <t>2.13</t>
  </si>
  <si>
    <t>ДПС 01 1790х1000 EI60</t>
  </si>
  <si>
    <t>2.14</t>
  </si>
  <si>
    <t>ДПС 02 2100х1400 EI60</t>
  </si>
  <si>
    <t>2.15</t>
  </si>
  <si>
    <t>ДПВ Км Бпр Дп Л Р 2100х1350</t>
  </si>
  <si>
    <t>2.16</t>
  </si>
  <si>
    <t>ДПС 01 2050х900 Пр ЕI30</t>
  </si>
  <si>
    <t>2.17</t>
  </si>
  <si>
    <t>ДВ 1 Рп 21-10 Г Пр Мд1</t>
  </si>
  <si>
    <t>2.18</t>
  </si>
  <si>
    <t>ДВ 1 Рл 21-10 Г Пр Мд1</t>
  </si>
  <si>
    <t>2.19</t>
  </si>
  <si>
    <t>ДПВ Г П Оп Л Р 2100х900</t>
  </si>
  <si>
    <t>2.20</t>
  </si>
  <si>
    <t>ДПС 01 2050х1000 Пр EI30</t>
  </si>
  <si>
    <t>2.21</t>
  </si>
  <si>
    <t>ЛМП- Пульс -60 1350*1000 ЕIS60</t>
  </si>
  <si>
    <t>2.22</t>
  </si>
  <si>
    <t>ДАН О Бпр Дв Пр Р Ф 2740х1350</t>
  </si>
  <si>
    <t>2.23</t>
  </si>
  <si>
    <t>2.24</t>
  </si>
  <si>
    <t>ДПС 02 2100х1350 EI30</t>
  </si>
  <si>
    <t>2.25</t>
  </si>
  <si>
    <t>ДПС 01 2100х900 EI30</t>
  </si>
  <si>
    <t>2.26</t>
  </si>
  <si>
    <t>ДПС 01 1750*1000 EI60</t>
  </si>
  <si>
    <t>Установка доводчиков</t>
  </si>
  <si>
    <t>Утепление стен лестничной клетки</t>
  </si>
  <si>
    <t xml:space="preserve">Изол ФШ 150 по ТУ5762-002-84277528-2008 с изм.№1-5 (или аналог)  - 100 мм; </t>
  </si>
  <si>
    <t xml:space="preserve">Изол ФШ 150 по ТУ5762-002-84277528-2008 с изм.№1-5 (или аналог)  - 140 мм; </t>
  </si>
  <si>
    <t xml:space="preserve">Изол ФШ 150 по ТУ5762-002-84277528-2008 с изм.№1-5 (или аналог)  - 70 мм; </t>
  </si>
  <si>
    <t>3.9.4</t>
  </si>
  <si>
    <t>Стеклоизол ХПП</t>
  </si>
  <si>
    <t>Прочее</t>
  </si>
  <si>
    <t>Почтовые ящики</t>
  </si>
  <si>
    <t>8</t>
  </si>
  <si>
    <t>8.1</t>
  </si>
  <si>
    <t>Основная кровля</t>
  </si>
  <si>
    <t>8.1.1</t>
  </si>
  <si>
    <t>8.1.2</t>
  </si>
  <si>
    <t>ИЗОЛЕКО 110 по ТУ5762-002-84277528-2008 0,040Вт/(м*К) 90кг/м3 толщ 100мм (или аналог)</t>
  </si>
  <si>
    <t>8.1.3</t>
  </si>
  <si>
    <t xml:space="preserve"> ИЗОЛЕКО 160 ТУ5762-002-84277528-2008 плотн. 140 кг/м3 толщ 50мм (или аналог)</t>
  </si>
  <si>
    <t>8.1.4</t>
  </si>
  <si>
    <t>Уклонообразующие плиты ИЗОЛ КЗ 110 ТУ5762-002-84277528-2008 плотн. 130-150 кг/м3 толщ 50мм (или аналог)</t>
  </si>
  <si>
    <t>8.1.5</t>
  </si>
  <si>
    <t>Цементно-стружечные плиты 12мм 2 слоя</t>
  </si>
  <si>
    <t>8.1.6</t>
  </si>
  <si>
    <t>Праймер битумный Технониколь №01 (покраска цсп с 2х сторон)</t>
  </si>
  <si>
    <t>8.1.7</t>
  </si>
  <si>
    <t>Гидроизоляция Унифлекс ЭПП (Г4) СТО 72746455-3.1.11-2015</t>
  </si>
  <si>
    <t>8.1.8</t>
  </si>
  <si>
    <t>Гидроизоляция Техноэласт ЭКП (Г4) СТО 72746455-3.1.11-2015</t>
  </si>
  <si>
    <t>8.2</t>
  </si>
  <si>
    <t>Устройство примыканий (парапет)</t>
  </si>
  <si>
    <t>8.2.1</t>
  </si>
  <si>
    <t>Минераловатная плита теплопроводностью 0,043, плотностью 126-154, толщ 50+50мм внахлест</t>
  </si>
  <si>
    <t>8.2.2</t>
  </si>
  <si>
    <t>Лист ЦСП</t>
  </si>
  <si>
    <t>8.2.3</t>
  </si>
  <si>
    <t xml:space="preserve">Праймер битумный Технониколь №01 </t>
  </si>
  <si>
    <t>8.2.4</t>
  </si>
  <si>
    <t>Фасонный элемент парапета шир. Развертки 1150мм оцинк лист</t>
  </si>
  <si>
    <t>8.2.5</t>
  </si>
  <si>
    <t>Металлический профиль для крепления фасонного элемента</t>
  </si>
  <si>
    <t>8.2.6</t>
  </si>
  <si>
    <t>8.2.7</t>
  </si>
  <si>
    <t>8.3</t>
  </si>
  <si>
    <t>Покрытие над теплыми балконами</t>
  </si>
  <si>
    <t>8.3.1</t>
  </si>
  <si>
    <t>8.3.2</t>
  </si>
  <si>
    <t>Ц/п стяжка М100 10-20мм</t>
  </si>
  <si>
    <t>8.3.3</t>
  </si>
  <si>
    <t>Экструзионный пенополистирол Технониколь Carbon prof 300rf xps СТО 72746455-3.3.1-2012 плотн = 28-35 кг/м3 200мм</t>
  </si>
  <si>
    <t>8.3.4</t>
  </si>
  <si>
    <t>8.3.5</t>
  </si>
  <si>
    <t>8.3.6</t>
  </si>
  <si>
    <t>Гидроизоляция Унифлекс ЭПП (Г4) СТО 72746455-3.1.11-2015 в 2 слоя</t>
  </si>
  <si>
    <t>8.3.7</t>
  </si>
  <si>
    <t>Гидроизоляция Техноэласт ЭПП (Г4) СТО 72746455-3.1.11-2015</t>
  </si>
  <si>
    <t>8.3.8</t>
  </si>
  <si>
    <t>8.3.9</t>
  </si>
  <si>
    <t>Т-образный крепежный элемент (костыль)</t>
  </si>
  <si>
    <t>8.3.10</t>
  </si>
  <si>
    <t>8.3.11</t>
  </si>
  <si>
    <t>Отлив из оцинкованной стали шир. 200мм</t>
  </si>
  <si>
    <t>мп</t>
  </si>
  <si>
    <t>8.3.12</t>
  </si>
  <si>
    <t>Профиль из оцинкованной стали 100мм</t>
  </si>
  <si>
    <t>8.3.13</t>
  </si>
  <si>
    <t>Герметик для кровелтных работ</t>
  </si>
  <si>
    <t>8.4</t>
  </si>
  <si>
    <t>Покрытие над холодными балконами</t>
  </si>
  <si>
    <t>8.4.1</t>
  </si>
  <si>
    <t>8.4.2</t>
  </si>
  <si>
    <t>Ц/п стяжка М150</t>
  </si>
  <si>
    <t>8.4.3</t>
  </si>
  <si>
    <t>Гидроизоляция Техноэласт ФИКС (Г4) СТО 72746455-3.1.11-2015 в 2 слоя</t>
  </si>
  <si>
    <t>8.4.4</t>
  </si>
  <si>
    <t>8.4.5</t>
  </si>
  <si>
    <t>8.4.6</t>
  </si>
  <si>
    <t>8.4.7</t>
  </si>
  <si>
    <t>Экструзионный пенополистирол Технониколь Carbon prof 300rf xps СТО 72746455-3.3.1-2012 плотн = 28-35 кг/м3</t>
  </si>
  <si>
    <t>8.5</t>
  </si>
  <si>
    <t xml:space="preserve"> Кровля над техническим помещения профлист</t>
  </si>
  <si>
    <t>8.5.1</t>
  </si>
  <si>
    <t xml:space="preserve">Профлист </t>
  </si>
  <si>
    <t>8.5.2</t>
  </si>
  <si>
    <t>8.5.3</t>
  </si>
  <si>
    <t>8.5.4</t>
  </si>
  <si>
    <t>8.5.5</t>
  </si>
  <si>
    <t>8.5.6</t>
  </si>
  <si>
    <t>8.5.7</t>
  </si>
  <si>
    <t>8.5.8</t>
  </si>
  <si>
    <t>8.6</t>
  </si>
  <si>
    <t>Примыкания над техническим помещениями</t>
  </si>
  <si>
    <t>8.6.1</t>
  </si>
  <si>
    <t>8.6.2</t>
  </si>
  <si>
    <t>8.6.3</t>
  </si>
  <si>
    <t>Фасонный элемент парапета шир. Развертки 1150мм</t>
  </si>
  <si>
    <t>8.6.4</t>
  </si>
  <si>
    <t>8.7</t>
  </si>
  <si>
    <t>Примыкания к техническому помещению</t>
  </si>
  <si>
    <t>8.7.1</t>
  </si>
  <si>
    <t>8.7.2</t>
  </si>
  <si>
    <t>8.7.3</t>
  </si>
  <si>
    <t>8.7.4</t>
  </si>
  <si>
    <t>8.7.5</t>
  </si>
  <si>
    <t>Экструзионный пенополистирол Технониколь Carbon prof 300rf xps СТО 72746455-3.3.1-2012 плотн = 28-35 кг/м3 150мм</t>
  </si>
  <si>
    <t>8.8</t>
  </si>
  <si>
    <t>Примыкания  к оборудованию ОВ</t>
  </si>
  <si>
    <t>8.8.1</t>
  </si>
  <si>
    <t>8.8.2</t>
  </si>
  <si>
    <t>8.8.3</t>
  </si>
  <si>
    <t>8.8.4</t>
  </si>
  <si>
    <t>8.8.5</t>
  </si>
  <si>
    <t>8.8.6</t>
  </si>
  <si>
    <t>Обжимной хомут из оцинкованной стали 0,7мм (прижимная планка) ГОСТ 14918-80</t>
  </si>
  <si>
    <t>8.8.7</t>
  </si>
  <si>
    <t>Стальной стакан под оборудование ОВ</t>
  </si>
  <si>
    <t>8.9</t>
  </si>
  <si>
    <t>Водосточные воронки</t>
  </si>
  <si>
    <t>8.10</t>
  </si>
  <si>
    <t>Расходники (дюбеля, саморезы, электроды и т.д)</t>
  </si>
  <si>
    <t>8.11</t>
  </si>
  <si>
    <t>Пешеходная дорожка тротуарная плитка на ц/п растворе</t>
  </si>
  <si>
    <t>8.12</t>
  </si>
  <si>
    <t>Металлическое ограждение кровли</t>
  </si>
  <si>
    <t>8.12.2</t>
  </si>
  <si>
    <t>Профиль 50х50х3</t>
  </si>
  <si>
    <t>8.12.3</t>
  </si>
  <si>
    <t>Арматура 16 А240</t>
  </si>
  <si>
    <t>8.12.5</t>
  </si>
  <si>
    <t>Грунтовка ГФ-021 за один раз</t>
  </si>
  <si>
    <t>8.12.6</t>
  </si>
  <si>
    <t>Эмаль ПФ-115 за два раза</t>
  </si>
  <si>
    <t>8.12.7</t>
  </si>
  <si>
    <t>8.13</t>
  </si>
  <si>
    <t>Лестница выхода на кровлю</t>
  </si>
  <si>
    <t>8.13.1</t>
  </si>
  <si>
    <t>Швеллер 16П</t>
  </si>
  <si>
    <t>Уголок 50х5</t>
  </si>
  <si>
    <t>Уголок 25х3</t>
  </si>
  <si>
    <t>Лист 4мм</t>
  </si>
  <si>
    <t>Лист 6мм</t>
  </si>
  <si>
    <t>Анкер-шпилька HST3 М12х145</t>
  </si>
  <si>
    <t>8.13.2</t>
  </si>
  <si>
    <t>Опорный столик Оп-1</t>
  </si>
  <si>
    <t>8.13.3</t>
  </si>
  <si>
    <t>Грунтовка ГФ-021 за два раза</t>
  </si>
  <si>
    <t>8.13.4</t>
  </si>
  <si>
    <t>8.14</t>
  </si>
  <si>
    <t>Пожарные лестницы ПЛ1, ПЛ2</t>
  </si>
  <si>
    <t>8.14.1</t>
  </si>
  <si>
    <t>Уголок 63х5</t>
  </si>
  <si>
    <t>Арматура 20 А240</t>
  </si>
  <si>
    <t>Пластина 6х150х150</t>
  </si>
  <si>
    <t>Профиль 80х4</t>
  </si>
  <si>
    <t>8.14.2</t>
  </si>
  <si>
    <t>Анкер-шпилька HST3 М12х130</t>
  </si>
  <si>
    <t>8.14.3</t>
  </si>
  <si>
    <t>Анкер для газобетона Hilti HPD M10</t>
  </si>
  <si>
    <t>8.14.4</t>
  </si>
  <si>
    <t>8.14.5</t>
  </si>
  <si>
    <t>8.15</t>
  </si>
  <si>
    <t xml:space="preserve">Рама под оборудование </t>
  </si>
  <si>
    <t>8.15.1</t>
  </si>
  <si>
    <t>Пластина 10х220х220</t>
  </si>
  <si>
    <t>Пластина 10х120х120</t>
  </si>
  <si>
    <t>Труба проф. 100х4</t>
  </si>
  <si>
    <t>Уголок 50х4</t>
  </si>
  <si>
    <t>8.15.2</t>
  </si>
  <si>
    <t>8.15.3</t>
  </si>
  <si>
    <t>8.15.4</t>
  </si>
  <si>
    <t>Лист 3мм</t>
  </si>
  <si>
    <t>Опоры под поддон 250х250 - 4шт</t>
  </si>
  <si>
    <t>Кирпич</t>
  </si>
  <si>
    <t>8.17</t>
  </si>
  <si>
    <t>Покрытие вентшахт ВШ1, ВШ2, ВШ3</t>
  </si>
  <si>
    <t>8.17.1</t>
  </si>
  <si>
    <t>Профиль 60х4</t>
  </si>
  <si>
    <t>Профиль 50х25х3</t>
  </si>
  <si>
    <t>Профиль 40х3</t>
  </si>
  <si>
    <t>Пластина 8х120х585</t>
  </si>
  <si>
    <t>8.17.2</t>
  </si>
  <si>
    <t>Анкер-шпилька Hilti HIT-V-R М12х220</t>
  </si>
  <si>
    <t>8.17.3</t>
  </si>
  <si>
    <t>Анкер-шпилька Hilti HIT-V-R М12х280</t>
  </si>
  <si>
    <t>8.17.4</t>
  </si>
  <si>
    <t>Профнастил С21-1000-0,7</t>
  </si>
  <si>
    <t>9</t>
  </si>
  <si>
    <t>Машинное отделение и выход на кровлю</t>
  </si>
  <si>
    <t>Обеспылевание лифтовой шахты</t>
  </si>
  <si>
    <t xml:space="preserve">грунтовка глубокого проникновения </t>
  </si>
  <si>
    <t>Окраска лифтовых приямков</t>
  </si>
  <si>
    <t xml:space="preserve">Эмаль для бетонных полов </t>
  </si>
  <si>
    <t>10</t>
  </si>
  <si>
    <t>Фасад</t>
  </si>
  <si>
    <t>10.1.1</t>
  </si>
  <si>
    <t>Пластина 8х160х160</t>
  </si>
  <si>
    <t>Пластина 8х160х280</t>
  </si>
  <si>
    <t>Пластина 5х75х130</t>
  </si>
  <si>
    <t>10.1.2</t>
  </si>
  <si>
    <t>Пластина 8х90х160</t>
  </si>
  <si>
    <t>Уголок 40х3</t>
  </si>
  <si>
    <t>Уголок 30х3</t>
  </si>
  <si>
    <t>Лист 1мм перфорированный</t>
  </si>
  <si>
    <t>Болт М8-6gх25.58.016</t>
  </si>
  <si>
    <t>Болт М10-6gx40.58.016</t>
  </si>
  <si>
    <t>Hilti HSТ3 М10х110 50/30</t>
  </si>
  <si>
    <t>10.2</t>
  </si>
  <si>
    <t>10.2.1</t>
  </si>
  <si>
    <t>Кронштейн Кр-2 (L=438мм)</t>
  </si>
  <si>
    <t>Пластина 8х160х430</t>
  </si>
  <si>
    <t>10.2.2</t>
  </si>
  <si>
    <t>№</t>
  </si>
  <si>
    <t>наименование дом № 6</t>
  </si>
  <si>
    <t>ед.измерения</t>
  </si>
  <si>
    <t>колличествопо спецификации</t>
  </si>
  <si>
    <t>Работа</t>
  </si>
  <si>
    <t>цена за ед.</t>
  </si>
  <si>
    <t>сумма по обему</t>
  </si>
  <si>
    <t>общее трудозатраты</t>
  </si>
  <si>
    <t>воздуховод  100*200</t>
  </si>
  <si>
    <t>п/м</t>
  </si>
  <si>
    <t>воздуховод  150*100</t>
  </si>
  <si>
    <t>воздуховод  150*150</t>
  </si>
  <si>
    <t>воздуховод  150*200</t>
  </si>
  <si>
    <t>воздуховод  200*200</t>
  </si>
  <si>
    <t>воздуховод  200*300</t>
  </si>
  <si>
    <t>воздуховод  250*350</t>
  </si>
  <si>
    <t>воздуховод  250*300</t>
  </si>
  <si>
    <t>воздуховод  300*300</t>
  </si>
  <si>
    <t>воздуховод  300*350</t>
  </si>
  <si>
    <t>воздуховод  400*300</t>
  </si>
  <si>
    <t>воздуховод  450*450</t>
  </si>
  <si>
    <t>воздуховод  400*400</t>
  </si>
  <si>
    <t>воздуховод  400*500</t>
  </si>
  <si>
    <t>воздуховод  500*300</t>
  </si>
  <si>
    <t>воздуховод  550*350</t>
  </si>
  <si>
    <t>воздуховод  650*300</t>
  </si>
  <si>
    <t>воздуховод  250*250</t>
  </si>
  <si>
    <t>воздуховод  400*700</t>
  </si>
  <si>
    <t>воздуховод  800*900</t>
  </si>
  <si>
    <t>воздуховод  600*600</t>
  </si>
  <si>
    <t>воздуховод  900*900</t>
  </si>
  <si>
    <t>Фасонные изделия</t>
  </si>
  <si>
    <t>воздуховод  Ф-200</t>
  </si>
  <si>
    <t>Огнезащита EI-30 изовент</t>
  </si>
  <si>
    <t>м 2</t>
  </si>
  <si>
    <t>Огнезащита EI-150 изовент</t>
  </si>
  <si>
    <t>Вент решетка Z/H 100*150</t>
  </si>
  <si>
    <t>Вент решетка Z/H 150*150</t>
  </si>
  <si>
    <t>Вент решетка Z/H 200*100</t>
  </si>
  <si>
    <t>Вент решетка Z/H 150*200 с КРВ</t>
  </si>
  <si>
    <t>Вент решетка Z/H 150*150 с КРВ</t>
  </si>
  <si>
    <t>Решетка КДМ 400*700</t>
  </si>
  <si>
    <t>Решетка КДМ 500*400</t>
  </si>
  <si>
    <t>Решетка КДМ 600*600</t>
  </si>
  <si>
    <t xml:space="preserve">Компенсатор теплового линейного расширения </t>
  </si>
  <si>
    <t>Дифлектор Ф 200</t>
  </si>
  <si>
    <t>Узел прохода УП 1 Ф 200</t>
  </si>
  <si>
    <t>Клапан 400*310 ручной</t>
  </si>
  <si>
    <t>Вентилятор осевой с обратным клапаном (бытовой)</t>
  </si>
  <si>
    <t>Вентилятор крышный ДУ 400 КРОВ</t>
  </si>
  <si>
    <t>Стакан монтажный стам 400-51-Н</t>
  </si>
  <si>
    <t>Вентилятор Крышный подпор ВКОП0-080-Н-01100/2</t>
  </si>
  <si>
    <t>Вентилятор Крышный подпор ВКОП0-080-Н-00550/4</t>
  </si>
  <si>
    <t>Вентилятор Крашный подпор ВКОП0-071Н-00550/2</t>
  </si>
  <si>
    <t>Приточная установка КЦКП-3,15 Н-У1</t>
  </si>
  <si>
    <t>Стакан монтажный стам 200-071-Н</t>
  </si>
  <si>
    <t>Стакан монтажный стам 200-112-Н</t>
  </si>
  <si>
    <t>Клапан обратный 600*600</t>
  </si>
  <si>
    <t>Клапан обратный 250*250</t>
  </si>
  <si>
    <t>Клапан противопожарный НЗ EI-90 900*800</t>
  </si>
  <si>
    <t>Клапан противопожарный НЗ EI-120 900*900</t>
  </si>
  <si>
    <t>Клапан противопожарный НЗ EI-90 600*600</t>
  </si>
  <si>
    <t>Клапан противопожарный НЗ EI-90 500*400</t>
  </si>
  <si>
    <t>Клапан противопожарный НЗ EI-90 400*700</t>
  </si>
  <si>
    <t>Клапан противопожарный НО EI-60 150*150</t>
  </si>
  <si>
    <t>Клапан противопожарный НО EI-60 250*250</t>
  </si>
  <si>
    <t>Клапан противопожарный дымовой EI-90 600*600</t>
  </si>
  <si>
    <t>Переходник ПЕК-ОСА-080-С</t>
  </si>
  <si>
    <t>Переходник ПЕК-ОСА-071-С</t>
  </si>
  <si>
    <t>Переходник ПЕК-ОСА-063-С</t>
  </si>
  <si>
    <t>Болт М-8</t>
  </si>
  <si>
    <t>Гайка М-8</t>
  </si>
  <si>
    <t>Прессшайба4/2-16 с пером</t>
  </si>
  <si>
    <t>Уплотнотельная лента</t>
  </si>
  <si>
    <t>Шнур айзбестовый Ф-5</t>
  </si>
  <si>
    <t>Траверса 30*20</t>
  </si>
  <si>
    <t>Траверса 38/40</t>
  </si>
  <si>
    <t xml:space="preserve">Скотч аллюминевый </t>
  </si>
  <si>
    <t>рул</t>
  </si>
  <si>
    <t>Скоба зажимная</t>
  </si>
  <si>
    <t>Пена противопожарная</t>
  </si>
  <si>
    <t>шинка 20</t>
  </si>
  <si>
    <t>уголок 20</t>
  </si>
  <si>
    <t>круг отрезной Ф 125</t>
  </si>
  <si>
    <t>Цены действительные на 30.04.2020</t>
  </si>
  <si>
    <t>итого</t>
  </si>
  <si>
    <t>Общеобменная Вентиляция офисной части Доп работы</t>
  </si>
  <si>
    <t>Воздуховод 100 x 150</t>
  </si>
  <si>
    <t>176</t>
  </si>
  <si>
    <t>Воздуховод 100 x 200</t>
  </si>
  <si>
    <t>83</t>
  </si>
  <si>
    <t>Воздуховод 150 x 200</t>
  </si>
  <si>
    <t>17</t>
  </si>
  <si>
    <t>249</t>
  </si>
  <si>
    <t>6</t>
  </si>
  <si>
    <t>Воздуховод 200 x 200</t>
  </si>
  <si>
    <t>7</t>
  </si>
  <si>
    <r>
      <t xml:space="preserve">Воздуховод из тонколистовой оцинкованной стали (кл. герметичности </t>
    </r>
    <r>
      <rPr>
        <sz val="9.5"/>
        <rFont val="Arial"/>
        <family val="2"/>
        <charset val="204"/>
      </rPr>
      <t xml:space="preserve">A) </t>
    </r>
    <r>
      <rPr>
        <sz val="9.5"/>
        <rFont val="Arial"/>
        <family val="2"/>
        <charset val="204"/>
      </rPr>
      <t xml:space="preserve">(5=0.6)  200 </t>
    </r>
    <r>
      <rPr>
        <sz val="9.5"/>
        <rFont val="Arial"/>
        <family val="2"/>
        <charset val="204"/>
      </rPr>
      <t>x300</t>
    </r>
  </si>
  <si>
    <t>Воздуховод 200 x 300</t>
  </si>
  <si>
    <t>177</t>
  </si>
  <si>
    <t>Огнезащитное покрытие  (EI30)</t>
  </si>
  <si>
    <t>586</t>
  </si>
  <si>
    <t>11</t>
  </si>
  <si>
    <t>Крепление ВозЗуховоЗов, металл</t>
  </si>
  <si>
    <t>670</t>
  </si>
  <si>
    <t>12</t>
  </si>
  <si>
    <t>Вентиляционная решётка Z/H 150x100</t>
  </si>
  <si>
    <t>13</t>
  </si>
  <si>
    <t>Вентиляционная решётка Z/H 200x150</t>
  </si>
  <si>
    <t>14</t>
  </si>
  <si>
    <t>Вентиляционная решётка Z/H 200x200</t>
  </si>
  <si>
    <t>15</t>
  </si>
  <si>
    <t>Вентиляционная решётка Z/H 300x150</t>
  </si>
  <si>
    <t>Итого</t>
  </si>
  <si>
    <t>Итого с доп работами</t>
  </si>
  <si>
    <t>СОГЛАСОВАНО:</t>
  </si>
  <si>
    <t>УТВЕРЖДАЮ:</t>
  </si>
  <si>
    <t>Генеральный директор</t>
  </si>
  <si>
    <t>Заместитель генерального директора</t>
  </si>
  <si>
    <t>__________________ Исмагилов Э. Р.</t>
  </si>
  <si>
    <t>__________________ Исмагилов В. Р.</t>
  </si>
  <si>
    <t>Себестоимость</t>
  </si>
  <si>
    <t>на устройство отопления  на  многоквартирном жилом доме № 6</t>
  </si>
  <si>
    <t>Проект: 4-ИЗУ/Д6-ДИ19-ОВ</t>
  </si>
  <si>
    <t>Стройка: Строительство многоквартирного жилого дома № 6 по адресу: г. Ульяновск, Засвияжский район, Московское шоссе.</t>
  </si>
  <si>
    <t>Проект: 24-ИЗУ/Д6-ДИ19-ОВ изм. 1</t>
  </si>
  <si>
    <t>ЭОМ</t>
  </si>
  <si>
    <t>Кол-во</t>
  </si>
  <si>
    <t>Цена</t>
  </si>
  <si>
    <t>Светильник ДПО-1801Д</t>
  </si>
  <si>
    <t>Светильник Энтрада ПИР с встр акб</t>
  </si>
  <si>
    <t>Универсальный светодиодный встраиваемый светильник, мощностью 36Вт, IP40</t>
  </si>
  <si>
    <t>Светильник "Выход"</t>
  </si>
  <si>
    <t>Указатель номера улицы и дома</t>
  </si>
  <si>
    <t>Автономный световой указатель</t>
  </si>
  <si>
    <t>Заградительный огонь мощностью 6 Вт</t>
  </si>
  <si>
    <t>Светильник переносной 24 В</t>
  </si>
  <si>
    <t>Датчик движения ДД-МВ301</t>
  </si>
  <si>
    <t>Патрон настенный Е27</t>
  </si>
  <si>
    <t>Светодиодная лампа 15 Вт</t>
  </si>
  <si>
    <t>Лампа 24В</t>
  </si>
  <si>
    <t>Выключатель 1кл ГЕРМЕС ИЕК</t>
  </si>
  <si>
    <t>Розетка 1местн КВАРТА</t>
  </si>
  <si>
    <t>Розетка 1м на дин рейку</t>
  </si>
  <si>
    <t>Кабель ВВГнг ЛС 3х1,5</t>
  </si>
  <si>
    <t>Кабель ВВГнг ЛС 3х2,5</t>
  </si>
  <si>
    <t>Кабель ВВГнг ЛС 3х6</t>
  </si>
  <si>
    <t>Кабель ВВГнг ЛС 3х10</t>
  </si>
  <si>
    <t>Кабель ВВГнг ЛС 3х16</t>
  </si>
  <si>
    <t>Кабель ВВГнг ЛС 5х4</t>
  </si>
  <si>
    <t>Кабель ВВГнг ЛС 5х6</t>
  </si>
  <si>
    <t>Кабель ВВГнг ЛС 5х70</t>
  </si>
  <si>
    <t>Кабель ВВГнг ФРЛС 3х1,5</t>
  </si>
  <si>
    <t>Кабель ВВГнг ФРЛС 3х2,5</t>
  </si>
  <si>
    <t>Кабель ВВГнг ФРЛС 3х4</t>
  </si>
  <si>
    <t>Кабель ВВГнг ФРЛС 5х2,5</t>
  </si>
  <si>
    <t>Кабель ВВГнг ФРЛС 5х6</t>
  </si>
  <si>
    <t>Кабель ВВГнг ФРЛС 5х16</t>
  </si>
  <si>
    <t>Кабель ВВгнг ФРЛС 5х25</t>
  </si>
  <si>
    <t>Кабель ВВгнг ФРЛС 5х35</t>
  </si>
  <si>
    <t>Кабель ВВгнг ФРЛС 5х70</t>
  </si>
  <si>
    <t>Кабель ВВГнг ФРЛС 1х120</t>
  </si>
  <si>
    <t>Кабель ВВгнг ФРЛС 4х2,5</t>
  </si>
  <si>
    <t>Кабель ВВгнг ФРЛС 4х4</t>
  </si>
  <si>
    <t>Кабель ВВгнг ФРЛС 4х6</t>
  </si>
  <si>
    <t>Кабель ВВгнг ФРЛС 4х25</t>
  </si>
  <si>
    <t>Кабель ВВгнг ФРЛС 4х35</t>
  </si>
  <si>
    <t>Кабель ВВгнг ФРЛС 4х70</t>
  </si>
  <si>
    <t>Комлект греющих кабелей</t>
  </si>
  <si>
    <t>Лоток в сборе 150х50</t>
  </si>
  <si>
    <t>Труба гофрированная ПВХ диаметром 20 мм</t>
  </si>
  <si>
    <t>Труба гофрированная ПВХ диаметром 25 мм</t>
  </si>
  <si>
    <t>Труба гофрированная ПВХ диаметром 32 мм</t>
  </si>
  <si>
    <t>Труба стальная 70мм</t>
  </si>
  <si>
    <t>Держатель с защелкой 20 мм</t>
  </si>
  <si>
    <t>Держатель с защелкой 25 мм</t>
  </si>
  <si>
    <t>Держатель с защелкой 32 мм</t>
  </si>
  <si>
    <t>Метизы (дюбель-гвозди, дюбель-хомуты и т.д.)</t>
  </si>
  <si>
    <t>Сталь круглая оцинкованная 8мм</t>
  </si>
  <si>
    <t>Сталь круглая оцинкованная 18мм</t>
  </si>
  <si>
    <t>Сталь полосовая 5х40</t>
  </si>
  <si>
    <t>Сталь полосовая 4х25 оцинк</t>
  </si>
  <si>
    <t>ГЗШ 5х50 медная</t>
  </si>
  <si>
    <t>Держатель проводника кровельный</t>
  </si>
  <si>
    <t>Щитовое оборудование:</t>
  </si>
  <si>
    <t>Комплект защитного инструмента в Эл. Щитовую</t>
  </si>
  <si>
    <t>Итого:</t>
  </si>
  <si>
    <t>Извещатель ИПР-Кск (ИОПР 513/101-1)</t>
  </si>
  <si>
    <t>Извещатель ИО 102-20 Б2П (2)</t>
  </si>
  <si>
    <t>Блок индикации и управления Рубеж-БИУ</t>
  </si>
  <si>
    <t>Изолятор шлейфа ИЗ-1 прот.R3</t>
  </si>
  <si>
    <t>Метка адресная АМ-4 прот.R3</t>
  </si>
  <si>
    <t>Модуль МДУ-1 прот.R3</t>
  </si>
  <si>
    <t>Прибор приемно-контрольный Рубеж-2ОП прот.R3</t>
  </si>
  <si>
    <t>Релейный модуль РМ-1 прот.R3</t>
  </si>
  <si>
    <t>Релейный модуль РМ-4 прот.R3</t>
  </si>
  <si>
    <t>ШУН/В-0,37-00-УК30-R3</t>
  </si>
  <si>
    <t>Шкаф ШУН/В-Т-3-R3</t>
  </si>
  <si>
    <t>Шкаф ШУН/В-Т-5,5-R3</t>
  </si>
  <si>
    <t>ШУН/В-Т-11-R3</t>
  </si>
  <si>
    <t>Преобразовать напряжения ПН-12/24-1,0</t>
  </si>
  <si>
    <t>ОС Windows 7</t>
  </si>
  <si>
    <t>Доводчик для двери FE-B5W</t>
  </si>
  <si>
    <t>Коробка монтажная УК-2П</t>
  </si>
  <si>
    <t>Кабель-канал ПВХ 20х10</t>
  </si>
  <si>
    <t>Металлконскрукции</t>
  </si>
  <si>
    <t>Кабель КПСнг(А)-FRLS 4х2х0,75</t>
  </si>
  <si>
    <t>Кабель КПСнг(А)-FRLS 1х2х0,35</t>
  </si>
  <si>
    <t>Кабель КПСнг(А)-FRLS 1х2х0,5</t>
  </si>
  <si>
    <t>Кабель КПСнг(А)-FRLS 1х2х0,75</t>
  </si>
  <si>
    <t>Витая пара FTP 4x2x0.5</t>
  </si>
  <si>
    <t>Витая пара FTP 2x2x0.5</t>
  </si>
  <si>
    <t>Кабель связи КПСВВнг(А)-LS 1х2х0,5</t>
  </si>
  <si>
    <t>Гофрированная труба ПНД 16 мм</t>
  </si>
  <si>
    <t>Гофрированная труба ПНД 20 мм</t>
  </si>
  <si>
    <t>Труба жесткая ПВХ 20 мм</t>
  </si>
  <si>
    <t>Трубка стальная 25 мм</t>
  </si>
  <si>
    <t>5-портовый 10/100 Мбит/с коммутатор TL-SF1005D</t>
  </si>
  <si>
    <t>Извещатель охранный магнитоуправляемый адресный ИО 102-20 А2П</t>
  </si>
  <si>
    <t>Лифтовой блок версии 7.2 - Р</t>
  </si>
  <si>
    <t>Кабель ВВГнг(А)-LS 3х2,5</t>
  </si>
  <si>
    <t>Розетка 2-х местная наружной установки</t>
  </si>
  <si>
    <t>Труба гофрированная ПНД 20 мм</t>
  </si>
  <si>
    <t>Кабель FTP</t>
  </si>
  <si>
    <t>Кабель UTP 4 пары кат. 5е</t>
  </si>
  <si>
    <t>Провод ШВВП 2х0,5</t>
  </si>
  <si>
    <t>Хомут нейлоновый 3,6х250</t>
  </si>
  <si>
    <t>уп</t>
  </si>
  <si>
    <t>Точка доступа UBIQUITI LOCOM2</t>
  </si>
  <si>
    <t>Беспроводной роутер Keenetic Omni</t>
  </si>
  <si>
    <t>Модуль переговорной связи</t>
  </si>
  <si>
    <t>Устройство переговорное</t>
  </si>
  <si>
    <t>Аккумулятор герметичный 7 Ач Delta DTM 1207</t>
  </si>
  <si>
    <t>Коробка коммутационная КС-2</t>
  </si>
  <si>
    <t>Адресный релейный модуль РМ-4К</t>
  </si>
  <si>
    <t>Извещатель ИО 10220-2 прот.R3</t>
  </si>
  <si>
    <t>Извещатель ИП 212-50М2</t>
  </si>
  <si>
    <t>Извещатель ИП 212-64</t>
  </si>
  <si>
    <t>Извещатель ручной ИПР 513-11 прот.R3</t>
  </si>
  <si>
    <t>Извещатель ИП 101-29-PR</t>
  </si>
  <si>
    <t>Источник вторичного питания ИВЭПР 12/3,5 RSR Р БР</t>
  </si>
  <si>
    <t>Оповещатель ОПОП 124-7</t>
  </si>
  <si>
    <t>Релейный модуль РМ-4</t>
  </si>
  <si>
    <t>Кабель КПСнг(А)-FRLS 1х2х0,50</t>
  </si>
  <si>
    <t>Кабель КПСнг(А)-FRLS 1х2х1,0</t>
  </si>
  <si>
    <t>Программатор ПКУ-1–R3</t>
  </si>
  <si>
    <t>Кабель-канал ПВХ 25х16 ИЭК</t>
  </si>
  <si>
    <t>Металлоконструкции (дюбель-гвозди, скобы и т.д.)</t>
  </si>
  <si>
    <t>Лоток в сборе100х100</t>
  </si>
  <si>
    <t>Антенна</t>
  </si>
  <si>
    <t>Устилитель TERRA HA126</t>
  </si>
  <si>
    <t>Мачта антенная</t>
  </si>
  <si>
    <t>Абонентский разветвитель ТВ сигналов ОАТ-108</t>
  </si>
  <si>
    <t>Щит ЩМП- 80.60.25 (ЩРНМ-4) IP31 PROxima в сборе</t>
  </si>
  <si>
    <t>Универсальная програмируемая станция</t>
  </si>
  <si>
    <t>Прогрматор UCF 300</t>
  </si>
  <si>
    <t>Грозозащита RTM TS-2006</t>
  </si>
  <si>
    <t>F-коннектор на кабель SAT</t>
  </si>
  <si>
    <t>Коробка КС-4</t>
  </si>
  <si>
    <t>Кабельно-проводниковая продукция</t>
  </si>
  <si>
    <t xml:space="preserve">Металлоконструкции </t>
  </si>
  <si>
    <t>Кабель SAT-703В</t>
  </si>
  <si>
    <t>Труба гофрированная ПНД 16 мм</t>
  </si>
  <si>
    <t>объем с учетом швов</t>
  </si>
  <si>
    <t>Электроснабжение</t>
  </si>
  <si>
    <t>АПС и автоматика</t>
  </si>
  <si>
    <t>Вентиляция</t>
  </si>
  <si>
    <t>Себестоимость - ПТО</t>
  </si>
  <si>
    <t>Смета дом № 6 Аквамарин (разделы АК, СС, ЭОМ, АПС) апрель 2020г.</t>
  </si>
  <si>
    <t>Работа:</t>
  </si>
  <si>
    <t>Заработаная плата электромонтажникам, в т.ч.:</t>
  </si>
  <si>
    <t>Заработная плата рабочего персонала (7 чел)</t>
  </si>
  <si>
    <t>мес</t>
  </si>
  <si>
    <t>Заработная плата ИТР</t>
  </si>
  <si>
    <t>Расходники</t>
  </si>
  <si>
    <t>Налоги с ФОТ (3684 * 7,2 чел)</t>
  </si>
  <si>
    <t>Налоги с ИП</t>
  </si>
  <si>
    <t>Инструмент (2 перф, 1 болгарка, 1 свар аппарат)</t>
  </si>
  <si>
    <t>Материалы</t>
  </si>
  <si>
    <t>Сумма</t>
  </si>
  <si>
    <t>АК</t>
  </si>
  <si>
    <t>СС</t>
  </si>
  <si>
    <t>АПС</t>
  </si>
  <si>
    <t>Лаборатория</t>
  </si>
  <si>
    <t>Пуск и наладка пожарной сиситемы</t>
  </si>
  <si>
    <t>Сдача в Ростехнадроз</t>
  </si>
  <si>
    <t>Всего:</t>
  </si>
  <si>
    <t>Общая себестоимость дома № 6 "Аквамарин"</t>
  </si>
  <si>
    <t>Смета № 6 дом Аквамарин (14.04.2020)</t>
  </si>
  <si>
    <t>Наименование товара</t>
  </si>
  <si>
    <t>Ед.</t>
  </si>
  <si>
    <t>Светильник ДПО-1801</t>
  </si>
  <si>
    <t>Светильник указатель "ПК"</t>
  </si>
  <si>
    <t>ЯТП220-24-0,25</t>
  </si>
  <si>
    <t>Коробка распаячная 105х105х50</t>
  </si>
  <si>
    <t>ПВ3 1х25 желто-зеленый</t>
  </si>
  <si>
    <t>ВРУ ВП2, ВП1</t>
  </si>
  <si>
    <t>АВР 250А</t>
  </si>
  <si>
    <r>
      <t xml:space="preserve">РП-1, </t>
    </r>
    <r>
      <rPr>
        <sz val="10"/>
        <color rgb="FFFF0000"/>
        <rFont val="Arial"/>
        <family val="2"/>
        <charset val="204"/>
      </rPr>
      <t>РП-2</t>
    </r>
  </si>
  <si>
    <t>БАУО</t>
  </si>
  <si>
    <t>ППУ</t>
  </si>
  <si>
    <t>ЩК</t>
  </si>
  <si>
    <t>ЩО</t>
  </si>
  <si>
    <t>ЩЭ 4 квартиры</t>
  </si>
  <si>
    <t>ЩЭ 5 квартир</t>
  </si>
  <si>
    <t>ЩЭ 6 квартир</t>
  </si>
  <si>
    <t>Смета №6 дом Аквамарин</t>
  </si>
  <si>
    <t>Телевидение</t>
  </si>
  <si>
    <t>Смета ОС дом №6 Аквамарин</t>
  </si>
  <si>
    <t>Смета АК дом №6 Аквамарин</t>
  </si>
  <si>
    <t>Пожарная автоматика</t>
  </si>
  <si>
    <t>Диспетчеризация лифтов</t>
  </si>
  <si>
    <t>Отопление</t>
  </si>
  <si>
    <t>Водоснабжение и канализация</t>
  </si>
  <si>
    <t>17..1</t>
  </si>
  <si>
    <t>17..2</t>
  </si>
  <si>
    <t>17..3</t>
  </si>
  <si>
    <t>17..4</t>
  </si>
  <si>
    <t>17..5</t>
  </si>
  <si>
    <t>Сметная стоимость - упр.</t>
  </si>
  <si>
    <t>Отклонение себестоимости</t>
  </si>
  <si>
    <t>Разные работы</t>
  </si>
  <si>
    <t xml:space="preserve">Устройство фасада </t>
  </si>
  <si>
    <t>Себестоимость первоначальная</t>
  </si>
  <si>
    <t>Разработка котлована 1-й этап</t>
  </si>
  <si>
    <t>Разработка котлована 2-й этап</t>
  </si>
  <si>
    <t>Ручная доработка</t>
  </si>
  <si>
    <t>1.1..1</t>
  </si>
  <si>
    <t>1.1..2</t>
  </si>
  <si>
    <t>Разработка котлована.</t>
  </si>
  <si>
    <t>Разгрузка Свай</t>
  </si>
  <si>
    <t>Сваи С200.35-Св.ВП по Серии 1.011.1-10 вып.8 (С80.35-НСв-6, Свая С120.35-ВСв-6)</t>
  </si>
  <si>
    <t>Устройство свайного поля</t>
  </si>
  <si>
    <t>Погружение составных ж/б свай 35*35 см, сварной стык</t>
  </si>
  <si>
    <t xml:space="preserve">Разные работы </t>
  </si>
  <si>
    <t>оцинковааное металлическое ограждение (секции)</t>
  </si>
  <si>
    <t xml:space="preserve">Ограждение лестничных маршей h=0,9 м </t>
  </si>
  <si>
    <t xml:space="preserve">Монтаж вент.жалюзийных решеток продуха подвала </t>
  </si>
  <si>
    <t xml:space="preserve">Монтаж лестниц  пожарных </t>
  </si>
  <si>
    <t>Металлические элементы машинного помещения</t>
  </si>
  <si>
    <t>5.7</t>
  </si>
  <si>
    <t>5.8</t>
  </si>
  <si>
    <t>Металлические ограждения (кондиционеры) на навесных вентилируемых фасадах</t>
  </si>
  <si>
    <t>5.9</t>
  </si>
  <si>
    <t>Монтажные закладные для кондиционеров</t>
  </si>
  <si>
    <t>Накладные расходы 11%</t>
  </si>
  <si>
    <t>Сметная прибыль 5%</t>
  </si>
  <si>
    <t>Итого по разделу 5</t>
  </si>
  <si>
    <t>Расположение в ПТО</t>
  </si>
  <si>
    <t>Раздел Вентиляция</t>
  </si>
  <si>
    <t>Раздел Кровля</t>
  </si>
  <si>
    <t>Металлический поддоны на чердаке</t>
  </si>
  <si>
    <t>Отсутствует</t>
  </si>
  <si>
    <t>Башенный кран</t>
  </si>
  <si>
    <t>6.1</t>
  </si>
  <si>
    <t>т</t>
  </si>
  <si>
    <t>Щебень 20х40</t>
  </si>
  <si>
    <t>Щебень 5х20</t>
  </si>
  <si>
    <t>Плиты дорожные</t>
  </si>
  <si>
    <t>Рельсовые балки</t>
  </si>
  <si>
    <t>мес.</t>
  </si>
  <si>
    <t>аренда</t>
  </si>
  <si>
    <t>Разработка проекта башенного крана с экспертизой проекта</t>
  </si>
  <si>
    <t>Цементно-песчаная стяжка М75</t>
  </si>
  <si>
    <t>18..1</t>
  </si>
  <si>
    <t>Кран башенный (без аренды плит)</t>
  </si>
  <si>
    <t>18..2</t>
  </si>
  <si>
    <t>Опалубка железобетонная</t>
  </si>
  <si>
    <t>18..3</t>
  </si>
  <si>
    <t>Прочие затраты</t>
  </si>
  <si>
    <t>Телескопический крепежный элемент Технониоль 200мм</t>
  </si>
  <si>
    <t>Покупка башенный кран КБ 408.21 с перевозкой</t>
  </si>
  <si>
    <t>Монтаж башенного крана</t>
  </si>
  <si>
    <t>6 дом</t>
  </si>
  <si>
    <t>7..1</t>
  </si>
  <si>
    <t>7..2</t>
  </si>
  <si>
    <t>7..3</t>
  </si>
  <si>
    <t>7..4</t>
  </si>
  <si>
    <t>7..5</t>
  </si>
  <si>
    <t>Обслуживание башенного крана (с марта по декабрь 2020)</t>
  </si>
  <si>
    <t>ИТР - 33%</t>
  </si>
  <si>
    <t>Материалы для обслуживания крана - 33%</t>
  </si>
  <si>
    <t>8..1</t>
  </si>
  <si>
    <t>8..2</t>
  </si>
  <si>
    <t>Монтаж корзины кондиционера К-1 (вентилируемый фасад).</t>
  </si>
  <si>
    <t>Герметик для кровельных работ</t>
  </si>
  <si>
    <t>Корзина кондиционера К-1 (Вентилируемый фасад)</t>
  </si>
  <si>
    <t>10.3</t>
  </si>
  <si>
    <t>10.3.1</t>
  </si>
  <si>
    <t>10.3.2</t>
  </si>
  <si>
    <t>10.3.3</t>
  </si>
  <si>
    <t>10.3.4</t>
  </si>
  <si>
    <t>10.3.5</t>
  </si>
  <si>
    <t>10.3.6</t>
  </si>
  <si>
    <t>10.3.7</t>
  </si>
  <si>
    <t>10.2.3</t>
  </si>
  <si>
    <t>10.2.4</t>
  </si>
  <si>
    <t>10.1.3</t>
  </si>
  <si>
    <t>10.1.4</t>
  </si>
  <si>
    <t>10.1.5</t>
  </si>
  <si>
    <t>Кронштейн Кр-1 (L=288мм) на штукатурном фасаде</t>
  </si>
  <si>
    <t>Плитка тротуарная 300х300х30</t>
  </si>
  <si>
    <t>8.11.1</t>
  </si>
  <si>
    <t>8.11.2</t>
  </si>
  <si>
    <t>Устройство мокрого фасада с утеплением 150 мм</t>
  </si>
  <si>
    <t>Грунтовка основания стен Ceresit CT16</t>
  </si>
  <si>
    <t>10 л</t>
  </si>
  <si>
    <t>Теплоизоляция ТехноФАС Оптима 120/150</t>
  </si>
  <si>
    <t>куб.м.</t>
  </si>
  <si>
    <t>Bagirus DT 10x260</t>
  </si>
  <si>
    <t>Сетка фасадная Алабуга GW 545-4x4-165-100-050</t>
  </si>
  <si>
    <t>50 кв.м.</t>
  </si>
  <si>
    <t>1.1.4</t>
  </si>
  <si>
    <t>Клей для минераловатных плит Ceresit СТ 180 MW Strong Fix</t>
  </si>
  <si>
    <t>25 кг</t>
  </si>
  <si>
    <t>Штукатурно-клеевая смесь для минераловатных плит Сeresit СТ 190 MW Flex</t>
  </si>
  <si>
    <t>Грунтовка под декоративные штукатурки Ceresit CT16</t>
  </si>
  <si>
    <t>Минеральная декоративная штукатурка «камешковая» 1,5 мм «под окраску» Ceresit CT137</t>
  </si>
  <si>
    <t>Профиль угловой ПВХ с сеткой 100х150</t>
  </si>
  <si>
    <t>2,5 м</t>
  </si>
  <si>
    <t>Устройство мокрого фасада с утеплением 100 мм</t>
  </si>
  <si>
    <t>Теплоизоляция ТехноФАС Оптима 120/100</t>
  </si>
  <si>
    <t>Bagirus DT 10x200</t>
  </si>
  <si>
    <t>Устройство мокрого фасада без утепления (балконы)</t>
  </si>
  <si>
    <t>Грунтовка под декоративную штукатурку Ceresit CT16</t>
  </si>
  <si>
    <t>Устройство мокрого фасада без утепления (откосы)</t>
  </si>
  <si>
    <t>Профиль-капельник</t>
  </si>
  <si>
    <t>Примыкание</t>
  </si>
  <si>
    <t>Окраска фасада</t>
  </si>
  <si>
    <t>кв.м.</t>
  </si>
  <si>
    <t>Краска силикат. д/нар. работ база  CERESIT СТ54 (15л)</t>
  </si>
  <si>
    <t>Колер RAL 7035 светло-серый</t>
  </si>
  <si>
    <t>Колер RAL9003 белый</t>
  </si>
  <si>
    <t>Колер коричневый</t>
  </si>
  <si>
    <t>СПК - Половинкина</t>
  </si>
  <si>
    <t>ПВХ - Половинкина</t>
  </si>
  <si>
    <t>Половинкина</t>
  </si>
  <si>
    <t>ФОТ машиниста</t>
  </si>
  <si>
    <t>8..3</t>
  </si>
  <si>
    <t>Уголок 50х3</t>
  </si>
  <si>
    <t xml:space="preserve">Грунт-эмаль "Короед"  7035 светло-серый </t>
  </si>
  <si>
    <t>Блок бетонный стеновой полнотелый КСР-ПР-39-75-1900 по ГОСТ 6133-2019 (СКЦ) 390х190х188</t>
  </si>
  <si>
    <t>Камень бетонный стеновой КПР-ПР-ПС-39-50-F35-1100 по ГОСТ 33126-2014</t>
  </si>
  <si>
    <t>Заделка швов внутренней кладки</t>
  </si>
  <si>
    <t>Устройство перегородок из блоков керамзитобетонных (без внутриквартирных перегородок с 2 по 24 эт+ с/у и короба)</t>
  </si>
  <si>
    <t>Камень бетонный стеновой КПР-ПР-ПС-9-50-F35-1100 по ГОСТ 33126-2014</t>
  </si>
  <si>
    <t>Кладка перегородок в МОП из керамзитобетонных блоков т. 90мм (лифтовый холл)</t>
  </si>
  <si>
    <t>Устройство коробов из ГКЛ в тамбуре 1 этажа (обшивка пилонов под трубопровод отопления)</t>
  </si>
  <si>
    <t>лист ГКЛ 12,5 мм</t>
  </si>
  <si>
    <t>Профиль направляющий ПН 27х28</t>
  </si>
  <si>
    <t>Профиль потолочный ПП 60х27</t>
  </si>
  <si>
    <t>Шурупы самонарезающие</t>
  </si>
  <si>
    <t>Поддон 2550х2550 (на кровле)</t>
  </si>
  <si>
    <t>Лабораторные испытания ограждения незадымляемых балконов ОГ-1; пожарных лестниц на кровле Пл1, Пл2;  ограждений парапета.</t>
  </si>
  <si>
    <t>ИТОГО</t>
  </si>
  <si>
    <t>НВФ - Половинкина</t>
  </si>
  <si>
    <t>Обрамление лифтовых порталов 1,2мм</t>
  </si>
  <si>
    <t>Лифт №1 пассажирский OTIS 2000R 1000 кг, 1,6 м/с, 24 ост, 69,58 метра Шахта 2680х1730, Нв.э.=4780, приямок=1600 Кабина 2100х1100х2200 двери – 1200х2000 ЕI-60 Режим ППП</t>
  </si>
  <si>
    <t xml:space="preserve">Лифт №2 и №3 
пассажирский OTIS 2000R
1000 кг, 1,6 м/с, 24 ост, 69,58 метра
Шахта 2280х2180, Нв.э.=4780, приямок=1700
Кабина 1600х1400х2200
двери – 900х2000 ЕI-60 </t>
  </si>
  <si>
    <t>Входные группы</t>
  </si>
  <si>
    <t>По проекту 24_ИЗУД6_ДИ19-ОВ изм.1</t>
  </si>
  <si>
    <t>Наименование</t>
  </si>
  <si>
    <t>Стоимость</t>
  </si>
  <si>
    <t>Всего</t>
  </si>
  <si>
    <t>работа</t>
  </si>
  <si>
    <t>материалы</t>
  </si>
  <si>
    <t>Прокладка трубопроводов стальных</t>
  </si>
  <si>
    <t>1..1</t>
  </si>
  <si>
    <t>Труба стальная электросварная Ø108х4,0</t>
  </si>
  <si>
    <t>1..2</t>
  </si>
  <si>
    <t>Труба стальная электросварная Ø89х4,0</t>
  </si>
  <si>
    <t>1..3</t>
  </si>
  <si>
    <t>Труба стальная электросварная Ø76х3,5</t>
  </si>
  <si>
    <t>1..4</t>
  </si>
  <si>
    <t>Труба стальная электросварная Ø57х3,5</t>
  </si>
  <si>
    <t>1..5</t>
  </si>
  <si>
    <t>Труба стальная водогазопроводная Ø40х3,5</t>
  </si>
  <si>
    <t>1..6</t>
  </si>
  <si>
    <t>Труба стальная водогазопроводная Ø32х3,2</t>
  </si>
  <si>
    <t>1..7</t>
  </si>
  <si>
    <t>Труба стальная водогазопроводная Ø25х3,2</t>
  </si>
  <si>
    <t>1..8</t>
  </si>
  <si>
    <t>Труба стальная водогазопроводная Ø20х2,8</t>
  </si>
  <si>
    <t>1..9</t>
  </si>
  <si>
    <t>Труба стальная водогазопроводная Ø15х2,8</t>
  </si>
  <si>
    <t>1..10</t>
  </si>
  <si>
    <t>Отвод 90 град 108</t>
  </si>
  <si>
    <t>1..11</t>
  </si>
  <si>
    <t>Отвод 45 град 108</t>
  </si>
  <si>
    <t>1..12</t>
  </si>
  <si>
    <t>Отвод 90 град 89</t>
  </si>
  <si>
    <t>1..13</t>
  </si>
  <si>
    <t>Отвод 45 град 89</t>
  </si>
  <si>
    <t>1..14</t>
  </si>
  <si>
    <t>Отвод 90 град 76</t>
  </si>
  <si>
    <t>1..15</t>
  </si>
  <si>
    <t>Отвод 90 град 57</t>
  </si>
  <si>
    <t>1..16</t>
  </si>
  <si>
    <t>Отвод 90 град 40</t>
  </si>
  <si>
    <t>1..17</t>
  </si>
  <si>
    <t>Отвод 90 град 32</t>
  </si>
  <si>
    <t>1..18</t>
  </si>
  <si>
    <t>Отвод 90 град 25</t>
  </si>
  <si>
    <t>1..19</t>
  </si>
  <si>
    <t>Переход 108х89</t>
  </si>
  <si>
    <t>1..20</t>
  </si>
  <si>
    <t>Переход 89х76</t>
  </si>
  <si>
    <t>1..21</t>
  </si>
  <si>
    <t>Переход 76х57</t>
  </si>
  <si>
    <t>1..22</t>
  </si>
  <si>
    <t>Переход 57х40</t>
  </si>
  <si>
    <t>1..23</t>
  </si>
  <si>
    <t>Переход 40х32</t>
  </si>
  <si>
    <t>1..24</t>
  </si>
  <si>
    <t>Переход 32х25</t>
  </si>
  <si>
    <t>1..25</t>
  </si>
  <si>
    <t>Переход 25х20</t>
  </si>
  <si>
    <t>1..26</t>
  </si>
  <si>
    <t>Тройник 133/89/133</t>
  </si>
  <si>
    <t>1..27</t>
  </si>
  <si>
    <t>Тройник 65/89/65</t>
  </si>
  <si>
    <t>1..28</t>
  </si>
  <si>
    <t>Заглушка 40</t>
  </si>
  <si>
    <t>1..29</t>
  </si>
  <si>
    <t>Заглушка 32</t>
  </si>
  <si>
    <t>1..30</t>
  </si>
  <si>
    <t>Резьба стальная черная ду 25</t>
  </si>
  <si>
    <t>1..31</t>
  </si>
  <si>
    <t>Резьба стальная черная ду 20</t>
  </si>
  <si>
    <t>1..32</t>
  </si>
  <si>
    <t>Резьба стальная черная ду 15</t>
  </si>
  <si>
    <t>1..33</t>
  </si>
  <si>
    <t>Соединитель с накидной гайкой Valtec VTr.613.N.0504 Ду 20 ВР х15НР</t>
  </si>
  <si>
    <t>1..34</t>
  </si>
  <si>
    <t>Соединитель с накидной гайкой Valtec VTr.613.N.0605 Ду 25 ВР х20НР</t>
  </si>
  <si>
    <t>1..35</t>
  </si>
  <si>
    <t>Установка воздухосборника горизонтального А1И 020.000-03, Pу=1,2Мпа, Dn=325мм ду 100 мм, в комплекте с воздухоотводчиком</t>
  </si>
  <si>
    <t>1..36</t>
  </si>
  <si>
    <t>Хомут стальной для монтажа трубопроводов ф 108</t>
  </si>
  <si>
    <t>1..37</t>
  </si>
  <si>
    <t>Хомут стальной для монтажа трубопроводов ф 89</t>
  </si>
  <si>
    <t>1..38</t>
  </si>
  <si>
    <t>Хомут стальной для монтажа трубопроводов ф 76</t>
  </si>
  <si>
    <t>1..39</t>
  </si>
  <si>
    <t>Хомут стальной для монтажа трубопроводов ф 57</t>
  </si>
  <si>
    <t>1..40</t>
  </si>
  <si>
    <t>Хомут стальной для монтажа трубопроводов ф 40</t>
  </si>
  <si>
    <t>1..41</t>
  </si>
  <si>
    <t>Хомут стальной для монтажа трубопроводов ф 20</t>
  </si>
  <si>
    <t>1..42</t>
  </si>
  <si>
    <t>Шпилька ф10 мм L = 1000 мм</t>
  </si>
  <si>
    <t>1..43</t>
  </si>
  <si>
    <t>Шпилька ф8 мм L = 1000 мм</t>
  </si>
  <si>
    <t>1..44</t>
  </si>
  <si>
    <t>Анкер забивной под М10</t>
  </si>
  <si>
    <t>1..45</t>
  </si>
  <si>
    <t>Анкер забивной под М8</t>
  </si>
  <si>
    <t>1..46</t>
  </si>
  <si>
    <t>Ацетилен технический</t>
  </si>
  <si>
    <t>1..47</t>
  </si>
  <si>
    <t>Кислород технический</t>
  </si>
  <si>
    <t>1..48</t>
  </si>
  <si>
    <t>Проволока сварочная</t>
  </si>
  <si>
    <t>1..49</t>
  </si>
  <si>
    <t>Электроды МР-3</t>
  </si>
  <si>
    <t>1..50</t>
  </si>
  <si>
    <t>Лен сантехнический</t>
  </si>
  <si>
    <t>Крепление трубопроводов</t>
  </si>
  <si>
    <t>Изготовление и монтаж опоры неподвижной (главный стояк)</t>
  </si>
  <si>
    <t>2.1..1</t>
  </si>
  <si>
    <t>Швеллер 10П</t>
  </si>
  <si>
    <t>2.1..2</t>
  </si>
  <si>
    <t>Прокат толстолистовой из углеродистой стали 10 мм ГОСТ 14637-90</t>
  </si>
  <si>
    <t>2.1..3</t>
  </si>
  <si>
    <t>Анкер Tech-Krep М10х90</t>
  </si>
  <si>
    <t>Изготовление и монтаж опоры неподвижной стояки (Ø15…25)</t>
  </si>
  <si>
    <t>2.2..1</t>
  </si>
  <si>
    <t>Прокат толстолистовой из углеродистой стали 6 мм ГОСТ 19903-2015</t>
  </si>
  <si>
    <t>Изготовление,установка опорных стояк под магистраль подвал</t>
  </si>
  <si>
    <t>2.3..1</t>
  </si>
  <si>
    <t>Шпилька 10 мм 1000 мм</t>
  </si>
  <si>
    <t>2.3..2</t>
  </si>
  <si>
    <t>2.3..3</t>
  </si>
  <si>
    <t>Шайба усиленная М10</t>
  </si>
  <si>
    <t>2.3..4</t>
  </si>
  <si>
    <t>Гайка М10</t>
  </si>
  <si>
    <t>Изготовление, установка опорных стояк под магистраль тех. этаж</t>
  </si>
  <si>
    <t>2.4..1</t>
  </si>
  <si>
    <t>Труба стальная электросварная 57x3,5 ГОСТ 10704-91</t>
  </si>
  <si>
    <t>2.4..2</t>
  </si>
  <si>
    <t>Труба стальная электросварная 76x3,5 ГОСТ 10704-91</t>
  </si>
  <si>
    <t>2.4..3</t>
  </si>
  <si>
    <t>Пластина 8х250х250</t>
  </si>
  <si>
    <t>2.4..4</t>
  </si>
  <si>
    <t>Косынка 8х60х120</t>
  </si>
  <si>
    <t>2.4..5</t>
  </si>
  <si>
    <t xml:space="preserve">Анкер шпилька 10х80 </t>
  </si>
  <si>
    <t>Установка сильфонных компенсаторов</t>
  </si>
  <si>
    <t>3..1</t>
  </si>
  <si>
    <t>АрмФлекс Компенсатор Ду 20 под приварку, осевой ход (-45/+5) мм</t>
  </si>
  <si>
    <t>3..2</t>
  </si>
  <si>
    <t>Хомут стальной 3/4"</t>
  </si>
  <si>
    <t>3..3</t>
  </si>
  <si>
    <t>АрмФлекс Компенсатор Ду 25 под приварку, осевой ход (-45/+5) мм</t>
  </si>
  <si>
    <t>3..4</t>
  </si>
  <si>
    <t>Хомут стальной 1"</t>
  </si>
  <si>
    <t>3..5</t>
  </si>
  <si>
    <t>АрмФлекс Компенсатор Ду 100 под приварку, осевой ход (-35/+15) мм</t>
  </si>
  <si>
    <t>3..6</t>
  </si>
  <si>
    <t>Хомут стальной 4"</t>
  </si>
  <si>
    <t>Окраска трубопровода за 2 раза</t>
  </si>
  <si>
    <t>4..1</t>
  </si>
  <si>
    <t>Эмаль Эталон ПФ-115 светло-серая 20 кг (цена за 1кг)</t>
  </si>
  <si>
    <t>Грунтовка трубопровода</t>
  </si>
  <si>
    <t>5..1</t>
  </si>
  <si>
    <t>ГРУНТОВКА ГФ-021 красно-коричневая</t>
  </si>
  <si>
    <t>Теплоизоляция трубопровода цилиндрами</t>
  </si>
  <si>
    <t>6..1</t>
  </si>
  <si>
    <t>Pipewool 133/50 мм</t>
  </si>
  <si>
    <t>6..2</t>
  </si>
  <si>
    <t>Pipewool 89/40мм</t>
  </si>
  <si>
    <t>6..3</t>
  </si>
  <si>
    <t>Pipewool 76/40 мм</t>
  </si>
  <si>
    <t>6..4</t>
  </si>
  <si>
    <t>Pipewool 57/40 мм</t>
  </si>
  <si>
    <t>6..5</t>
  </si>
  <si>
    <t>Pipewool 48/30 мм</t>
  </si>
  <si>
    <t>6..6</t>
  </si>
  <si>
    <t>Pipewool 38/30мм</t>
  </si>
  <si>
    <t>6..7</t>
  </si>
  <si>
    <t>Pipewool 32/30мм</t>
  </si>
  <si>
    <t>6..8</t>
  </si>
  <si>
    <t>Pipewool 25/30 мм</t>
  </si>
  <si>
    <t>6..9</t>
  </si>
  <si>
    <t>Pipewool 21/30 мм</t>
  </si>
  <si>
    <t>Оборачивание изолированных трубопроводов стеклотканью</t>
  </si>
  <si>
    <t>Cтеклоткань ЭЗ-200</t>
  </si>
  <si>
    <t>Монтаж радиаторов</t>
  </si>
  <si>
    <t>Радиатор панельный Royal Thermo COMPACT C11-300-2400 RAL9016</t>
  </si>
  <si>
    <t>Радиатор панельный Royal Thermo COMPACT C11-450-400 RAL9016</t>
  </si>
  <si>
    <t>Радиатор панельный Royal Thermo COMPACT C11-450-500 RAL9016</t>
  </si>
  <si>
    <t>8..4</t>
  </si>
  <si>
    <t>Радиатор панельный Royal Thermo COMPACT C11-450-600 RAL9016</t>
  </si>
  <si>
    <t>8..5</t>
  </si>
  <si>
    <t>Радиатор панельный Royal Thermo COMPACT C11-450-700 RAL9016</t>
  </si>
  <si>
    <t>8..6</t>
  </si>
  <si>
    <t>Радиатор панельный Royal Thermo COMPACT C11-450-800 RAL9016</t>
  </si>
  <si>
    <t>8..7</t>
  </si>
  <si>
    <t>Радиатор панельный Royal Thermo COMPACT C11-450-900 RAL9016</t>
  </si>
  <si>
    <t>8..8</t>
  </si>
  <si>
    <t>Радиатор панельный Royal Thermo COMPACT C11-450-1000 RAL9016</t>
  </si>
  <si>
    <t>8..9</t>
  </si>
  <si>
    <t>Радиатор панельный Royal Thermo COMPACT C11-450-1100 RAL9016</t>
  </si>
  <si>
    <t>8..10</t>
  </si>
  <si>
    <t>Радиатор панельный Royal Thermo COMPACT C11-450-1200 RAL9016</t>
  </si>
  <si>
    <t>8..11</t>
  </si>
  <si>
    <t>Радиатор панельный Royal Thermo COMPACT C11-600-500 RAL9016</t>
  </si>
  <si>
    <t>8..12</t>
  </si>
  <si>
    <t>Радиатор панельный Royal Thermo COMPACT C11-600-600 RAL9016</t>
  </si>
  <si>
    <t>8..13</t>
  </si>
  <si>
    <t>Радиатор панельный Royal Thermo COMPACT C11-600-700 RAL9016</t>
  </si>
  <si>
    <t>8..14</t>
  </si>
  <si>
    <t>Радиатор панельный Royal Thermo COMPACT C11-600-800 RAL9016</t>
  </si>
  <si>
    <t>8..15</t>
  </si>
  <si>
    <t>Радиатор панельный Royal Thermo COMPACT C11-600-900 RAL9016</t>
  </si>
  <si>
    <t>8..16</t>
  </si>
  <si>
    <t>Радиатор панельный Royal Thermo COMPACT C11-600-1000 RAL9016</t>
  </si>
  <si>
    <t>8..17</t>
  </si>
  <si>
    <t>Радиатор панельный Royal Thermo COMPACT C11-600-1100 RAL9016</t>
  </si>
  <si>
    <t>8..18</t>
  </si>
  <si>
    <t>Радиатор панельный Royal Thermo COMPACT C11-600-1200 RAL9016</t>
  </si>
  <si>
    <t>8..19</t>
  </si>
  <si>
    <t>Радиатор панельный Royal Thermo COMPACT C21-300-1800 RAL9016</t>
  </si>
  <si>
    <t>8..20</t>
  </si>
  <si>
    <t>Радиатор панельный Royal Thermo COMPACT C21-300-2000 RAL9016</t>
  </si>
  <si>
    <t>8..21</t>
  </si>
  <si>
    <t>Радиатор панельный Royal Thermo COMPACT C21-300-2300 RAL9016</t>
  </si>
  <si>
    <t>8..22</t>
  </si>
  <si>
    <t>Радиатор панельный Royal Thermo COMPACT C21-300-2600 RAL9016</t>
  </si>
  <si>
    <t>8..23</t>
  </si>
  <si>
    <t>Радиатор панельный Royal Thermo COMPACT C21-450-800 RAL9016</t>
  </si>
  <si>
    <t>8..24</t>
  </si>
  <si>
    <t>Радиатор панельный Royal Thermo COMPACT C21-450-900 RAL9016</t>
  </si>
  <si>
    <t>8..25</t>
  </si>
  <si>
    <t>Радиатор панельный Royal Thermo COMPACT C21-450-1000 RAL9016</t>
  </si>
  <si>
    <t>8..26</t>
  </si>
  <si>
    <t>8..27</t>
  </si>
  <si>
    <t>Радиатор панельный Royal Thermo COMPACT C21-450-1100 RAL9016</t>
  </si>
  <si>
    <t>8..28</t>
  </si>
  <si>
    <t>Радиатор панельный Royal Thermo COMPACT C21-600-500 RAL9016</t>
  </si>
  <si>
    <t>8..29</t>
  </si>
  <si>
    <t>Радиатор панельный Royal Thermo COMPACT C21-600-600 RAL9016</t>
  </si>
  <si>
    <t>8..30</t>
  </si>
  <si>
    <t>Радиатор панельный Royal Thermo COMPACT C21-600-700 RAL9016</t>
  </si>
  <si>
    <t>8..31</t>
  </si>
  <si>
    <t>Радиатор панельный Royal Thermo COMPACT C21-600-800 RAL9016</t>
  </si>
  <si>
    <t>8..32</t>
  </si>
  <si>
    <t>Радиатор панельный Royal Thermo COMPACT C21-600-900 RAL9016</t>
  </si>
  <si>
    <t>8..33</t>
  </si>
  <si>
    <t>Радиатор панельный Royal Thermo COMPACT C21-600-1000 RAL9016</t>
  </si>
  <si>
    <t>8..34</t>
  </si>
  <si>
    <t>Радиатор панельный Royal Thermo COMPACT C21-600-1100 RAL9016</t>
  </si>
  <si>
    <t>8..35</t>
  </si>
  <si>
    <t>Радиатор панельный Royal Thermo COMPACT C21-600-2300 RAL9016</t>
  </si>
  <si>
    <t>8..36</t>
  </si>
  <si>
    <t>Радиатор панельный Royal Thermo COMPACT C22-300-2100 RAL9016</t>
  </si>
  <si>
    <t>8..37</t>
  </si>
  <si>
    <t>Радиатор панельный Royal Thermo COMPACT C22-300-2400 RAL9016</t>
  </si>
  <si>
    <t>8..38</t>
  </si>
  <si>
    <t>Радиатор панельный Royal Thermo COMPACT C22-300-2600 RAL9016</t>
  </si>
  <si>
    <t>8..39</t>
  </si>
  <si>
    <t>Радиатор панельный Royal Thermo COMPACT C22-450-900 RAL9016</t>
  </si>
  <si>
    <t>8..40</t>
  </si>
  <si>
    <t>Радиатор панельный Royal Thermo COMPACT С22-450-900 RAL9016</t>
  </si>
  <si>
    <t>8..41</t>
  </si>
  <si>
    <t>Радиатор панельный Royal Thermo COMPACT С22-450-1000 RAL9016</t>
  </si>
  <si>
    <t>8..42</t>
  </si>
  <si>
    <t>Радиатор панельный Royal Thermo COMPACT С22-600-500 RAL9016</t>
  </si>
  <si>
    <t>8..43</t>
  </si>
  <si>
    <t>Радиатор панельный Royal Thermo COMPACT С22-600-600 RAL9016</t>
  </si>
  <si>
    <t>8..44</t>
  </si>
  <si>
    <t>Радиатор панельный Royal Thermo COMPACT С22-600-700 RAL9016</t>
  </si>
  <si>
    <t>8..45</t>
  </si>
  <si>
    <t>Радиатор панельный Royal Thermo COMPACT С22-600-800 RAL9016</t>
  </si>
  <si>
    <t>8..46</t>
  </si>
  <si>
    <t>Радиатор панельный Royal Thermo COMPACT С22-600-900 RAL9016</t>
  </si>
  <si>
    <t>8..47</t>
  </si>
  <si>
    <t>Радиатор панельный Royal Thermo COMPACT С22-600-1000 RAL9016</t>
  </si>
  <si>
    <t>8..48</t>
  </si>
  <si>
    <t>Радиатор панельный Royal Thermo COMPACT С22-600-1100 RAL9016</t>
  </si>
  <si>
    <t>8..49</t>
  </si>
  <si>
    <t>Радиатор панельный Royal Thermo COMPACT C33-300-1900 RAL9016</t>
  </si>
  <si>
    <t>8..50</t>
  </si>
  <si>
    <t>Радиатор панельный Royal Thermo COMPACT C33-300-2100 RAL9016</t>
  </si>
  <si>
    <t>8..51</t>
  </si>
  <si>
    <t>Радиатор панельный Royal Thermo COMPACT C33-300-2400 RAL9016</t>
  </si>
  <si>
    <t>8..52</t>
  </si>
  <si>
    <t>Радиатор панельный Royal Thermo COMPACT C33-300-2600 RAL9016</t>
  </si>
  <si>
    <t>8..53</t>
  </si>
  <si>
    <t>Радиатор панельный Royal Thermo COMPACT C33-450-700 RAL9016</t>
  </si>
  <si>
    <t>8..54</t>
  </si>
  <si>
    <t>Радиатор панельный Royal Thermo COMPACT C33-450-800 RAL9016</t>
  </si>
  <si>
    <t>8..55</t>
  </si>
  <si>
    <t>Радиатор панельный Royal Thermo COMPACT C33-450-900 RAL9016</t>
  </si>
  <si>
    <t>8..56</t>
  </si>
  <si>
    <t>Радиатор панельный Royal Thermo COMPACT С33-450-900 RAL9016</t>
  </si>
  <si>
    <t>8..57</t>
  </si>
  <si>
    <t>Радиатор панельный Royal Thermo COMPACT С33-450-1100 RAL9016</t>
  </si>
  <si>
    <t>8..58</t>
  </si>
  <si>
    <t>Радиатор панельный Royal Thermo COMPACT С33-450-1300 RAL9016</t>
  </si>
  <si>
    <t>8..59</t>
  </si>
  <si>
    <t>Радиатор панельный Royal Thermo COMPACT С33-450-1700 RAL9016</t>
  </si>
  <si>
    <t>8..60</t>
  </si>
  <si>
    <t>Радиатор панельный Royal Thermo COMPACTС33-600-500 RAL9016</t>
  </si>
  <si>
    <t>8..61</t>
  </si>
  <si>
    <t>Радиатор панельный Royal Thermo COMPACT С33-600-600 RAL9016</t>
  </si>
  <si>
    <t>8..62</t>
  </si>
  <si>
    <t>Радиатор панельный Royal Thermo COMPACT С33-600-700 RAL9016</t>
  </si>
  <si>
    <t>8..63</t>
  </si>
  <si>
    <t>Кронштейн напольный RT К11.31 для радиаторов H300-900 с декоративной накладкой</t>
  </si>
  <si>
    <t>8..64</t>
  </si>
  <si>
    <t>Анкер Tech-Krep WAM 8x95</t>
  </si>
  <si>
    <t>8..65</t>
  </si>
  <si>
    <t>Дюбель Tech-KREP RD 10/60</t>
  </si>
  <si>
    <t>8..66</t>
  </si>
  <si>
    <t>Valtec Переходник VTr.592.N.0504 3/4" х 1/2"</t>
  </si>
  <si>
    <t>8..67</t>
  </si>
  <si>
    <t>Valtec Полусгон с накидной гайкой VTr.613.N.0504 3/4" x 1/2"</t>
  </si>
  <si>
    <t>8..68</t>
  </si>
  <si>
    <t>Valtec Угольник ВР-НР VTr.092.N.0005 3/4"</t>
  </si>
  <si>
    <t>8..69</t>
  </si>
  <si>
    <t>Муфта стальная 20мм</t>
  </si>
  <si>
    <t>8..70</t>
  </si>
  <si>
    <t>Фитинг резьбовой - муфта соединительная VTr.270.N.0005 3/4"</t>
  </si>
  <si>
    <t>8..71</t>
  </si>
  <si>
    <t>Отвод ст. 90 град Ø20мм</t>
  </si>
  <si>
    <t>8..72</t>
  </si>
  <si>
    <t>Переход ст. 25х20мм</t>
  </si>
  <si>
    <t>8..73</t>
  </si>
  <si>
    <t>Изготовление и монтаж регистра 4х1500мм ф 108</t>
  </si>
  <si>
    <t>9..1</t>
  </si>
  <si>
    <t>9..2</t>
  </si>
  <si>
    <t>Заглушка  Ø108</t>
  </si>
  <si>
    <t>9..3</t>
  </si>
  <si>
    <t>9..4</t>
  </si>
  <si>
    <t>Заглушка  Ø57</t>
  </si>
  <si>
    <t>Установка конвектора электрического</t>
  </si>
  <si>
    <t>10..1</t>
  </si>
  <si>
    <t>Установка конвектора электрического NOBO Nordic 4W05</t>
  </si>
  <si>
    <t>10..2</t>
  </si>
  <si>
    <t>Установка конвектора электрического NOBO Nordic 4W15</t>
  </si>
  <si>
    <t>Монтаж запорной и регулирующей арматуры</t>
  </si>
  <si>
    <t>11..1</t>
  </si>
  <si>
    <t>Кран шаровой сталь фланцевый LD КШ.Ц.Ф. ду 65</t>
  </si>
  <si>
    <t>11..2</t>
  </si>
  <si>
    <t>Прокладка паронитовая 65</t>
  </si>
  <si>
    <t>11..3</t>
  </si>
  <si>
    <t>Фланцы стальные 65х16</t>
  </si>
  <si>
    <t>11..4</t>
  </si>
  <si>
    <t>Кран шаровой с воздухоотводчиком и дренажем Valtec VT.245.N.06 25мм</t>
  </si>
  <si>
    <t>11..5</t>
  </si>
  <si>
    <t>Американка ду 25</t>
  </si>
  <si>
    <t>11..6</t>
  </si>
  <si>
    <t>Кран шаровой с воздухоотводчиком и дренажем Valtec VT.245.N.05 20мм</t>
  </si>
  <si>
    <t>11..7</t>
  </si>
  <si>
    <t xml:space="preserve">Американка ду 20 </t>
  </si>
  <si>
    <t>11..8</t>
  </si>
  <si>
    <t>Кран шаровый Valtec VT.245.N.04 1/2"</t>
  </si>
  <si>
    <t>11..9</t>
  </si>
  <si>
    <t>Американка ду 15</t>
  </si>
  <si>
    <t>11..10</t>
  </si>
  <si>
    <t>Кран шаровой Valtec VT.214.N.06 1"</t>
  </si>
  <si>
    <t>11..11</t>
  </si>
  <si>
    <t>11..12</t>
  </si>
  <si>
    <t>Кран шаровой Valtec VT.214.N.05 3/4"</t>
  </si>
  <si>
    <t>11..13</t>
  </si>
  <si>
    <t>Американка ду 20</t>
  </si>
  <si>
    <t>11..14</t>
  </si>
  <si>
    <t>Кран шаровой Valtec VT.214.N.04 1/2"</t>
  </si>
  <si>
    <t>11..15</t>
  </si>
  <si>
    <t>11..16</t>
  </si>
  <si>
    <t>Кран шаровой Valtec VT.051.N.04 1/2"</t>
  </si>
  <si>
    <t>11..17</t>
  </si>
  <si>
    <t>Кран шаровой Valtec VT.227.N.05 3/4"</t>
  </si>
  <si>
    <t>11..18</t>
  </si>
  <si>
    <t>Кран шаровой Valtec VT.227.N.04 1/2"</t>
  </si>
  <si>
    <t>11..19</t>
  </si>
  <si>
    <t>Кран шаровый BVR-C ду 25</t>
  </si>
  <si>
    <t>11..20</t>
  </si>
  <si>
    <t>Автоматический регулятор расхода DS ДУ20 SANEXT</t>
  </si>
  <si>
    <t>11..21</t>
  </si>
  <si>
    <t>Фиттинг приварной  20 (код 003Z0227)</t>
  </si>
  <si>
    <t>11..22</t>
  </si>
  <si>
    <t>Автоматический регулятор расхода DS ДУ15 SANEXT</t>
  </si>
  <si>
    <t>11..23</t>
  </si>
  <si>
    <t>Фиттинг приварной  15 (код 003Z0226)</t>
  </si>
  <si>
    <t>11..24</t>
  </si>
  <si>
    <t xml:space="preserve">Автоматический воздухоотводчик  Valtec VT.502.NH.04 1/2" </t>
  </si>
  <si>
    <t>11..25</t>
  </si>
  <si>
    <t>Балансировочный клапан (партнёр APT) ASV-BD Ø15 мм Danfoss 1</t>
  </si>
  <si>
    <t>11..26</t>
  </si>
  <si>
    <t>Клапан автоматический балансировочный (5-20 кПа) APT Ø15 мм Danfoss 1</t>
  </si>
  <si>
    <t>11..27</t>
  </si>
  <si>
    <t>11..28</t>
  </si>
  <si>
    <t xml:space="preserve">Радиаторный клапан для однотрубной системы с термостатическим элементом прямой д.у.20 SANEXT RV1 </t>
  </si>
  <si>
    <t>11..29</t>
  </si>
  <si>
    <t>Термостатическая головка SANEXT TH, 6-28°С, резьба М30х1,5</t>
  </si>
  <si>
    <t>Установка распеределителей тепла</t>
  </si>
  <si>
    <t>12..1</t>
  </si>
  <si>
    <t>Радиаторный распределитель Danfoss INDIV-X-10R</t>
  </si>
  <si>
    <t>12..2</t>
  </si>
  <si>
    <t xml:space="preserve">Danfoss INDIV X Тепловой адаптер, стандартный art.187F0008 </t>
  </si>
  <si>
    <t>12..3</t>
  </si>
  <si>
    <t>Фиксирующая гайка М3 Danfoss art. 088H2226</t>
  </si>
  <si>
    <t>12..4</t>
  </si>
  <si>
    <t>Приварная шпилька М3 х 12 мм Danfoss art. 088H2222</t>
  </si>
  <si>
    <t>Герметизация узлов прохода через перекрытие</t>
  </si>
  <si>
    <t>13..1</t>
  </si>
  <si>
    <t>Изготовление гильз Ø20 мм</t>
  </si>
  <si>
    <t>13..2</t>
  </si>
  <si>
    <t>Изготовление гильз Ø32 мм</t>
  </si>
  <si>
    <t>13..3</t>
  </si>
  <si>
    <t>Изготовление гильз Ø40 мм</t>
  </si>
  <si>
    <t>13..4</t>
  </si>
  <si>
    <t>Изготовление гильз Ø133 мм</t>
  </si>
  <si>
    <t>13..5</t>
  </si>
  <si>
    <t>Огнезащитная мастика "ОГНЕЗА-ВГ" 3 кг.</t>
  </si>
  <si>
    <t>Алмазное сверление отверстий</t>
  </si>
  <si>
    <t>14..1</t>
  </si>
  <si>
    <t>до 100</t>
  </si>
  <si>
    <t>14..2</t>
  </si>
  <si>
    <t>Алмазная коронка LASER ВК2 (1 1\4' UNC) 62*450 мм D.Bor</t>
  </si>
  <si>
    <t>Индивидуальный тепловой пункт</t>
  </si>
  <si>
    <t>Навес над приямком в осях 1/А-Б - 1шт, 12/П-Р - 1шт</t>
  </si>
  <si>
    <t>1.1.1</t>
  </si>
  <si>
    <t>Крышка Кр-1</t>
  </si>
  <si>
    <t>Профиль 30х2,5</t>
  </si>
  <si>
    <t>1.1.2</t>
  </si>
  <si>
    <t xml:space="preserve">Профили </t>
  </si>
  <si>
    <t>1.1.3</t>
  </si>
  <si>
    <t>Ферма Ф-1</t>
  </si>
  <si>
    <t>Моноллитный поликартонат 5 мм Бронза С502УФ</t>
  </si>
  <si>
    <t>1.1.5</t>
  </si>
  <si>
    <t>Анкер-шпилька Hilti HSА М10х133</t>
  </si>
  <si>
    <t>1.1.6</t>
  </si>
  <si>
    <r>
      <t xml:space="preserve">Петля </t>
    </r>
    <r>
      <rPr>
        <sz val="11"/>
        <rFont val="Calibri"/>
        <family val="2"/>
        <charset val="204"/>
      </rPr>
      <t>Ø</t>
    </r>
    <r>
      <rPr>
        <sz val="11"/>
        <rFont val="Times New Roman"/>
        <family val="1"/>
        <charset val="204"/>
      </rPr>
      <t>10</t>
    </r>
  </si>
  <si>
    <t>1.1.7</t>
  </si>
  <si>
    <t>1.1.8</t>
  </si>
  <si>
    <t>Навес над входом в подвал в осях 1/Р-Н - 1шт, 12/А-Д - 1шт</t>
  </si>
  <si>
    <t>Профиль 80х60х3</t>
  </si>
  <si>
    <t>Профиль 60х3</t>
  </si>
  <si>
    <t>Профиль 40х5</t>
  </si>
  <si>
    <t>Пластина 8х180х160</t>
  </si>
  <si>
    <t>Пластина 8х110х160</t>
  </si>
  <si>
    <t>Пластина 4х100х80</t>
  </si>
  <si>
    <t>1.3.4</t>
  </si>
  <si>
    <t>Ферма Ф-3</t>
  </si>
  <si>
    <t>1.3.5</t>
  </si>
  <si>
    <t>1.3.6</t>
  </si>
  <si>
    <t>1.3.7</t>
  </si>
  <si>
    <t>1.3.8</t>
  </si>
  <si>
    <t>1.3.9</t>
  </si>
  <si>
    <t>Устройство входных групп в осях 1/Ж-Л</t>
  </si>
  <si>
    <t>1.5.1</t>
  </si>
  <si>
    <t>Двутавр 14Б1</t>
  </si>
  <si>
    <t>1.5.2</t>
  </si>
  <si>
    <t>1.5.3</t>
  </si>
  <si>
    <t>Профиль 120х5</t>
  </si>
  <si>
    <t>1.5.4</t>
  </si>
  <si>
    <t>Профиль 40х20х2,5</t>
  </si>
  <si>
    <t>1.5.5</t>
  </si>
  <si>
    <t>1.5.6</t>
  </si>
  <si>
    <t>Листовая сталь 10мм</t>
  </si>
  <si>
    <t>1.5.7</t>
  </si>
  <si>
    <t>Анкер-шпилька HST3 M12х145</t>
  </si>
  <si>
    <t>1.5.8</t>
  </si>
  <si>
    <t>Анкер-шпилька Hilti HIT-V-R M12х220</t>
  </si>
  <si>
    <t>1.5.9</t>
  </si>
  <si>
    <t>Профнастил Н75-750-0,7</t>
  </si>
  <si>
    <t>1.5.10</t>
  </si>
  <si>
    <t xml:space="preserve">Монтаж системы водоотведения </t>
  </si>
  <si>
    <t>Водосточный желоб d100 - 3м</t>
  </si>
  <si>
    <t>Водосточная труба d90 - 3м</t>
  </si>
  <si>
    <t>Держатель желоба</t>
  </si>
  <si>
    <t>Соединительный элемент желоба</t>
  </si>
  <si>
    <t>Держатель трубы</t>
  </si>
  <si>
    <t>Заглушка желоба</t>
  </si>
  <si>
    <t>Патрубок (Водосточная воронка)</t>
  </si>
  <si>
    <t>Угловое колено</t>
  </si>
  <si>
    <t>Сливное колено</t>
  </si>
  <si>
    <t>1.6</t>
  </si>
  <si>
    <t>Устройство входных групп в осях 1/М-Н</t>
  </si>
  <si>
    <t>1.6.1</t>
  </si>
  <si>
    <t>1.6.2</t>
  </si>
  <si>
    <t>1.6.3</t>
  </si>
  <si>
    <t>1.6.4</t>
  </si>
  <si>
    <t>1.7</t>
  </si>
  <si>
    <t>Устройство входных групп в осях А/2-11</t>
  </si>
  <si>
    <t>1.7.1</t>
  </si>
  <si>
    <t>1.7.2</t>
  </si>
  <si>
    <t>1.7.3</t>
  </si>
  <si>
    <t>Листовая сталь 5мм</t>
  </si>
  <si>
    <t>1.7.4</t>
  </si>
  <si>
    <t>1.8</t>
  </si>
  <si>
    <t>Устройство входных групп в осях 1/В-Д</t>
  </si>
  <si>
    <t>1.8.1</t>
  </si>
  <si>
    <t>1.8.2</t>
  </si>
  <si>
    <t>1.8.3</t>
  </si>
  <si>
    <t>1.8.4</t>
  </si>
  <si>
    <t>Водосточный желоб d100 - 4м</t>
  </si>
  <si>
    <t>1.9</t>
  </si>
  <si>
    <t>Устройство входных групп в осях 12/Д-Н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</si>
  <si>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</si>
  <si>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</si>
  <si>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</si>
  <si>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</si>
  <si>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</si>
  <si>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</si>
  <si>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</si>
  <si>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</si>
  <si>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</si>
  <si>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1.9.10</t>
  </si>
  <si>
    <t>1.10</t>
  </si>
  <si>
    <t>Устройство грязезащитных решеток</t>
  </si>
  <si>
    <t>1.10.1</t>
  </si>
  <si>
    <t>Грязезащитное покрытие Standartpark арт.3510 (стальные решетки-первая ступень грязезащиты-500х1000мм) 2000х1000мм, h=20мм</t>
  </si>
  <si>
    <t>1.10.3</t>
  </si>
  <si>
    <t>Грязезащитное покрытие Standartpark "Сити Роял" арт.1R001 (алюминиевые придверные решетки-вторая ступень грязезащиты) 2000х1300мм, h=16-18мм</t>
  </si>
  <si>
    <t>1.11</t>
  </si>
  <si>
    <t>Устройство напольного покрытия из керамогранита противоскользящего в осях Ж-Л/1, Ж-Л/12</t>
  </si>
  <si>
    <t>1.11.1</t>
  </si>
  <si>
    <t>Керамогранит 60х60 UF003MR</t>
  </si>
  <si>
    <t>1.11.2</t>
  </si>
  <si>
    <t xml:space="preserve">Клей плиточный  "ЕК 3000" </t>
  </si>
  <si>
    <t>1.11.3</t>
  </si>
  <si>
    <t>Затирка для плитки</t>
  </si>
  <si>
    <t>1.11.4</t>
  </si>
  <si>
    <t>Устройство цементно-песчаной стяжки М200, армированная сеткой из проволоки ВР-1 100х100х4 - 60-86мм</t>
  </si>
  <si>
    <t>1.13</t>
  </si>
  <si>
    <t>Устройство напольного покрытия из керамогранита противоскользящего 4-6/Р</t>
  </si>
  <si>
    <t>1.13.1</t>
  </si>
  <si>
    <t>1.13.2</t>
  </si>
  <si>
    <t>1.13.3</t>
  </si>
  <si>
    <t>1.13.4</t>
  </si>
  <si>
    <t>Устройство цементно-песчаной стяжки М200 -  20-36мм</t>
  </si>
  <si>
    <t>Облицовка пандуса хоз.помещения в осях Р/5-8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</si>
  <si>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</si>
  <si>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</si>
  <si>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</si>
  <si>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</si>
  <si>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</si>
  <si>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</si>
  <si>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</si>
  <si>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</si>
  <si>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</si>
  <si>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</si>
  <si>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</si>
  <si>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</si>
  <si>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</si>
  <si>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</si>
  <si>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</si>
  <si>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</si>
  <si>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</si>
  <si>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</si>
  <si>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</si>
  <si>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</si>
  <si>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</si>
  <si>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</si>
  <si>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</si>
  <si>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</si>
  <si>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</si>
  <si>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</si>
  <si>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Двери - Спицин</t>
  </si>
  <si>
    <t>Спицин</t>
  </si>
  <si>
    <t>ДСН Оп Прг Пр Н Псп 2100х1240 + доводчик</t>
  </si>
  <si>
    <t>ДАН Км Бпр Ф Дв Пр Р 2790*1350 + доводчик</t>
  </si>
  <si>
    <t xml:space="preserve"> ДН 21-14  белый ( остекленная, открывание левое, c порогом, распашная) + доводчик</t>
  </si>
  <si>
    <t xml:space="preserve">ДСН Оп Прг Л Н Псп 1790х1040 + доводчик </t>
  </si>
  <si>
    <t xml:space="preserve">ДСН Оп Прг Н Псп  1850х1040 (остекленная) + доводчик </t>
  </si>
  <si>
    <t>ДСН Оп Прг Пр Н Псн 2000х1000 + доводчик</t>
  </si>
  <si>
    <t>ДПС 01 2100х1000 Л ЕIS60 + доводчик</t>
  </si>
  <si>
    <t>ДПС 01 1790х1000 EI60 + доводчик</t>
  </si>
  <si>
    <t>ДПС 02 2100х1400 EI60 + доводчик</t>
  </si>
  <si>
    <t>ДПВ Км Бпр Дп Л Р 2100х1350 + доводчик</t>
  </si>
  <si>
    <t>ДПС 01 2050х900 Пр ЕI30 + доводчик</t>
  </si>
  <si>
    <t xml:space="preserve">ДВ 1 Рп 21-10 Г Пр Мд1 </t>
  </si>
  <si>
    <t>ДПВ Г П Оп Л Р 2100х900 + доводчик</t>
  </si>
  <si>
    <t xml:space="preserve">ДПС 01 2050х1000 Пр EI30 + доводчик </t>
  </si>
  <si>
    <t xml:space="preserve">ДПН О Бпр Дп Пр Р Ф 2740х1350 + доводчик </t>
  </si>
  <si>
    <t xml:space="preserve">ДПН О Бпр Дп Пр Р Ф 2440х1350 + доводчик </t>
  </si>
  <si>
    <t>ДПС 02 2100х1350 EI30 + доводчик</t>
  </si>
  <si>
    <t>ДПС 01 2100х900 EI30 + доводчик</t>
  </si>
  <si>
    <t>ДПС 01 1750*1000 EI60 + доводчик</t>
  </si>
  <si>
    <t>Доставка</t>
  </si>
  <si>
    <t>не ставим</t>
  </si>
  <si>
    <t>Устройство внутриквартирных перегородок со 2 по 24 эт</t>
  </si>
  <si>
    <t>Камень бетонный стеновой КПР-ПР-ПС-9-50-F35-1100 по ГОСТ 33126-2014 на цементно-песчаном растворе М100, F50, Пк2 ГОСТ 28013-98*</t>
  </si>
  <si>
    <t xml:space="preserve">арматура 16А500С </t>
  </si>
  <si>
    <t>16.13</t>
  </si>
  <si>
    <t>Секционное металличнское ограждение на кровле h=1,8м</t>
  </si>
  <si>
    <t>16.13.1</t>
  </si>
  <si>
    <t>16.13.2</t>
  </si>
  <si>
    <t>16.13.3</t>
  </si>
  <si>
    <t>8.12.1</t>
  </si>
  <si>
    <t>19</t>
  </si>
  <si>
    <t>19.1</t>
  </si>
  <si>
    <t>19.1.1</t>
  </si>
  <si>
    <t>19.1.2</t>
  </si>
  <si>
    <t>19.1.3</t>
  </si>
  <si>
    <t>19.1.4</t>
  </si>
  <si>
    <t>19.1.5</t>
  </si>
  <si>
    <t>19.1.6</t>
  </si>
  <si>
    <t>19.1.7</t>
  </si>
  <si>
    <t>19.1.8</t>
  </si>
  <si>
    <t>19.1.9</t>
  </si>
  <si>
    <t>19.2</t>
  </si>
  <si>
    <t>19.2.1</t>
  </si>
  <si>
    <t>19.2.2</t>
  </si>
  <si>
    <t>19.2.3</t>
  </si>
  <si>
    <t>19.2.4</t>
  </si>
  <si>
    <t>19.2.5</t>
  </si>
  <si>
    <t>19.2.6</t>
  </si>
  <si>
    <t>19.2.7</t>
  </si>
  <si>
    <t>19.2.8</t>
  </si>
  <si>
    <t>19.2.9</t>
  </si>
  <si>
    <t>19.3</t>
  </si>
  <si>
    <t>19.3.1</t>
  </si>
  <si>
    <t>19.3.2</t>
  </si>
  <si>
    <t>19.3.3</t>
  </si>
  <si>
    <t>19.3.4</t>
  </si>
  <si>
    <t>19.3.5</t>
  </si>
  <si>
    <t>19.3.6</t>
  </si>
  <si>
    <t>19.3.7</t>
  </si>
  <si>
    <t>19.4</t>
  </si>
  <si>
    <t>19.4.1</t>
  </si>
  <si>
    <t>19.4.2</t>
  </si>
  <si>
    <t>19.4.3</t>
  </si>
  <si>
    <t>19.4.4</t>
  </si>
  <si>
    <t>19.4.5</t>
  </si>
  <si>
    <t>19.5</t>
  </si>
  <si>
    <t>19.5.1</t>
  </si>
  <si>
    <t>Грунт прим фасад (л/кг)</t>
  </si>
  <si>
    <t>Утеплитель Изовер 150 мм (м3)</t>
  </si>
  <si>
    <t>Клей терм МВ (кг)</t>
  </si>
  <si>
    <t>Клей терм А100 (кг)</t>
  </si>
  <si>
    <t>Грунт прим юни (кг)</t>
  </si>
  <si>
    <t>25 л</t>
  </si>
  <si>
    <t>Декоративная штукатурка мин.шуба 2 мм (кг)</t>
  </si>
  <si>
    <t>Утеплитель Изовер 100 мм (м3)</t>
  </si>
  <si>
    <t>Грунт Мулти</t>
  </si>
  <si>
    <t>10л</t>
  </si>
  <si>
    <t>Краска тон силикат (кг) (RAL 7035)</t>
  </si>
  <si>
    <t>Краска тон силикат (кг) (RAL 9003)</t>
  </si>
  <si>
    <t>Краска тон силикат (кг) (RAL8003)</t>
  </si>
  <si>
    <t>СФТК-Ceresit, Weber - 9 654 977,61</t>
  </si>
  <si>
    <t>Минеральная декоративная штукатурка «камешковая» 2,5 мм «под окраску» Ceresit CT137</t>
  </si>
  <si>
    <t>По проекту</t>
  </si>
  <si>
    <t>Установка насоса погружного</t>
  </si>
  <si>
    <t>Насос дренажный Дренажник 110/8 220Вт 5100 Джилекс</t>
  </si>
  <si>
    <t>VALTEC Труба полипропиленовая PPR PN 20 VTp.700.0020.32</t>
  </si>
  <si>
    <t>пог.м.</t>
  </si>
  <si>
    <t>VALTEC Муфта комбинированная разъемная с В.Р. 32-1"1/2</t>
  </si>
  <si>
    <t>VALTEC Угольник 32</t>
  </si>
  <si>
    <t>VALTEC Кран шаровый 32</t>
  </si>
  <si>
    <t>Клапан обратный полипропиленовый VTp.716.0.032</t>
  </si>
  <si>
    <t>Хомут трубный 32</t>
  </si>
  <si>
    <t>Манжета переходная 50х32 мм</t>
  </si>
  <si>
    <t>Прокладка трубопроводов ПЭ</t>
  </si>
  <si>
    <t>2..1</t>
  </si>
  <si>
    <t>Труба ПВХ 160 с раструбом коричневая SN4</t>
  </si>
  <si>
    <t>2..2</t>
  </si>
  <si>
    <t xml:space="preserve">Труба ПЭ 100 160 </t>
  </si>
  <si>
    <t>2..3</t>
  </si>
  <si>
    <t>Зонт вентиляционный 160</t>
  </si>
  <si>
    <t>2..4</t>
  </si>
  <si>
    <t>Отвод ПВХ 160х87</t>
  </si>
  <si>
    <t>2..5</t>
  </si>
  <si>
    <t>Отвод ПЭ100 SDR 11 Dn160</t>
  </si>
  <si>
    <t>2..6</t>
  </si>
  <si>
    <t>Тройник ПЭ100 SDR 11 Dn160</t>
  </si>
  <si>
    <t>2..7</t>
  </si>
  <si>
    <t>Втулка под фланец ПЭ100 SDR 11 Dn160</t>
  </si>
  <si>
    <t>2..8</t>
  </si>
  <si>
    <t>Неразъемное соединение ПЭ/сталь 110х108</t>
  </si>
  <si>
    <t>2..9</t>
  </si>
  <si>
    <t>Фланец стальной Ду 150 расточной под втулку ПЭ 160</t>
  </si>
  <si>
    <t>2..10</t>
  </si>
  <si>
    <t>Фланец стальной глухой Dn160х16</t>
  </si>
  <si>
    <t>2..11</t>
  </si>
  <si>
    <t>Прокладка паронитовая 160</t>
  </si>
  <si>
    <t>2..12</t>
  </si>
  <si>
    <t>Шпилька резьбовая оцинкованная М16х2000</t>
  </si>
  <si>
    <t>2..13</t>
  </si>
  <si>
    <t>Гайка оцинкованная М16</t>
  </si>
  <si>
    <t>Монтаж трубопроводов канализации</t>
  </si>
  <si>
    <t>Трубы ПП 50</t>
  </si>
  <si>
    <t>Трубы ПП 110</t>
  </si>
  <si>
    <t>Хомут трубный ф110мм</t>
  </si>
  <si>
    <t>Шуруп-шпилька STS 10X140</t>
  </si>
  <si>
    <t>Шпилька М10*2000</t>
  </si>
  <si>
    <t>3..7</t>
  </si>
  <si>
    <t>Цанга латунная М10</t>
  </si>
  <si>
    <t>3..8</t>
  </si>
  <si>
    <t>Отвод ПП 110х87</t>
  </si>
  <si>
    <t>3..9</t>
  </si>
  <si>
    <t>Отвод ПП 110х45</t>
  </si>
  <si>
    <t>3..10</t>
  </si>
  <si>
    <t>Отвод ПП 50х87</t>
  </si>
  <si>
    <t>3..11</t>
  </si>
  <si>
    <t>Тройник ПП 110х110х87</t>
  </si>
  <si>
    <t>3..12</t>
  </si>
  <si>
    <t>Тройник ПП 110х50х110х87</t>
  </si>
  <si>
    <t>3..13</t>
  </si>
  <si>
    <t>Тройник ПП 110х110х45</t>
  </si>
  <si>
    <t>3..14</t>
  </si>
  <si>
    <t>Заглушка ПП 110</t>
  </si>
  <si>
    <t>3..15</t>
  </si>
  <si>
    <t>Ревизия ПП 110</t>
  </si>
  <si>
    <t>3..16</t>
  </si>
  <si>
    <t>Тройник 110х110х87</t>
  </si>
  <si>
    <t>3..17</t>
  </si>
  <si>
    <t>3..18</t>
  </si>
  <si>
    <t>3..19</t>
  </si>
  <si>
    <t>Заглушка ПП 50</t>
  </si>
  <si>
    <t>3..20</t>
  </si>
  <si>
    <t>3..21</t>
  </si>
  <si>
    <t>Крестовина ПП 110х110х50х110</t>
  </si>
  <si>
    <t>3..22</t>
  </si>
  <si>
    <t>Герметик силиконовый 300 мл</t>
  </si>
  <si>
    <t>Изготовление,установка подвесов под магистраль подвал</t>
  </si>
  <si>
    <t>4..2</t>
  </si>
  <si>
    <t>4..3</t>
  </si>
  <si>
    <t>4..4</t>
  </si>
  <si>
    <t>Изготовление, установка опорных стоек под магистраль чердак</t>
  </si>
  <si>
    <t>Труба стальная электросварная 133x4,0 ГОСТ 10704-91</t>
  </si>
  <si>
    <t>5..2</t>
  </si>
  <si>
    <t>Труба стальная электросварная 219х4,0 ГОСТ 10704-91</t>
  </si>
  <si>
    <t>5..3</t>
  </si>
  <si>
    <t>5..4</t>
  </si>
  <si>
    <t>5..5</t>
  </si>
  <si>
    <t>Изготовление, установка креплений на узел водостока</t>
  </si>
  <si>
    <t>Прокат толстолистовой из углеродистой стали 12 мм ГОСТ 14637-90</t>
  </si>
  <si>
    <t>Установка трапа Ду100</t>
  </si>
  <si>
    <t>Трап чугун вертикальный Ду 100</t>
  </si>
  <si>
    <t>Устройство муфты противопожарной  ф 110мм</t>
  </si>
  <si>
    <t>Муфта противопожарная ОГНЕЗА ПМ-110</t>
  </si>
  <si>
    <t>Муфта противопожарная ОГНЕЗА ПМ-50</t>
  </si>
  <si>
    <t>Установка воронки водосточной стальной 100 мм</t>
  </si>
  <si>
    <t>Переход стальной 125х100</t>
  </si>
  <si>
    <t>Монтаж трубы стальной прямошовной 108</t>
  </si>
  <si>
    <t>144.1</t>
  </si>
  <si>
    <t>Труба сталь электросварная прямошовная 108</t>
  </si>
  <si>
    <t>Тройник стальной Ду 100 мм</t>
  </si>
  <si>
    <t>10..3</t>
  </si>
  <si>
    <t>Фланец ду 100 мм</t>
  </si>
  <si>
    <t>10..4</t>
  </si>
  <si>
    <t>Фланец глухой 100 мм</t>
  </si>
  <si>
    <t>10..5</t>
  </si>
  <si>
    <t>Прокладка паронитовая 100</t>
  </si>
  <si>
    <t>10..6</t>
  </si>
  <si>
    <t>Болты</t>
  </si>
  <si>
    <t>10..7</t>
  </si>
  <si>
    <t>10..8</t>
  </si>
  <si>
    <t>Огрунтовка трубопроводов</t>
  </si>
  <si>
    <t>Грунт ГФ 021 2,5кг</t>
  </si>
  <si>
    <t>Окраска трубопроводов за 2 раза</t>
  </si>
  <si>
    <t>Установка сантехнического оборудования</t>
  </si>
  <si>
    <t>Поддон душевой 700х700 в комплекте с сифоном</t>
  </si>
  <si>
    <t xml:space="preserve">Смесителя для душа </t>
  </si>
  <si>
    <t>Унитаз тарельчатого УнТЦ</t>
  </si>
  <si>
    <t>Гофротруба ф 100мм</t>
  </si>
  <si>
    <t>Умывальник керамический с пьедисталом</t>
  </si>
  <si>
    <t>13..6</t>
  </si>
  <si>
    <t>Сифон для умывальника ф 50мм</t>
  </si>
  <si>
    <t>13..7</t>
  </si>
  <si>
    <t>Смеситель для умывальника</t>
  </si>
  <si>
    <t>Огнезащитная мастика "ОГНЕЗА-ВЛ" 3 кг.</t>
  </si>
  <si>
    <t>Материалы для устройства вводов К1</t>
  </si>
  <si>
    <t>комп.</t>
  </si>
  <si>
    <t>Взять у Токмакова</t>
  </si>
  <si>
    <t>Материалы для устройства вводов К2</t>
  </si>
  <si>
    <t>Водоснабжение</t>
  </si>
  <si>
    <t>Канализация</t>
  </si>
  <si>
    <t>Установка кранов пожарных</t>
  </si>
  <si>
    <t>Клапан запорный пожарный проходной с муфтовым и цапковым присоединительными концами, латунный  50мм 1Б1р</t>
  </si>
  <si>
    <t>Резьба стальная оцинк.50мм</t>
  </si>
  <si>
    <t>тройник стальной оц. Ду 50/50/50</t>
  </si>
  <si>
    <t>Ствол ручной пожарный РС-50 алюм.</t>
  </si>
  <si>
    <t>Головка соединительная напорная муфтовая ГМ-50</t>
  </si>
  <si>
    <t>Рукав пожарный напорный льняной Д=51мм длиной 20м</t>
  </si>
  <si>
    <t>Шкаф пожарный ШПК-320-21 ВЗБ</t>
  </si>
  <si>
    <t>Дюбель-гвоздь потайной 8x120 мм</t>
  </si>
  <si>
    <t>Стальная диафрагма толщиной 3мм Дн=56, Двн=13,6 мм</t>
  </si>
  <si>
    <t>Стальная диафрагма толщиной 3мм Дн=56, Двн=14,5 мм</t>
  </si>
  <si>
    <t>Стальная диафрагма толщиной 3мм Дн=56, Двн=15,5 мм</t>
  </si>
  <si>
    <t>Стальная диафрагма толщиной 3мм Дн=56, Двн=16,8 мм</t>
  </si>
  <si>
    <t>Стальная диафрагма толщиной 3мм Дн=56, Двн=19,4мм</t>
  </si>
  <si>
    <t>Резьба стальная оцинкованная 89 мм</t>
  </si>
  <si>
    <t>Головка соединительная напорная муфтовая ГМ-80, Ру=1,6МПа</t>
  </si>
  <si>
    <t>Головка заглушка ГЗ-80</t>
  </si>
  <si>
    <t>Водяной спринклерный ороситель для установки розеткой вниз, со стеклянной  капсулой, с выходным отверстием Д-8мм и температурой разрушения теплового замка 180С обыкн. исполн.СВН(О)-8-(180) ГОСТ Р51043-97</t>
  </si>
  <si>
    <t>Муфта стальная оцинкованная 15 мм</t>
  </si>
  <si>
    <t>Cигнализатор потока жидкости Ø25 универсальный СПЖ-У-1</t>
  </si>
  <si>
    <t>Шкаф для рукава 19 мм в металлический белый/красный</t>
  </si>
  <si>
    <t>Рукав УВП 19 мм в сборе в сумке (ПВХ)</t>
  </si>
  <si>
    <t>Монтаж насосных установок</t>
  </si>
  <si>
    <t>Насосная установка НУ-В-3-MATRIX-I10-3T-ЧC-7 Brant</t>
  </si>
  <si>
    <t>компл.</t>
  </si>
  <si>
    <t>Насосная установка НУ-В-3-EVMSG 5-12-ЧC-7 Brant</t>
  </si>
  <si>
    <t>Насосная установка НУ-ВПВ-2-EVMSG 32-5-0-Р-11 Brant</t>
  </si>
  <si>
    <t>Компенсатор фланцевый резиновый KMS DN80</t>
  </si>
  <si>
    <t>Установка узлов учета</t>
  </si>
  <si>
    <t>Счетчик СВК 15-3 Ø15</t>
  </si>
  <si>
    <t>Фильтр магнитный фланцевый ФМФ-65 Ру16</t>
  </si>
  <si>
    <t xml:space="preserve">Узел учета со счетчиком холодной воды крыльчатый Ду=40мм ВСХ-40 </t>
  </si>
  <si>
    <t>Фильтр магнитный фланцевый ФМФ-100 Ру16</t>
  </si>
  <si>
    <t>Манометр для измерения давления некристаллизующихся жидкостей до 10кг/см2 МП4-У</t>
  </si>
  <si>
    <t xml:space="preserve">Кран трехходовой натяжной конусный с фланцем для контрольного манометра ф15мм 11Б38БК </t>
  </si>
  <si>
    <t>Резьба оцинкованная 15 мм</t>
  </si>
  <si>
    <t>Резьба оцинкованная 25 мм</t>
  </si>
  <si>
    <t>Затвор обратный Ду 100 межфланцевый</t>
  </si>
  <si>
    <t>Затвор обратный Ду 80 межфланцевый</t>
  </si>
  <si>
    <t>Узел учета со счетчиком холодной воды турбинный Ду=65мм ВСХН-65</t>
  </si>
  <si>
    <t>Резьба оцинкованная 40 мм</t>
  </si>
  <si>
    <t>Монтаж трубопроводов из стальных труб</t>
  </si>
  <si>
    <t>Трубопровод из стальных водогазопроводных оцинкованных труб Ø 15мм</t>
  </si>
  <si>
    <t>Трубопровод из стальных водогазопроводных оцинкованных труб Ø 20мм</t>
  </si>
  <si>
    <t>Трубопровод из стальных водогазопроводных оцинкованных труб Ø 25мм</t>
  </si>
  <si>
    <t>Трубопровод из стальных водогазопроводных оцинкованных труб Ø 32мм</t>
  </si>
  <si>
    <t>4..5</t>
  </si>
  <si>
    <t>Трубопровод из стальных водогазопроводных оцинкованных труб Ø 40мм</t>
  </si>
  <si>
    <t>4..6</t>
  </si>
  <si>
    <t>Трубопровод из стальных водогазопроводных оцинкованных труб Ø 50мм</t>
  </si>
  <si>
    <t>4..7</t>
  </si>
  <si>
    <t>Трубопровод из стальных водогазопроводных оцинкованных труб Ø 65мм</t>
  </si>
  <si>
    <t>4..8</t>
  </si>
  <si>
    <t>Трубопровод из стальных водогазопроводных оцинкованных труб Ø 80мм</t>
  </si>
  <si>
    <t>4..9</t>
  </si>
  <si>
    <t>Трубопровод из стальных водогазопроводных оцинкованных труб Ø 100мм</t>
  </si>
  <si>
    <t>4..10</t>
  </si>
  <si>
    <t>Гильзы - Трубы стальные 159х4,0 мм по ГОСТ 10704-91</t>
  </si>
  <si>
    <t>4..11</t>
  </si>
  <si>
    <t>Гильзы - Трубы стальные 57х3,5 мм по ГОСТ 10704-91</t>
  </si>
  <si>
    <t>4..12</t>
  </si>
  <si>
    <t>отвод стальной оц. 90гр ду 32</t>
  </si>
  <si>
    <t>4..13</t>
  </si>
  <si>
    <t>отвод стальной оц. 90гр ду 40</t>
  </si>
  <si>
    <t>4..14</t>
  </si>
  <si>
    <t>отвод стальной оц. 90гр ду 50</t>
  </si>
  <si>
    <t>4..15</t>
  </si>
  <si>
    <t>отвод стальной оц. 45гр ду 50</t>
  </si>
  <si>
    <t>4..16</t>
  </si>
  <si>
    <t>отвод стальной оц. 90гр ду 65</t>
  </si>
  <si>
    <t>4..17</t>
  </si>
  <si>
    <t>отвод стальной оц. 45гр ду 65</t>
  </si>
  <si>
    <t>4..18</t>
  </si>
  <si>
    <t>отвод стальной оц. 90гр ду 80</t>
  </si>
  <si>
    <t>4..19</t>
  </si>
  <si>
    <t>отвод стальной оц. 90гр ду 100</t>
  </si>
  <si>
    <t>4..20</t>
  </si>
  <si>
    <t>переход стальной оц. Ду 25/15</t>
  </si>
  <si>
    <t>4..21</t>
  </si>
  <si>
    <t>переход стальной оц. Ду 40/25</t>
  </si>
  <si>
    <t>4..22</t>
  </si>
  <si>
    <t>переход стальной оц. Ду 40/32</t>
  </si>
  <si>
    <t>4..23</t>
  </si>
  <si>
    <t>переход стальной оц. Ду 50/40</t>
  </si>
  <si>
    <t>4..24</t>
  </si>
  <si>
    <t>переход стальной оц. Ду 65/50</t>
  </si>
  <si>
    <t>4..25</t>
  </si>
  <si>
    <t>переход стальной оц. Ду 100/80</t>
  </si>
  <si>
    <t>4..26</t>
  </si>
  <si>
    <t>переход стальной оц. Ду 80/65</t>
  </si>
  <si>
    <t>4..27</t>
  </si>
  <si>
    <t>тройник стальной оц. Ду 32/32/32</t>
  </si>
  <si>
    <t>4..28</t>
  </si>
  <si>
    <t>тройник стальной оц. Ду 40/40/40</t>
  </si>
  <si>
    <t>4..29</t>
  </si>
  <si>
    <t>4..30</t>
  </si>
  <si>
    <t>тройник стальной оц. Ду 65/65/65</t>
  </si>
  <si>
    <t>4..31</t>
  </si>
  <si>
    <t>тройник стальной оц. Ду 80/80/80</t>
  </si>
  <si>
    <t>4..32</t>
  </si>
  <si>
    <t>тройник стальной оц. Ду 100/100/100</t>
  </si>
  <si>
    <t>4..33</t>
  </si>
  <si>
    <t>Резьба стальная оцинк.15мм</t>
  </si>
  <si>
    <t>4..34</t>
  </si>
  <si>
    <t>Резьба стальная оцинк.20мм</t>
  </si>
  <si>
    <t>4..35</t>
  </si>
  <si>
    <t>Резьба стальная оцинк.25мм</t>
  </si>
  <si>
    <t>4..36</t>
  </si>
  <si>
    <t>Резьба стальная оцинк.40мм</t>
  </si>
  <si>
    <t>4..37</t>
  </si>
  <si>
    <t>4..38</t>
  </si>
  <si>
    <t>Воздухосборник горизонтального А1И 020.000-03, Pу=1,2Мпа, Dn=325мм ду 50 мм, в комплекте с воздухоотводчиком</t>
  </si>
  <si>
    <t>4..39</t>
  </si>
  <si>
    <t>Муфта резьбовая оцинкованная 1/2"</t>
  </si>
  <si>
    <t>4..40</t>
  </si>
  <si>
    <t>М16х120 болт с шестигранной головкой ГОСТ 7798-70</t>
  </si>
  <si>
    <t>4..41</t>
  </si>
  <si>
    <t>Шайба усиленная М16</t>
  </si>
  <si>
    <t>4..42</t>
  </si>
  <si>
    <t>4..43</t>
  </si>
  <si>
    <t>Цинол 7 кг</t>
  </si>
  <si>
    <t>4..44</t>
  </si>
  <si>
    <t>4..45</t>
  </si>
  <si>
    <t>Монтаж трубопроводов из ПЭ труб</t>
  </si>
  <si>
    <t>Труба ПНД ПЭ 40 мм</t>
  </si>
  <si>
    <t>Труба ПНД ПЭ 25 мм</t>
  </si>
  <si>
    <t>Изготовление,установка опорных стоек под магистраль подвал</t>
  </si>
  <si>
    <t>6..1.1</t>
  </si>
  <si>
    <t>6..1.2</t>
  </si>
  <si>
    <t>6..1.3</t>
  </si>
  <si>
    <t>6..1.4</t>
  </si>
  <si>
    <t>6..1.5</t>
  </si>
  <si>
    <t>6.2</t>
  </si>
  <si>
    <t>Изготовление, установка опорных стоек под магистраль тех. этаж</t>
  </si>
  <si>
    <t>6..2.1</t>
  </si>
  <si>
    <t>6..2.2</t>
  </si>
  <si>
    <t>6..2.3</t>
  </si>
  <si>
    <t>6..2.4</t>
  </si>
  <si>
    <t>6..2.5</t>
  </si>
  <si>
    <t>6.3</t>
  </si>
  <si>
    <t>Изготовление, установка неподвижных опор на стояки</t>
  </si>
  <si>
    <t>6..3.1</t>
  </si>
  <si>
    <t>6..3.2</t>
  </si>
  <si>
    <t>Теплоизоляция трубопроводов</t>
  </si>
  <si>
    <t>Базальтовый теплоизоляционный шнур (Мусорокамера)</t>
  </si>
  <si>
    <t>Цилиндры навивные Pipewool 30*21</t>
  </si>
  <si>
    <t>Цилиндры навивные Pipewool 30*28</t>
  </si>
  <si>
    <t>Цилиндры навивные Pipewool 30*35</t>
  </si>
  <si>
    <t>Цилиндры навивные Pipewool 30*42</t>
  </si>
  <si>
    <t>7..6</t>
  </si>
  <si>
    <t>Цилиндры навивные Pipewool 30*48</t>
  </si>
  <si>
    <t>7..7</t>
  </si>
  <si>
    <t>Цилиндры навивные Pipewool 30*60</t>
  </si>
  <si>
    <t>7..8</t>
  </si>
  <si>
    <t>Цилиндры навивные Pipewool 30*76</t>
  </si>
  <si>
    <t>7..9</t>
  </si>
  <si>
    <t>Цилиндры навивные Pipewool 30*89</t>
  </si>
  <si>
    <t>7..10</t>
  </si>
  <si>
    <t>Цилиндры навивные Pipewool 30*114</t>
  </si>
  <si>
    <t>7..11</t>
  </si>
  <si>
    <t>Трубка K-FLEX PE 13х20-2</t>
  </si>
  <si>
    <t>7..12</t>
  </si>
  <si>
    <t>Трубка K-FLEX PE 13х35-2</t>
  </si>
  <si>
    <t>7..13</t>
  </si>
  <si>
    <t>Трубка K-FLEX PE 13х28-2</t>
  </si>
  <si>
    <t>7..14</t>
  </si>
  <si>
    <t>Трубка K-FLEX PE 13х60-2</t>
  </si>
  <si>
    <t>7..15</t>
  </si>
  <si>
    <t>Трубка K-FLEX PE 9х20-2</t>
  </si>
  <si>
    <t>7..16</t>
  </si>
  <si>
    <t>Трубка K-FLEX PE 9х35-2</t>
  </si>
  <si>
    <t>7..17</t>
  </si>
  <si>
    <t>Трубка K-FLEX PE 9х76-2</t>
  </si>
  <si>
    <t>7..18</t>
  </si>
  <si>
    <t>Клей K-FLEX 2,6л. К-414</t>
  </si>
  <si>
    <t>7..19</t>
  </si>
  <si>
    <t>Скотч армированный K-Flex 003*050 - 25</t>
  </si>
  <si>
    <t>Покрытие теплоизоляции</t>
  </si>
  <si>
    <t>Проволока вязальная</t>
  </si>
  <si>
    <t>D.BOR 62 мм</t>
  </si>
  <si>
    <t>Сильфонный осевой компенсатор марки КСО-Д DN20, PN16.</t>
  </si>
  <si>
    <t>Сильфонный осевой компенсатор марки КСО-Д DN25, PN16.</t>
  </si>
  <si>
    <t>Сильфонный осевой компенсатор марки КСО-Д DN50, PN16.</t>
  </si>
  <si>
    <t>Направляющие опоры сильфонных компенсаторов</t>
  </si>
  <si>
    <t>Кран шар лат Pride нк Ду15 Ру40 м/м полн рыч LD 47.15.В-В.Р .</t>
  </si>
  <si>
    <t>Американка 15 НР-ВР</t>
  </si>
  <si>
    <t>Кран шаровой латунный LD Pride Ду 20 Ру 40  ВР /НР артикул 47.20 В-Н.Р</t>
  </si>
  <si>
    <t>Американка 20 НР-ВР</t>
  </si>
  <si>
    <t>12..5</t>
  </si>
  <si>
    <t>Кран шар лат Pride нк Ду25 Ру40 м/м полн рыч LD 47.25.В-В.Р .</t>
  </si>
  <si>
    <t>12..6</t>
  </si>
  <si>
    <t>Американка 25 НР-ВР</t>
  </si>
  <si>
    <t>12..7</t>
  </si>
  <si>
    <t>Кран шаровой LD Ду50 Ру40 фланцевый полнопроходный</t>
  </si>
  <si>
    <t>12..8</t>
  </si>
  <si>
    <t>Фланец плоский 1-50-16 ст.20</t>
  </si>
  <si>
    <t>12..9</t>
  </si>
  <si>
    <t>Прокладки паронитовые Ду 50 мм</t>
  </si>
  <si>
    <t>12..10</t>
  </si>
  <si>
    <t>Кран шаровой VALTEC COMBI со встроенным фильтром VT.292.N.04 1/2"</t>
  </si>
  <si>
    <t>12..11</t>
  </si>
  <si>
    <t>Редуктор давления с фильтром и манометром VT.082.N.04 1/2"</t>
  </si>
  <si>
    <t>12..12</t>
  </si>
  <si>
    <t>12..13</t>
  </si>
  <si>
    <t>Клапан автоматический балансировочный Sanext DPV-30 Ду=20</t>
  </si>
  <si>
    <t>12..14</t>
  </si>
  <si>
    <t>ФММ-20</t>
  </si>
  <si>
    <t>12..15</t>
  </si>
  <si>
    <t>Автоматический воздухоотводчик VALTEC VT.502.NV.04 1/2"</t>
  </si>
  <si>
    <t>12..16</t>
  </si>
  <si>
    <t>Клапан отсекающий VALTEC VT.539.N.04 1/2"</t>
  </si>
  <si>
    <t>12..17</t>
  </si>
  <si>
    <t>Муфта 15</t>
  </si>
  <si>
    <t>12..18</t>
  </si>
  <si>
    <t>Затвор поворот диск межфланцевый ПА332.100.16-01 Ду100 Ру16 (корпус чугGGG40,диск чугGGG40) с рукоят</t>
  </si>
  <si>
    <t>12..19</t>
  </si>
  <si>
    <t>Затвор поворот диск межфланцевый ПА332.80.16-01 Ду80 Ру16 (корпус чугGGG40,диск чугGGG40) с рукоят</t>
  </si>
  <si>
    <t>12..20</t>
  </si>
  <si>
    <t>Затвор поворот диск межфланцевый ПА332.65.16-01 Ду65 Ру16 (корпус чугGGG40,диск чугGGG40) с рукоят</t>
  </si>
  <si>
    <t>12..21</t>
  </si>
  <si>
    <t>Фланец плоский 1-65-16 ст.20</t>
  </si>
  <si>
    <t>12..22</t>
  </si>
  <si>
    <t>Фланец плоский 1-80-16 ст.20</t>
  </si>
  <si>
    <t>12..23</t>
  </si>
  <si>
    <t>Фланец плоский 1-100-16 ст.20</t>
  </si>
  <si>
    <t>12..24</t>
  </si>
  <si>
    <t>Прокладки паронитовые Ду 100 мм</t>
  </si>
  <si>
    <t>12..25</t>
  </si>
  <si>
    <t>Прокладки паронитовые Ду 80 мм</t>
  </si>
  <si>
    <t>12..26</t>
  </si>
  <si>
    <t>Прокладки паронитовые Ду 65 мм</t>
  </si>
  <si>
    <t>12..27</t>
  </si>
  <si>
    <t>Клапан обратный муфтовый латунный DN25 PN 1.6 Мпа 16Б1бк</t>
  </si>
  <si>
    <t>12..28</t>
  </si>
  <si>
    <t>Американка 25 НР-НР</t>
  </si>
  <si>
    <t>Установка кранов поливочных</t>
  </si>
  <si>
    <t>Ковер</t>
  </si>
  <si>
    <t>Муфта компрессионная 25х3/4"</t>
  </si>
  <si>
    <t>Кран шаровой латунный LD Pride Ду 25 Ру 40  ВР /НР артикул 47.20 В-Н.Р</t>
  </si>
  <si>
    <t>Шланг поливочный 3/4" 50м</t>
  </si>
  <si>
    <t>Набор Gardena</t>
  </si>
  <si>
    <t>СФС-1 (3,3х72,04) - 1 шт</t>
  </si>
  <si>
    <t>СФС-2 (1,09х72,04) - 2 шт</t>
  </si>
  <si>
    <t>СФС-3 (3,73х69,18) - 1шт</t>
  </si>
  <si>
    <t>СФС-4 (1,09х69,18) - 4 шт</t>
  </si>
  <si>
    <t>СФС-5 (3,845х69,18) - 1 шт</t>
  </si>
  <si>
    <t>СФС-6 (1,09х69,18) - 1 шт</t>
  </si>
  <si>
    <t>СФС-7 (3,305х69,18) - 2 шт</t>
  </si>
  <si>
    <t>СТЕНЫ</t>
  </si>
  <si>
    <t>МОП, помещения</t>
  </si>
  <si>
    <t>13.1</t>
  </si>
  <si>
    <t>Штукатурка -15мм</t>
  </si>
  <si>
    <t>13.1.1</t>
  </si>
  <si>
    <t>гипсовая штукатурная смесь Волма Гипс Актив(на толщ 1,5 см)</t>
  </si>
  <si>
    <t>13.1.2</t>
  </si>
  <si>
    <t>Грутовка глубокого проникновения Церезит  СТ 16</t>
  </si>
  <si>
    <t>13.2</t>
  </si>
  <si>
    <t>Штукатурка по сетке - 20мм</t>
  </si>
  <si>
    <t>13.2.1</t>
  </si>
  <si>
    <t>гипсовая штукатурная смесь Волма Гипс Актив (на толщ 2 см)</t>
  </si>
  <si>
    <t>13.2.2</t>
  </si>
  <si>
    <t>Штукатурная сетка Алабуга</t>
  </si>
  <si>
    <t>13.2.3</t>
  </si>
  <si>
    <t>Грутовка глубокого проникновения Церезит СТ 16</t>
  </si>
  <si>
    <t>13.3</t>
  </si>
  <si>
    <t>Штукатурка по сетке - 25мм</t>
  </si>
  <si>
    <t>13.3.1</t>
  </si>
  <si>
    <t>гипсовая штукатурная смесь Волма Гипс Актив (на толщ 2,5 см)</t>
  </si>
  <si>
    <t>13.3.2</t>
  </si>
  <si>
    <t>13.3.3</t>
  </si>
  <si>
    <t>Грутовка глубокого проникновения  Церезит СТ 16</t>
  </si>
  <si>
    <t>13.4</t>
  </si>
  <si>
    <t>Шпатлевка гипсовой смесью</t>
  </si>
  <si>
    <t>13.4.1</t>
  </si>
  <si>
    <t>Шпатлевка гипсовая Bergauf</t>
  </si>
  <si>
    <t>13.4.2</t>
  </si>
  <si>
    <t>13.5</t>
  </si>
  <si>
    <t>Окраска за 2 раза</t>
  </si>
  <si>
    <t>13.5.1</t>
  </si>
  <si>
    <t xml:space="preserve">Краска в/д интерьерная Лакра. Цвет определяется заказчиком перед покраской. </t>
  </si>
  <si>
    <t>13.6</t>
  </si>
  <si>
    <t>Декоративная отделка стен типа "шагрень"</t>
  </si>
  <si>
    <t>13.7</t>
  </si>
  <si>
    <t>Облицовка керамической плиткой стен</t>
  </si>
  <si>
    <t>13.7.1</t>
  </si>
  <si>
    <t>Клей плиточный "ЕК 3000"</t>
  </si>
  <si>
    <t>13.7.2</t>
  </si>
  <si>
    <t xml:space="preserve"> Керамогранит 30х30 LF 00</t>
  </si>
  <si>
    <t>13.8</t>
  </si>
  <si>
    <t>Утепление стен хоз.помещения, тамбуров на 1 этаже</t>
  </si>
  <si>
    <t>13.8.1</t>
  </si>
  <si>
    <t>Теплоизоляция ТехноФАС Оптима 120/50</t>
  </si>
  <si>
    <t>13.8.2</t>
  </si>
  <si>
    <t>Теплоизоляция ТехноФАС Оптима 120/90</t>
  </si>
  <si>
    <t>13.8.3</t>
  </si>
  <si>
    <t>Лестничная клетка</t>
  </si>
  <si>
    <t>13.9</t>
  </si>
  <si>
    <t>Штукатурка - 15мм</t>
  </si>
  <si>
    <t>13.9.1</t>
  </si>
  <si>
    <t>гипсовая штукатурная смесь  Волма Гипс Актив (на толщ 1,5 см)</t>
  </si>
  <si>
    <t>13.9.2</t>
  </si>
  <si>
    <t>13.10</t>
  </si>
  <si>
    <t>13.10.1</t>
  </si>
  <si>
    <t>13.10.2</t>
  </si>
  <si>
    <t>13.10.3</t>
  </si>
  <si>
    <t>13.11</t>
  </si>
  <si>
    <t>13.11.1</t>
  </si>
  <si>
    <t xml:space="preserve">Шпатлевка гипсовая Bergauf </t>
  </si>
  <si>
    <t>13.11.2</t>
  </si>
  <si>
    <t>13.12</t>
  </si>
  <si>
    <t>13.12.1</t>
  </si>
  <si>
    <t xml:space="preserve">Краска в/д интерьерная класс универсал. Цвет определяется заказчиком перед покраской. </t>
  </si>
  <si>
    <t>13.12.2</t>
  </si>
  <si>
    <t>13.13</t>
  </si>
  <si>
    <t>Устройство ГВЛ по металлическому каркасу (стен)</t>
  </si>
  <si>
    <t>13.13.1</t>
  </si>
  <si>
    <t>лист ГВЛ 12,5мм</t>
  </si>
  <si>
    <t>13.13.2</t>
  </si>
  <si>
    <t>профиль ПП 60×27</t>
  </si>
  <si>
    <t>13.13.3</t>
  </si>
  <si>
    <t>профиль ПН 28×27</t>
  </si>
  <si>
    <t>13.13.4</t>
  </si>
  <si>
    <t>Подвес прямой 60×27</t>
  </si>
  <si>
    <t>13.13.5</t>
  </si>
  <si>
    <t>Дюбель-гвоздь 6×60</t>
  </si>
  <si>
    <t>13.13.6</t>
  </si>
  <si>
    <t>Шуруп</t>
  </si>
  <si>
    <t>13.14</t>
  </si>
  <si>
    <t>13.14.1</t>
  </si>
  <si>
    <t>13.14.2</t>
  </si>
  <si>
    <t>Теплоизоляция ТехноФАС Оптима 120/120</t>
  </si>
  <si>
    <t>13.14.3</t>
  </si>
  <si>
    <t>13.14.4</t>
  </si>
  <si>
    <t>ПОТОЛКИ</t>
  </si>
  <si>
    <t>13.17</t>
  </si>
  <si>
    <t>Подвесной потолок (МОП)</t>
  </si>
  <si>
    <t>13.17.1</t>
  </si>
  <si>
    <t>Плита AMF 600х600</t>
  </si>
  <si>
    <t>13.17.2</t>
  </si>
  <si>
    <t>Профиль для подвесного потолка 0,6м</t>
  </si>
  <si>
    <t>13.17.3</t>
  </si>
  <si>
    <t>Профиль для подвесного потолка 1,2м</t>
  </si>
  <si>
    <t>13.17.4</t>
  </si>
  <si>
    <t>Профиль для подвесного потолка 3,6м</t>
  </si>
  <si>
    <t>13.17.5</t>
  </si>
  <si>
    <t>Уголок периметральный 24х19мм (3м)</t>
  </si>
  <si>
    <t>13.17.6</t>
  </si>
  <si>
    <t>Подвес к подвесному потолку Альфа 0,55м</t>
  </si>
  <si>
    <t>13.17.7</t>
  </si>
  <si>
    <t>СВФС анкер-клин 6х40 (100 шт)</t>
  </si>
  <si>
    <t>13.17.8</t>
  </si>
  <si>
    <t>Тех креп дюбель гвоздь 6х40мм (2000 шт)</t>
  </si>
  <si>
    <t>13.18</t>
  </si>
  <si>
    <t>Потолок ГКЛ на металлическом каркасе</t>
  </si>
  <si>
    <t>13.18.1</t>
  </si>
  <si>
    <t>13.18.2</t>
  </si>
  <si>
    <t>13.18.3</t>
  </si>
  <si>
    <t>13.18.4</t>
  </si>
  <si>
    <t>Соединитель одноуровневый</t>
  </si>
  <si>
    <t>13.18.5</t>
  </si>
  <si>
    <t>13.18.6</t>
  </si>
  <si>
    <t>13.18.7</t>
  </si>
  <si>
    <t>13.19</t>
  </si>
  <si>
    <t>13.19.1</t>
  </si>
  <si>
    <t>Шпатлевка гипсовая Bergauf (18кг)</t>
  </si>
  <si>
    <t>13.19.2</t>
  </si>
  <si>
    <t>13.20</t>
  </si>
  <si>
    <t>13.20.1</t>
  </si>
  <si>
    <t>13.20.2</t>
  </si>
  <si>
    <t>13.21</t>
  </si>
  <si>
    <t>Устройство подшивки под перекрытием из звукоизоляционных плит в помещении подвала</t>
  </si>
  <si>
    <t>13.21.1</t>
  </si>
  <si>
    <t>Звукоизоляционные плиты ТЕХНОФЛОР СТАНДАРТ 1200х600х40мм</t>
  </si>
  <si>
    <t>13.21.2</t>
  </si>
  <si>
    <t>Дюбель изоляционный с гвоздем 10х110мм полипропилен</t>
  </si>
  <si>
    <t>13.21.3</t>
  </si>
  <si>
    <t>Стеклоткань</t>
  </si>
  <si>
    <t>13.22</t>
  </si>
  <si>
    <t>Утепление перекрытия за подвесным потолком на отм. +2.740</t>
  </si>
  <si>
    <t>13.22.1</t>
  </si>
  <si>
    <t xml:space="preserve">Изол Н 30 по ТУ5762-002-84277528-2008 с изм.№1-5 (или аналог) плотностью 30кг/м3  - 150 мм; </t>
  </si>
  <si>
    <t>13.22.2</t>
  </si>
  <si>
    <t>13.23</t>
  </si>
  <si>
    <t>13.23.1</t>
  </si>
  <si>
    <t>13.23.2</t>
  </si>
  <si>
    <t>13.24</t>
  </si>
  <si>
    <t>13.24.1</t>
  </si>
  <si>
    <t>13.24.2</t>
  </si>
  <si>
    <t>ПОЛЫ</t>
  </si>
  <si>
    <t>13.25</t>
  </si>
  <si>
    <t>Устройство самовыравнивающейся стяжки 10мм</t>
  </si>
  <si>
    <t>13.25.1</t>
  </si>
  <si>
    <t>сухая самовыравнивающаяся стяжка</t>
  </si>
  <si>
    <t>13.26</t>
  </si>
  <si>
    <t>Устройство цементно-песчаной стяжки М200, армированная сеткой из проволоки ВР-1 100х100х4 - 50мм</t>
  </si>
  <si>
    <t>13.26.1</t>
  </si>
  <si>
    <t>Цементно-песчанный раствор М200</t>
  </si>
  <si>
    <t>13.26.2</t>
  </si>
  <si>
    <t>Сетка из проволоки ВР-1 100*100*4</t>
  </si>
  <si>
    <t>13.27</t>
  </si>
  <si>
    <t>Устройство цементно-песчаной стяжки М200, армированная сеткой из проволоки ВР-1 100х100х4 - 40мм</t>
  </si>
  <si>
    <t>13.27.1</t>
  </si>
  <si>
    <t>13.27.2</t>
  </si>
  <si>
    <t>13.28</t>
  </si>
  <si>
    <t>Устройство цементно-песчаной стяжки М200, армированная сеткой из проволоки ВР-1 100х100х4 - 60-86мм по уклону</t>
  </si>
  <si>
    <t>13.28.1</t>
  </si>
  <si>
    <t>13.28.2</t>
  </si>
  <si>
    <t>13.29</t>
  </si>
  <si>
    <t>Устройство цементно-песчаной стяжки М200, армированная сеткой из проволоки ВР-1 100х100х4 - 70мм</t>
  </si>
  <si>
    <t>13.29.1</t>
  </si>
  <si>
    <t>13.29.2</t>
  </si>
  <si>
    <t>13.30</t>
  </si>
  <si>
    <t>Устройство цементно-песчаной стяжки М200 -  40мм</t>
  </si>
  <si>
    <t>13.30.1</t>
  </si>
  <si>
    <t>цементно-песчаная смесь М200</t>
  </si>
  <si>
    <t>13.31</t>
  </si>
  <si>
    <t>Устройство цементно-песчаной стяжки М200 -  30-20мм по уклону</t>
  </si>
  <si>
    <t>13.31.1</t>
  </si>
  <si>
    <t>13.32</t>
  </si>
  <si>
    <t>Устройство гидроизоляции полов</t>
  </si>
  <si>
    <t>13.32.1</t>
  </si>
  <si>
    <t xml:space="preserve">Пленка полиэтиленовая – 200 мкм. </t>
  </si>
  <si>
    <t>13.33</t>
  </si>
  <si>
    <t>Устройство обмазочной гидроизоляции в 2 слоя по битумному праймеру – 3мм</t>
  </si>
  <si>
    <t>13.33.1</t>
  </si>
  <si>
    <t>Праймер битумный(1л=0,8 кг)</t>
  </si>
  <si>
    <t>13.33.2</t>
  </si>
  <si>
    <t>битумная мастика технониколь</t>
  </si>
  <si>
    <t>13.34</t>
  </si>
  <si>
    <t>Устройство пароизоляции полов</t>
  </si>
  <si>
    <t>13.34.1</t>
  </si>
  <si>
    <t>13.34.2</t>
  </si>
  <si>
    <t>13.35</t>
  </si>
  <si>
    <t>Устройсво оклеечной гидроизоляции в 2 слоя</t>
  </si>
  <si>
    <t>13.35.1</t>
  </si>
  <si>
    <t>Биполь ЭПП</t>
  </si>
  <si>
    <t>13.35.2</t>
  </si>
  <si>
    <t>13.36</t>
  </si>
  <si>
    <t>Утепление полов (по полу первого этажа и чердаку )</t>
  </si>
  <si>
    <t>13.36.1</t>
  </si>
  <si>
    <t>утеплитель ЭППС 28-35кг/м3 -0,032Вт (м*К)-50мм</t>
  </si>
  <si>
    <t>13.36.2</t>
  </si>
  <si>
    <t>утеплитель ПСБ-С-35 толщ 20мм</t>
  </si>
  <si>
    <t>13.37</t>
  </si>
  <si>
    <t xml:space="preserve">Устройство напольного покрытия из керамогранита противоскользящего </t>
  </si>
  <si>
    <t>13.37.1</t>
  </si>
  <si>
    <t>13.37.2</t>
  </si>
  <si>
    <t>Керамогранит 30х30 ST01</t>
  </si>
  <si>
    <t>13.37.3</t>
  </si>
  <si>
    <t>Керамогранит 30х30 СT301R</t>
  </si>
  <si>
    <t>13.37.4</t>
  </si>
  <si>
    <t>Клей плиточный  "ЕК 3000" для 60х60</t>
  </si>
  <si>
    <t>13.37.5</t>
  </si>
  <si>
    <t>Клей плиточный  "ЕК 3000" для 30х30</t>
  </si>
  <si>
    <t>13.37.6</t>
  </si>
  <si>
    <t>Затирка для плитки Ceresit CE33</t>
  </si>
  <si>
    <t>13.38</t>
  </si>
  <si>
    <t>Устройство сапожка из керамогранита h=100мм</t>
  </si>
  <si>
    <t>13.38.1</t>
  </si>
  <si>
    <t>13.38.2</t>
  </si>
  <si>
    <t>13.39</t>
  </si>
  <si>
    <t xml:space="preserve">Устройство подсыпки из керамзитового гравия фр.10-20 - 300мм </t>
  </si>
  <si>
    <t>13.39.1</t>
  </si>
  <si>
    <t>Керамзитовый графий фр. 10-20мм</t>
  </si>
  <si>
    <t>14.2</t>
  </si>
  <si>
    <t>14.2.1</t>
  </si>
  <si>
    <t>14.3</t>
  </si>
  <si>
    <t>14.3.1</t>
  </si>
  <si>
    <t>14.3.2</t>
  </si>
  <si>
    <t>14.3.3</t>
  </si>
  <si>
    <t>14.3.4</t>
  </si>
  <si>
    <t>14.3.5</t>
  </si>
  <si>
    <t>14.3.6</t>
  </si>
  <si>
    <t>14.4</t>
  </si>
  <si>
    <t>14.4.1</t>
  </si>
  <si>
    <t>14.4.2</t>
  </si>
  <si>
    <t>14.4.3</t>
  </si>
  <si>
    <t>14.4.4</t>
  </si>
  <si>
    <t>15.1</t>
  </si>
  <si>
    <t>19.6</t>
  </si>
  <si>
    <t>19.6.1</t>
  </si>
  <si>
    <t>19.6.2</t>
  </si>
  <si>
    <t>19.6.3</t>
  </si>
  <si>
    <t>19.6.4</t>
  </si>
  <si>
    <t>19.7</t>
  </si>
  <si>
    <t>Отливы</t>
  </si>
  <si>
    <t>19.7.1</t>
  </si>
  <si>
    <t>Лист оцинк. Белый 0,7мм</t>
  </si>
  <si>
    <t>Корзины кондиционеров НВФ</t>
  </si>
  <si>
    <t>Причины отклонения себестоимости</t>
  </si>
  <si>
    <t>Отсутствует гидроизоляция полов и утепление лестничной клетки.</t>
  </si>
  <si>
    <t>Отсутствуют данные от Спицина</t>
  </si>
  <si>
    <t>Удорожание лифтов (400 т.р. Обрамление)</t>
  </si>
  <si>
    <t>Отсутствуют данные по опалубке</t>
  </si>
  <si>
    <t>1,6 млн за счет цены СКЦ</t>
  </si>
  <si>
    <t>Задвоение работ с раздела АС и других</t>
  </si>
  <si>
    <t>Удорожание Внутренние стены - 3,7 млн. руб. за счет СКЦ.</t>
  </si>
  <si>
    <t>Удорожание Внутренние перегородки: удорожание стоимости - 1,4 млн. руб., неправильный расчет раствора - 0,6 млн. руб.</t>
  </si>
  <si>
    <t>Инженерные системы - 3 382 342,56</t>
  </si>
  <si>
    <t xml:space="preserve">Погружение  ж/б сваи для испытания </t>
  </si>
  <si>
    <t xml:space="preserve">Проектирование и согласование узла учета тепловой энергии </t>
  </si>
  <si>
    <t xml:space="preserve"> Замена кладки стен из керамзитобетонных блоков на бетонные стеновые блоки СКЦ</t>
  </si>
  <si>
    <t>5.2.5</t>
  </si>
  <si>
    <t>5.2.6</t>
  </si>
  <si>
    <t>5.7.1</t>
  </si>
  <si>
    <t>5.7.2</t>
  </si>
  <si>
    <t>5.7.3</t>
  </si>
  <si>
    <t>5.8.1</t>
  </si>
  <si>
    <t>5.8.2</t>
  </si>
  <si>
    <t>5.9.1</t>
  </si>
  <si>
    <t>5.9.3</t>
  </si>
  <si>
    <t>5.9.2</t>
  </si>
  <si>
    <t>5.9.4</t>
  </si>
  <si>
    <t>5.10</t>
  </si>
  <si>
    <t>5.10.1</t>
  </si>
  <si>
    <t>5.10.2</t>
  </si>
  <si>
    <t>5.11</t>
  </si>
  <si>
    <t>5.11.1</t>
  </si>
  <si>
    <t>5.11.2</t>
  </si>
  <si>
    <t>5.11.3</t>
  </si>
  <si>
    <t>5.12</t>
  </si>
  <si>
    <t>5.12.1</t>
  </si>
  <si>
    <t>5.13</t>
  </si>
  <si>
    <t>5.13.1</t>
  </si>
  <si>
    <t>5.13.2</t>
  </si>
  <si>
    <t>5.13.3</t>
  </si>
  <si>
    <t>5.14</t>
  </si>
  <si>
    <t>11.1</t>
  </si>
  <si>
    <t>11.2</t>
  </si>
  <si>
    <t>с учетом швов</t>
  </si>
  <si>
    <t>11.2.1</t>
  </si>
  <si>
    <t>ОП В2 1440-900 (4М1-16-И4)- 138 шт</t>
  </si>
  <si>
    <t>11.2.2</t>
  </si>
  <si>
    <t>ОП В2 1440-1300 (4М1-16-И4) - 69 шт</t>
  </si>
  <si>
    <t>11.2.3</t>
  </si>
  <si>
    <t>ОП В2 1690-1250 (4М1-8-4М1-8-К4) -161 шт</t>
  </si>
  <si>
    <t>11.2.4</t>
  </si>
  <si>
    <t>ОП В2 1690-1450 (4М1-8-4М1-8-К4) - 207 шт</t>
  </si>
  <si>
    <t>11.2.5</t>
  </si>
  <si>
    <t>ОП В2 1480-900 (4М1-16-И4) - 1 шт</t>
  </si>
  <si>
    <t>11.2.6</t>
  </si>
  <si>
    <t>ОП В2 1730-1450 (4М1-8-4М1-8-К4) - 10 шт</t>
  </si>
  <si>
    <t>11.2.7</t>
  </si>
  <si>
    <t>ОП В2 1730-1250 (4М1-8-4М1-8-К4) - 7 шт</t>
  </si>
  <si>
    <t>ОП В2 1870-1150 (4М1-16-И4) - 1 шт</t>
  </si>
  <si>
    <t>ОП В2 750-750 (4М1-16-И4) с противовандальной пленкой - 8 шт</t>
  </si>
  <si>
    <t>11.3</t>
  </si>
  <si>
    <t>11.3.1</t>
  </si>
  <si>
    <t>11.3.2</t>
  </si>
  <si>
    <t>11.3.3</t>
  </si>
  <si>
    <t>Устройство порогов балконных</t>
  </si>
  <si>
    <t>11.3.4</t>
  </si>
  <si>
    <t>11.3.5</t>
  </si>
  <si>
    <t>Арматура 12 А500</t>
  </si>
  <si>
    <t>11.3.6</t>
  </si>
  <si>
    <t>Цементно-стружечная плита 10мм</t>
  </si>
  <si>
    <t>11.3.7</t>
  </si>
  <si>
    <t>11.3.8</t>
  </si>
  <si>
    <t>11.4</t>
  </si>
  <si>
    <t>11.4.1</t>
  </si>
  <si>
    <t>ВБ-1 (3,14х1,51) - 1шт</t>
  </si>
  <si>
    <t>11.4.2</t>
  </si>
  <si>
    <t>ВБ-2 (0,92х1,51) - 2 шт</t>
  </si>
  <si>
    <t>11.4.3</t>
  </si>
  <si>
    <t>ВБ-3 (3,14х1,47) - 69 шт</t>
  </si>
  <si>
    <t>11.4.4</t>
  </si>
  <si>
    <t>ВБ-4 (1,12х1,47) - 161 шт</t>
  </si>
  <si>
    <t>11.4.5</t>
  </si>
  <si>
    <t>ВБ-5 (5,96х1,47) - 23 шт</t>
  </si>
  <si>
    <t>11.4.6</t>
  </si>
  <si>
    <t>ВБ-6 (6,14х1,47) - 23 шт</t>
  </si>
  <si>
    <t>11.4.7</t>
  </si>
  <si>
    <t>ВБ-7 (5,525х1,47) - 23 шт</t>
  </si>
  <si>
    <t>ВБ-8 (1,07х1,47) - 23шт</t>
  </si>
  <si>
    <t>ВБ-9 (0,92х1,47) - 23 шт</t>
  </si>
  <si>
    <t>11.5</t>
  </si>
  <si>
    <t>Крепление ПВХ-конструкций</t>
  </si>
  <si>
    <t>11.5.1</t>
  </si>
  <si>
    <t>11.5.2</t>
  </si>
  <si>
    <t>11.5.3</t>
  </si>
  <si>
    <t>11.5.4</t>
  </si>
  <si>
    <t>11.5.5</t>
  </si>
  <si>
    <t>11.5.6</t>
  </si>
  <si>
    <t>11.5.7</t>
  </si>
  <si>
    <t>11.5.8</t>
  </si>
  <si>
    <t>11.6</t>
  </si>
  <si>
    <t>Установка отливов</t>
  </si>
  <si>
    <t>11.6.1</t>
  </si>
  <si>
    <t>11.6.2</t>
  </si>
  <si>
    <t>Лента ПСУЛ 15x6/30 мм х 6 м</t>
  </si>
  <si>
    <t>11.6.3</t>
  </si>
  <si>
    <t>Фасадный герметик</t>
  </si>
  <si>
    <t>11.6.4</t>
  </si>
  <si>
    <t>11.7</t>
  </si>
  <si>
    <t xml:space="preserve">Устройство сплошного "теплого" витража стеклопакет толщиной 32мм , с учетом откосов
 </t>
  </si>
  <si>
    <t>13.8.4</t>
  </si>
  <si>
    <t>13.14.5</t>
  </si>
  <si>
    <t>Опалубка</t>
  </si>
  <si>
    <t>3.12</t>
  </si>
  <si>
    <t>3.12.1</t>
  </si>
  <si>
    <t>3.12.2</t>
  </si>
  <si>
    <t>3.12.3</t>
  </si>
  <si>
    <t>3.12.4</t>
  </si>
  <si>
    <t>3.13</t>
  </si>
  <si>
    <t>Устройство фасада СФТК</t>
  </si>
  <si>
    <t xml:space="preserve">Витражи </t>
  </si>
  <si>
    <t>ПВХ конструкции</t>
  </si>
  <si>
    <t>Устройство фасада НВФ</t>
  </si>
  <si>
    <t>3.13.1</t>
  </si>
  <si>
    <t>3.13.2</t>
  </si>
  <si>
    <t>3.13.3</t>
  </si>
  <si>
    <t>3.13.4</t>
  </si>
  <si>
    <t>3.14</t>
  </si>
  <si>
    <t>3.14.1</t>
  </si>
  <si>
    <t>3.14.2</t>
  </si>
  <si>
    <t>3.14.3</t>
  </si>
  <si>
    <t>3.14.4</t>
  </si>
  <si>
    <t>3.14.5</t>
  </si>
  <si>
    <t>3.14.6</t>
  </si>
  <si>
    <t>3.14.7</t>
  </si>
  <si>
    <t>3.14.8</t>
  </si>
  <si>
    <t>3.14.9</t>
  </si>
  <si>
    <t>3.14.10</t>
  </si>
  <si>
    <t>3.14.11</t>
  </si>
  <si>
    <t>3.14.12</t>
  </si>
  <si>
    <t>3.15</t>
  </si>
  <si>
    <t>3.15.1</t>
  </si>
  <si>
    <t>3.15.2</t>
  </si>
  <si>
    <t>3.15.3</t>
  </si>
  <si>
    <t>3.16</t>
  </si>
  <si>
    <t>3.16.1</t>
  </si>
  <si>
    <t>3.16.2</t>
  </si>
  <si>
    <t>3.16.3</t>
  </si>
  <si>
    <t>3.17</t>
  </si>
  <si>
    <t>3.17.1</t>
  </si>
  <si>
    <t>3.17.2</t>
  </si>
  <si>
    <t>3.17.3</t>
  </si>
  <si>
    <t>3.18</t>
  </si>
  <si>
    <t>3.18.1</t>
  </si>
  <si>
    <t>3.18.2</t>
  </si>
  <si>
    <t>3.19</t>
  </si>
  <si>
    <t>3.19.1</t>
  </si>
  <si>
    <t>3.19.2</t>
  </si>
  <si>
    <t>3.19.3</t>
  </si>
  <si>
    <t>3.19.4</t>
  </si>
  <si>
    <t>3.19.5</t>
  </si>
  <si>
    <t>3.19.6</t>
  </si>
  <si>
    <t>Устройство монолитного ж/б каркаса</t>
  </si>
  <si>
    <t>3.20</t>
  </si>
  <si>
    <t>3.20.1</t>
  </si>
  <si>
    <t>3.21</t>
  </si>
  <si>
    <t>3.21.1</t>
  </si>
  <si>
    <t>3.20.2</t>
  </si>
  <si>
    <t>3.20.3</t>
  </si>
  <si>
    <t>3.20.4</t>
  </si>
  <si>
    <t>3.21.2</t>
  </si>
  <si>
    <t>3.21.3</t>
  </si>
  <si>
    <t>3.21.4</t>
  </si>
  <si>
    <t>3.22</t>
  </si>
  <si>
    <t>3.22.1</t>
  </si>
  <si>
    <t>3.22.2</t>
  </si>
  <si>
    <t>3.22.3</t>
  </si>
  <si>
    <t>3.22.4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</si>
  <si>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</si>
  <si>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</si>
  <si>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</si>
  <si>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</si>
  <si>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</si>
  <si>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</si>
  <si>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</si>
  <si>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</si>
  <si>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</si>
  <si>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</si>
  <si>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</si>
  <si>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</si>
  <si>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</si>
  <si>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</si>
  <si>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</si>
  <si>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</si>
  <si>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</si>
  <si>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</si>
  <si>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6.3.1</t>
  </si>
  <si>
    <t>6.3.2</t>
  </si>
  <si>
    <t>6.3.3</t>
  </si>
  <si>
    <t>6.3.4</t>
  </si>
  <si>
    <t>6.3.5</t>
  </si>
  <si>
    <t>6.3.6</t>
  </si>
  <si>
    <t>6.3.7</t>
  </si>
  <si>
    <t>6.4</t>
  </si>
  <si>
    <t>6.4.1</t>
  </si>
  <si>
    <t>6.4.2</t>
  </si>
  <si>
    <t>6.4.3</t>
  </si>
  <si>
    <t>6.4.4</t>
  </si>
  <si>
    <t>6.4.5</t>
  </si>
  <si>
    <t>6.5</t>
  </si>
  <si>
    <t>6.6</t>
  </si>
  <si>
    <t>6.6.1</t>
  </si>
  <si>
    <t>6.6.2</t>
  </si>
  <si>
    <t>6.6.3</t>
  </si>
  <si>
    <t>6.6.4</t>
  </si>
  <si>
    <t>7.1</t>
  </si>
  <si>
    <t>7.1.1</t>
  </si>
  <si>
    <t>7.2</t>
  </si>
  <si>
    <t>7.2.1</t>
  </si>
  <si>
    <t>7.2.2</t>
  </si>
  <si>
    <t>7.2.3</t>
  </si>
  <si>
    <t>7.2.4</t>
  </si>
  <si>
    <t>7.2.5</t>
  </si>
  <si>
    <t>7.2.6</t>
  </si>
  <si>
    <t>7.3</t>
  </si>
  <si>
    <t>7.3.1</t>
  </si>
  <si>
    <t>7.3.2</t>
  </si>
  <si>
    <t>7.3.3</t>
  </si>
  <si>
    <t>7.3.4</t>
  </si>
  <si>
    <t>9.1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</si>
  <si>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</si>
  <si>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</si>
  <si>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</si>
  <si>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</si>
  <si>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</si>
  <si>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</si>
  <si>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</si>
  <si>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</si>
  <si>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</si>
  <si>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</si>
  <si>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</si>
  <si>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</si>
  <si>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</si>
  <si>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</si>
  <si>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9.1.15</t>
  </si>
  <si>
    <t>9.2</t>
  </si>
  <si>
    <t>9.2.1</t>
  </si>
  <si>
    <t>9.2.2</t>
  </si>
  <si>
    <t>9.2.3</t>
  </si>
  <si>
    <t>9.3</t>
  </si>
  <si>
    <t>9.3.1</t>
  </si>
  <si>
    <t>9.3.2</t>
  </si>
  <si>
    <t>9.3.3</t>
  </si>
  <si>
    <t>9.3.4</t>
  </si>
  <si>
    <t>9.3.5</t>
  </si>
  <si>
    <t>9.4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</si>
  <si>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</si>
  <si>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</si>
  <si>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</si>
  <si>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</si>
  <si>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</si>
  <si>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</si>
  <si>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</si>
  <si>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</si>
  <si>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</si>
  <si>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9.5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</si>
  <si>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</si>
  <si>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</si>
  <si>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</si>
  <si>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</si>
  <si>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</si>
  <si>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</si>
  <si>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</si>
  <si>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</si>
  <si>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9.5.9</t>
  </si>
  <si>
    <t>9.5.10</t>
  </si>
  <si>
    <t>9.6</t>
  </si>
  <si>
    <t>9.6.1</t>
  </si>
  <si>
    <t>9.6.2</t>
  </si>
  <si>
    <t>9.6.3</t>
  </si>
  <si>
    <t>9.6.4</t>
  </si>
  <si>
    <t>10.1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</si>
  <si>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</si>
  <si>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</si>
  <si>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</si>
  <si>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</si>
  <si>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</si>
  <si>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</si>
  <si>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</si>
  <si>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</si>
  <si>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</si>
  <si>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</si>
  <si>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</si>
  <si>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</si>
  <si>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</si>
  <si>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</si>
  <si>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</si>
  <si>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</si>
  <si>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</si>
  <si>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</si>
  <si>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</si>
  <si>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</si>
  <si>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</si>
  <si>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</si>
  <si>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</si>
  <si>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</si>
  <si>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</si>
  <si>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</si>
  <si>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</si>
  <si>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</si>
  <si>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</si>
  <si>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</si>
  <si>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</si>
  <si>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11.3.9</t>
  </si>
  <si>
    <t>11.3.10</t>
  </si>
  <si>
    <t>11.3.11</t>
  </si>
  <si>
    <t>11.3.12</t>
  </si>
  <si>
    <t>11.3.13</t>
  </si>
  <si>
    <t>11.7.1</t>
  </si>
  <si>
    <t>11.7.2</t>
  </si>
  <si>
    <t>11.7.3</t>
  </si>
  <si>
    <t>11.7.4</t>
  </si>
  <si>
    <t>11.7.5</t>
  </si>
  <si>
    <t>11.8</t>
  </si>
  <si>
    <t>11.8.1</t>
  </si>
  <si>
    <t>11.8.2</t>
  </si>
  <si>
    <t>11.8.3</t>
  </si>
  <si>
    <t>11.8.4</t>
  </si>
  <si>
    <t>11.8.5</t>
  </si>
  <si>
    <t>11.8.6</t>
  </si>
  <si>
    <t>11.8.7</t>
  </si>
  <si>
    <t>11.9</t>
  </si>
  <si>
    <t>11.10</t>
  </si>
  <si>
    <t>11.11</t>
  </si>
  <si>
    <t>11.11.1</t>
  </si>
  <si>
    <t>11.11.2</t>
  </si>
  <si>
    <t>11.12</t>
  </si>
  <si>
    <t>11.12.1</t>
  </si>
  <si>
    <t>11.12.2</t>
  </si>
  <si>
    <t>11.12.3</t>
  </si>
  <si>
    <t>11.12.4</t>
  </si>
  <si>
    <t>11.12.5</t>
  </si>
  <si>
    <t>11.12.6</t>
  </si>
  <si>
    <t>11.13</t>
  </si>
  <si>
    <t>11.13.1</t>
  </si>
  <si>
    <t>11.13.2</t>
  </si>
  <si>
    <t>11.13.3</t>
  </si>
  <si>
    <t>11.14</t>
  </si>
  <si>
    <t>11.14.1</t>
  </si>
  <si>
    <t>11.14.2</t>
  </si>
  <si>
    <t>11.14.3</t>
  </si>
  <si>
    <t>11.14.4</t>
  </si>
  <si>
    <t>11.15</t>
  </si>
  <si>
    <t>11.15.1</t>
  </si>
  <si>
    <t>11.15.2</t>
  </si>
  <si>
    <t>11.15.4</t>
  </si>
  <si>
    <t>11.15.3</t>
  </si>
  <si>
    <t>11.15.5</t>
  </si>
  <si>
    <t>11.16</t>
  </si>
  <si>
    <t>11.16.1</t>
  </si>
  <si>
    <t>11.16.2</t>
  </si>
  <si>
    <t>11.16.3</t>
  </si>
  <si>
    <t>11.16.4</t>
  </si>
  <si>
    <t>11.17</t>
  </si>
  <si>
    <t>11.17.1</t>
  </si>
  <si>
    <t>11.17.2</t>
  </si>
  <si>
    <t>11.17.3</t>
  </si>
  <si>
    <t>11.17.4</t>
  </si>
  <si>
    <t>12.1.1</t>
  </si>
  <si>
    <t>12.1.2</t>
  </si>
  <si>
    <t>12.1.3</t>
  </si>
  <si>
    <t>12.5.3</t>
  </si>
  <si>
    <t>12.3.3</t>
  </si>
  <si>
    <t>12.1.4</t>
  </si>
  <si>
    <t>12.1.5</t>
  </si>
  <si>
    <t>12.1.6</t>
  </si>
  <si>
    <t>12.1.7</t>
  </si>
  <si>
    <t>12.1.8</t>
  </si>
  <si>
    <t>12.2.1</t>
  </si>
  <si>
    <t>12.2.2</t>
  </si>
  <si>
    <t>12.2.3</t>
  </si>
  <si>
    <t>12.2.4</t>
  </si>
  <si>
    <t>12.2.5</t>
  </si>
  <si>
    <t>12.2.6</t>
  </si>
  <si>
    <t>12.2.7</t>
  </si>
  <si>
    <t>12.2.8</t>
  </si>
  <si>
    <t>12.2.9</t>
  </si>
  <si>
    <t>12.3.1</t>
  </si>
  <si>
    <t>12.3.2</t>
  </si>
  <si>
    <t>12.3.4</t>
  </si>
  <si>
    <t>12.3.5</t>
  </si>
  <si>
    <t>12.3.6</t>
  </si>
  <si>
    <t>12.3.7</t>
  </si>
  <si>
    <t>12.3.8</t>
  </si>
  <si>
    <t>12.3.9</t>
  </si>
  <si>
    <t>12.3.10</t>
  </si>
  <si>
    <t>12.3.11</t>
  </si>
  <si>
    <t>12.3.12</t>
  </si>
  <si>
    <t>12.3.13</t>
  </si>
  <si>
    <t>12.3.14</t>
  </si>
  <si>
    <t>12.3.15</t>
  </si>
  <si>
    <t>12.3.16</t>
  </si>
  <si>
    <t>12.3.17</t>
  </si>
  <si>
    <t>12.3.18</t>
  </si>
  <si>
    <t>12.3.19</t>
  </si>
  <si>
    <t>12.4.1</t>
  </si>
  <si>
    <t>12.4.3</t>
  </si>
  <si>
    <t>12.4.2</t>
  </si>
  <si>
    <t>12.4.4</t>
  </si>
  <si>
    <t>12.4.5</t>
  </si>
  <si>
    <t>12.4.9</t>
  </si>
  <si>
    <t>16.4.1</t>
  </si>
  <si>
    <t>12.4.6</t>
  </si>
  <si>
    <t>12.4.7</t>
  </si>
  <si>
    <t>12.4.8</t>
  </si>
  <si>
    <t>12.4.10</t>
  </si>
  <si>
    <t>12.4.11</t>
  </si>
  <si>
    <t>12.4.12</t>
  </si>
  <si>
    <t>12.4.13</t>
  </si>
  <si>
    <t>12.5.1</t>
  </si>
  <si>
    <t>12.5.2</t>
  </si>
  <si>
    <t>12.5.4</t>
  </si>
  <si>
    <t>12.5.5</t>
  </si>
  <si>
    <t>12.6.6</t>
  </si>
  <si>
    <t>12.5.6</t>
  </si>
  <si>
    <t>12.5.7</t>
  </si>
  <si>
    <t>12.5.8</t>
  </si>
  <si>
    <t>12.5.9</t>
  </si>
  <si>
    <t>12.5.10</t>
  </si>
  <si>
    <t>12.5.11</t>
  </si>
  <si>
    <t>12.5.12</t>
  </si>
  <si>
    <t>12.5.13</t>
  </si>
  <si>
    <t>12.6.1</t>
  </si>
  <si>
    <t>12.7.4</t>
  </si>
  <si>
    <t>12.6.2</t>
  </si>
  <si>
    <t>12.6.3</t>
  </si>
  <si>
    <t>12.6.4</t>
  </si>
  <si>
    <t>12.6.5</t>
  </si>
  <si>
    <t>12.6.7</t>
  </si>
  <si>
    <t>12.6.8</t>
  </si>
  <si>
    <t>12.6.9</t>
  </si>
  <si>
    <t>12.6.10</t>
  </si>
  <si>
    <t>12.6.11</t>
  </si>
  <si>
    <t>12.6.12</t>
  </si>
  <si>
    <t>12.7.1</t>
  </si>
  <si>
    <t>12.7.2</t>
  </si>
  <si>
    <t>12.7.3</t>
  </si>
  <si>
    <t>12.7.5</t>
  </si>
  <si>
    <t>12.7.6</t>
  </si>
  <si>
    <t>12.7.7</t>
  </si>
  <si>
    <t>12.7.8</t>
  </si>
  <si>
    <t>12.7.9</t>
  </si>
  <si>
    <t>12.7.10</t>
  </si>
  <si>
    <t>12.7.11</t>
  </si>
  <si>
    <t>12.7.12</t>
  </si>
  <si>
    <t>12.7.13</t>
  </si>
  <si>
    <t>12.7.14</t>
  </si>
  <si>
    <t>12.7.15</t>
  </si>
  <si>
    <t>12.7.16</t>
  </si>
  <si>
    <t>12.7.17</t>
  </si>
  <si>
    <t>12.7.18</t>
  </si>
  <si>
    <t>12.7.19</t>
  </si>
  <si>
    <t>12.8.1</t>
  </si>
  <si>
    <t>12.8.2</t>
  </si>
  <si>
    <t>12.9.1</t>
  </si>
  <si>
    <t>12.9.2</t>
  </si>
  <si>
    <t>12.9.3</t>
  </si>
  <si>
    <t>12.9.4</t>
  </si>
  <si>
    <t>12.10.1</t>
  </si>
  <si>
    <t>12.10.2</t>
  </si>
  <si>
    <t>12.10.3</t>
  </si>
  <si>
    <t>12.10.4</t>
  </si>
  <si>
    <t>12.11.1</t>
  </si>
  <si>
    <t>12.11.2</t>
  </si>
  <si>
    <t>12.11.3</t>
  </si>
  <si>
    <t>14.1</t>
  </si>
  <si>
    <t>14.5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</si>
  <si>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</si>
  <si>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</si>
  <si>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</si>
  <si>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</si>
  <si>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</si>
  <si>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</si>
  <si>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</si>
  <si>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</si>
  <si>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</si>
  <si>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</si>
  <si>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</si>
  <si>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</si>
  <si>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</si>
  <si>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</si>
  <si>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15.1.1</t>
  </si>
  <si>
    <t>15.1.2</t>
  </si>
  <si>
    <t>15.1.3</t>
  </si>
  <si>
    <t>15.1.4</t>
  </si>
  <si>
    <t>15.1.5</t>
  </si>
  <si>
    <t>15.1.6</t>
  </si>
  <si>
    <t>15.1.7</t>
  </si>
  <si>
    <t>15.1.8</t>
  </si>
  <si>
    <t>15.1.9</t>
  </si>
  <si>
    <t>15.1.10</t>
  </si>
  <si>
    <t>15.1.11</t>
  </si>
  <si>
    <t>15.1.12</t>
  </si>
  <si>
    <t>15.1.13</t>
  </si>
  <si>
    <t>15.1.14</t>
  </si>
  <si>
    <t>15.1.15</t>
  </si>
  <si>
    <t>15.1.16</t>
  </si>
  <si>
    <t>15.1.17</t>
  </si>
  <si>
    <t>15.1.18</t>
  </si>
  <si>
    <t>15.1.19</t>
  </si>
  <si>
    <t>15.1.20</t>
  </si>
  <si>
    <t>15.1.21</t>
  </si>
  <si>
    <t>15.1.22</t>
  </si>
  <si>
    <t>15.1.23</t>
  </si>
  <si>
    <t>15.1.24</t>
  </si>
  <si>
    <t>15.1.25</t>
  </si>
  <si>
    <t>15.1.26</t>
  </si>
  <si>
    <t>15.1.27</t>
  </si>
  <si>
    <t>15.1.28</t>
  </si>
  <si>
    <t>15.1.29</t>
  </si>
  <si>
    <t>15.1.30</t>
  </si>
  <si>
    <t>15.1.31</t>
  </si>
  <si>
    <t>15.1.32</t>
  </si>
  <si>
    <t>15.1.33</t>
  </si>
  <si>
    <t>15.1.34</t>
  </si>
  <si>
    <t>15.1.35</t>
  </si>
  <si>
    <t>15.1.36</t>
  </si>
  <si>
    <t>15.1.37</t>
  </si>
  <si>
    <t>15.1.38</t>
  </si>
  <si>
    <t>15.1.39</t>
  </si>
  <si>
    <t>15.1.40</t>
  </si>
  <si>
    <t>15.1.41</t>
  </si>
  <si>
    <t>15.1.42</t>
  </si>
  <si>
    <t>15.1.43</t>
  </si>
  <si>
    <t>15.1.44</t>
  </si>
  <si>
    <t>15.1.45</t>
  </si>
  <si>
    <t>15.1.46</t>
  </si>
  <si>
    <t>15.1.47</t>
  </si>
  <si>
    <t>15.1.48</t>
  </si>
  <si>
    <t>15.1.49</t>
  </si>
  <si>
    <t>15.1.50</t>
  </si>
  <si>
    <t>15.2.1</t>
  </si>
  <si>
    <t>15.2.1.1</t>
  </si>
  <si>
    <t>15.2.1.2</t>
  </si>
  <si>
    <t>15.2.1.3</t>
  </si>
  <si>
    <t>15.2.2</t>
  </si>
  <si>
    <t>15.2.2.1</t>
  </si>
  <si>
    <t>15.2.3</t>
  </si>
  <si>
    <t>15.2.3.1</t>
  </si>
  <si>
    <t>15.2.3.2</t>
  </si>
  <si>
    <t>15.2.3.3</t>
  </si>
  <si>
    <t>15.2.3.4</t>
  </si>
  <si>
    <t>15.2.4</t>
  </si>
  <si>
    <t>15.2.4.1</t>
  </si>
  <si>
    <t>15.2.4.2</t>
  </si>
  <si>
    <t>15.2.4.3</t>
  </si>
  <si>
    <t>15.2.4.4</t>
  </si>
  <si>
    <t>15.2.4.5</t>
  </si>
  <si>
    <t>15.3.1</t>
  </si>
  <si>
    <t>15.3.2</t>
  </si>
  <si>
    <t>15.3.3</t>
  </si>
  <si>
    <t>15.3.4</t>
  </si>
  <si>
    <t>15.3.5</t>
  </si>
  <si>
    <t>15.3.6</t>
  </si>
  <si>
    <t>15.4.1</t>
  </si>
  <si>
    <t>15.5.1</t>
  </si>
  <si>
    <t>15.6.1</t>
  </si>
  <si>
    <t>15.6.2</t>
  </si>
  <si>
    <t>15.6.3</t>
  </si>
  <si>
    <t>15.6.4</t>
  </si>
  <si>
    <t>15.6.5</t>
  </si>
  <si>
    <t>15.6.6</t>
  </si>
  <si>
    <t>15.6.7</t>
  </si>
  <si>
    <t>15.6.8</t>
  </si>
  <si>
    <t>15.6.9</t>
  </si>
  <si>
    <t>15.7.1</t>
  </si>
  <si>
    <t>15.8.1</t>
  </si>
  <si>
    <t>15.8.2</t>
  </si>
  <si>
    <t>15.8.3</t>
  </si>
  <si>
    <t>15.8.4</t>
  </si>
  <si>
    <t>15.8.5</t>
  </si>
  <si>
    <t>15.8.6</t>
  </si>
  <si>
    <t>15.8.7</t>
  </si>
  <si>
    <t>15.8.8</t>
  </si>
  <si>
    <t>15.8.9</t>
  </si>
  <si>
    <t>15.8.10</t>
  </si>
  <si>
    <t>15.8.11</t>
  </si>
  <si>
    <t>15.8.12</t>
  </si>
  <si>
    <t>15.8.13</t>
  </si>
  <si>
    <t>15.8.14</t>
  </si>
  <si>
    <t>15.8.15</t>
  </si>
  <si>
    <t>15.8.16</t>
  </si>
  <si>
    <t>15.8.17</t>
  </si>
  <si>
    <t>15.8.18</t>
  </si>
  <si>
    <t>15.8.19</t>
  </si>
  <si>
    <t>15.8.20</t>
  </si>
  <si>
    <t>15.8.21</t>
  </si>
  <si>
    <t>15.8.22</t>
  </si>
  <si>
    <t>15.8.23</t>
  </si>
  <si>
    <t>15.8.24</t>
  </si>
  <si>
    <t>15.8.25</t>
  </si>
  <si>
    <t>15.8.26</t>
  </si>
  <si>
    <t>15.8.27</t>
  </si>
  <si>
    <t>15.8.28</t>
  </si>
  <si>
    <t>15.8.29</t>
  </si>
  <si>
    <t>15.8.30</t>
  </si>
  <si>
    <t>15.8.31</t>
  </si>
  <si>
    <t>15.8.32</t>
  </si>
  <si>
    <t>15.8.33</t>
  </si>
  <si>
    <t>15.8.34</t>
  </si>
  <si>
    <t>15.8.35</t>
  </si>
  <si>
    <t>15.8.36</t>
  </si>
  <si>
    <t>15.8.37</t>
  </si>
  <si>
    <t>15.8.38</t>
  </si>
  <si>
    <t>15.8.39</t>
  </si>
  <si>
    <t>15.8.40</t>
  </si>
  <si>
    <t>15.8.41</t>
  </si>
  <si>
    <t>15.8.42</t>
  </si>
  <si>
    <t>15.8.43</t>
  </si>
  <si>
    <t>15.8.44</t>
  </si>
  <si>
    <t>15.8.45</t>
  </si>
  <si>
    <t>15.8.46</t>
  </si>
  <si>
    <t>15.8.47</t>
  </si>
  <si>
    <t>15.8.48</t>
  </si>
  <si>
    <t>15.8.49</t>
  </si>
  <si>
    <t>15.8.50</t>
  </si>
  <si>
    <t>15.8.51</t>
  </si>
  <si>
    <t>15.8.52</t>
  </si>
  <si>
    <t>15.8.53</t>
  </si>
  <si>
    <t>15.8.54</t>
  </si>
  <si>
    <t>15.8.55</t>
  </si>
  <si>
    <t>15.8.56</t>
  </si>
  <si>
    <t>15.8.57</t>
  </si>
  <si>
    <t>15.8.58</t>
  </si>
  <si>
    <t>15.8.59</t>
  </si>
  <si>
    <t>15.8.60</t>
  </si>
  <si>
    <t>15.8.61</t>
  </si>
  <si>
    <t>15.8.62</t>
  </si>
  <si>
    <t>15.8.63</t>
  </si>
  <si>
    <t>15.8.64</t>
  </si>
  <si>
    <t>15.8.65</t>
  </si>
  <si>
    <t>15.8.66</t>
  </si>
  <si>
    <t>15.8.67</t>
  </si>
  <si>
    <t>15.8.68</t>
  </si>
  <si>
    <t>15.8.69</t>
  </si>
  <si>
    <t>15.8.70</t>
  </si>
  <si>
    <t>15.8.71</t>
  </si>
  <si>
    <t>15.8.72</t>
  </si>
  <si>
    <t>15.8.73</t>
  </si>
  <si>
    <t>15.9.1</t>
  </si>
  <si>
    <t>15.9.2</t>
  </si>
  <si>
    <t>15.9.3</t>
  </si>
  <si>
    <t>15.9.4</t>
  </si>
  <si>
    <t>15.10.1</t>
  </si>
  <si>
    <t>15.10.2</t>
  </si>
  <si>
    <t>15.11.1</t>
  </si>
  <si>
    <t>15.11.2</t>
  </si>
  <si>
    <t>15.11.3</t>
  </si>
  <si>
    <t>15.11.4</t>
  </si>
  <si>
    <t>15.11.5</t>
  </si>
  <si>
    <t>15.11.6</t>
  </si>
  <si>
    <t>15.11.7</t>
  </si>
  <si>
    <t>15.11.8</t>
  </si>
  <si>
    <t>15.11.9</t>
  </si>
  <si>
    <t>15.11.10</t>
  </si>
  <si>
    <t>15.11.11</t>
  </si>
  <si>
    <t>15.11.12</t>
  </si>
  <si>
    <t>15.11.13</t>
  </si>
  <si>
    <t>15.11.14</t>
  </si>
  <si>
    <t>15.11.15</t>
  </si>
  <si>
    <t>15.11.16</t>
  </si>
  <si>
    <t>15.11.17</t>
  </si>
  <si>
    <t>15.11.18</t>
  </si>
  <si>
    <t>15.11.19</t>
  </si>
  <si>
    <t>15.11.20</t>
  </si>
  <si>
    <t>15.11.21</t>
  </si>
  <si>
    <t>15.11.22</t>
  </si>
  <si>
    <t>15.11.23</t>
  </si>
  <si>
    <t>15.11.24</t>
  </si>
  <si>
    <t>15.11.25</t>
  </si>
  <si>
    <t>15.11.26</t>
  </si>
  <si>
    <t>15.11.27</t>
  </si>
  <si>
    <t>15.11.28</t>
  </si>
  <si>
    <t>15.11.29</t>
  </si>
  <si>
    <t>15.12.1</t>
  </si>
  <si>
    <t>15.12.2</t>
  </si>
  <si>
    <t>15.12.3</t>
  </si>
  <si>
    <t>15.12.4</t>
  </si>
  <si>
    <t>15.13.1</t>
  </si>
  <si>
    <t>15.13.2</t>
  </si>
  <si>
    <t>15.13.3</t>
  </si>
  <si>
    <t>15.13.4</t>
  </si>
  <si>
    <t>15.13.5</t>
  </si>
  <si>
    <t>15.14.1</t>
  </si>
  <si>
    <t>15.14.2</t>
  </si>
  <si>
    <t>16</t>
  </si>
  <si>
    <t>16.1</t>
  </si>
  <si>
    <t>16.1.1</t>
  </si>
  <si>
    <t>16.1.2</t>
  </si>
  <si>
    <t>16.1.3</t>
  </si>
  <si>
    <t>16.1.4</t>
  </si>
  <si>
    <t>16.1.5</t>
  </si>
  <si>
    <t>16.1.6</t>
  </si>
  <si>
    <t>16.1.7</t>
  </si>
  <si>
    <t>16.1.8</t>
  </si>
  <si>
    <t>16.1.9</t>
  </si>
  <si>
    <t>16.1.10</t>
  </si>
  <si>
    <t>16.1.11</t>
  </si>
  <si>
    <t>16.1.12</t>
  </si>
  <si>
    <t>16.1.13</t>
  </si>
  <si>
    <t>16.1.14</t>
  </si>
  <si>
    <t>16.1.15</t>
  </si>
  <si>
    <t>16.1.16</t>
  </si>
  <si>
    <t>16.1.17</t>
  </si>
  <si>
    <t>16.1.18</t>
  </si>
  <si>
    <t>16.1.19</t>
  </si>
  <si>
    <t>16.1.20</t>
  </si>
  <si>
    <t>16.1.21</t>
  </si>
  <si>
    <t>16.2</t>
  </si>
  <si>
    <t>16.2.1</t>
  </si>
  <si>
    <t>16.2.2</t>
  </si>
  <si>
    <t>16.2.3</t>
  </si>
  <si>
    <t>16.2.4</t>
  </si>
  <si>
    <t>16.3</t>
  </si>
  <si>
    <t>16.3.1</t>
  </si>
  <si>
    <t>16.3.2</t>
  </si>
  <si>
    <t>16.3.3</t>
  </si>
  <si>
    <t>16.3.4</t>
  </si>
  <si>
    <t>16.3.5</t>
  </si>
  <si>
    <t>16.3.6</t>
  </si>
  <si>
    <t>16.3.7</t>
  </si>
  <si>
    <t>16.3.8</t>
  </si>
  <si>
    <t>16.3.9</t>
  </si>
  <si>
    <t>16.3.10</t>
  </si>
  <si>
    <t>16.3.11</t>
  </si>
  <si>
    <t>16.3.12</t>
  </si>
  <si>
    <t>16.4</t>
  </si>
  <si>
    <t>16.4.2</t>
  </si>
  <si>
    <t>16.4.3</t>
  </si>
  <si>
    <t>16.4.4</t>
  </si>
  <si>
    <t>16.4.5</t>
  </si>
  <si>
    <t>16.4.6</t>
  </si>
  <si>
    <t>16.4.7</t>
  </si>
  <si>
    <t>16.4.8</t>
  </si>
  <si>
    <t>16.4.9</t>
  </si>
  <si>
    <t>16.4.10</t>
  </si>
  <si>
    <t>16.4.11</t>
  </si>
  <si>
    <t>16.4.12</t>
  </si>
  <si>
    <t>16.4.13</t>
  </si>
  <si>
    <t>16.4.14</t>
  </si>
  <si>
    <t>16.4.15</t>
  </si>
  <si>
    <t>16.4.16</t>
  </si>
  <si>
    <t>16.4.17</t>
  </si>
  <si>
    <t>16.4.18</t>
  </si>
  <si>
    <t>16.4.19</t>
  </si>
  <si>
    <t>16.4.20</t>
  </si>
  <si>
    <t>16.4.21</t>
  </si>
  <si>
    <t>16.4.22</t>
  </si>
  <si>
    <t>16.4.23</t>
  </si>
  <si>
    <t>16.4.24</t>
  </si>
  <si>
    <t>16.4.25</t>
  </si>
  <si>
    <t>16.4.26</t>
  </si>
  <si>
    <t>16.4.27</t>
  </si>
  <si>
    <t>16.4.28</t>
  </si>
  <si>
    <t>16.4.29</t>
  </si>
  <si>
    <t>16.4.30</t>
  </si>
  <si>
    <t>16.4.31</t>
  </si>
  <si>
    <t>16.4.32</t>
  </si>
  <si>
    <t>16.4.33</t>
  </si>
  <si>
    <t>16.4.34</t>
  </si>
  <si>
    <t>16.4.35</t>
  </si>
  <si>
    <t>16.4.36</t>
  </si>
  <si>
    <t>16.4.37</t>
  </si>
  <si>
    <t>16.4.38</t>
  </si>
  <si>
    <t>16.4.39</t>
  </si>
  <si>
    <t>16.4.40</t>
  </si>
  <si>
    <t>16.4.41</t>
  </si>
  <si>
    <t>16.4.42</t>
  </si>
  <si>
    <t>16.4.43</t>
  </si>
  <si>
    <t>16.4.44</t>
  </si>
  <si>
    <t>16.4.45</t>
  </si>
  <si>
    <t>16.5</t>
  </si>
  <si>
    <t>16.5.1</t>
  </si>
  <si>
    <t>16.5.2</t>
  </si>
  <si>
    <t>16.6</t>
  </si>
  <si>
    <t>16.6.1</t>
  </si>
  <si>
    <t>16.6.1.1</t>
  </si>
  <si>
    <t>16.6.1.2</t>
  </si>
  <si>
    <t>16.6.1.3</t>
  </si>
  <si>
    <t>16.6.1.4</t>
  </si>
  <si>
    <t>16.6.1.5</t>
  </si>
  <si>
    <t>16.6.2</t>
  </si>
  <si>
    <t>16.6.2.1</t>
  </si>
  <si>
    <t>16.6.2.2</t>
  </si>
  <si>
    <t>16.6.2.3</t>
  </si>
  <si>
    <t>16.6.2.4</t>
  </si>
  <si>
    <t>16.6.2.5</t>
  </si>
  <si>
    <t>16.6.3</t>
  </si>
  <si>
    <t>16.6.3.1</t>
  </si>
  <si>
    <t>16.6.3.2</t>
  </si>
  <si>
    <t>16.7</t>
  </si>
  <si>
    <t>16.7.1</t>
  </si>
  <si>
    <t>16.7.2</t>
  </si>
  <si>
    <t>16.7.3</t>
  </si>
  <si>
    <t>16.7.4</t>
  </si>
  <si>
    <t>16.7.5</t>
  </si>
  <si>
    <t>16.7.6</t>
  </si>
  <si>
    <t>16.7.7</t>
  </si>
  <si>
    <t>16.7.8</t>
  </si>
  <si>
    <t>16.7.9</t>
  </si>
  <si>
    <t>16.7.10</t>
  </si>
  <si>
    <t>16.7.11</t>
  </si>
  <si>
    <t>16.7.12</t>
  </si>
  <si>
    <t>16.7.13</t>
  </si>
  <si>
    <t>16.7.14</t>
  </si>
  <si>
    <t>16.7.15</t>
  </si>
  <si>
    <t>16.7.16</t>
  </si>
  <si>
    <t>16.7.17</t>
  </si>
  <si>
    <t>16.7.18</t>
  </si>
  <si>
    <t>16.7.19</t>
  </si>
  <si>
    <t>16.8</t>
  </si>
  <si>
    <t>16.8.1</t>
  </si>
  <si>
    <t>16.8.2</t>
  </si>
  <si>
    <t>16.9</t>
  </si>
  <si>
    <t>16.9.1</t>
  </si>
  <si>
    <t>16.10</t>
  </si>
  <si>
    <t>16.10.1</t>
  </si>
  <si>
    <t>16.10.2</t>
  </si>
  <si>
    <t>16.11</t>
  </si>
  <si>
    <t>16.11.1</t>
  </si>
  <si>
    <t>16.11.2</t>
  </si>
  <si>
    <t>16.11.3</t>
  </si>
  <si>
    <t>16.11.4</t>
  </si>
  <si>
    <t>16.12</t>
  </si>
  <si>
    <t>16.12.1</t>
  </si>
  <si>
    <t>16.12.2</t>
  </si>
  <si>
    <t>16.12.3</t>
  </si>
  <si>
    <t>16.12.4</t>
  </si>
  <si>
    <t>16.12.5</t>
  </si>
  <si>
    <t>16.12.6</t>
  </si>
  <si>
    <t>16.12.7</t>
  </si>
  <si>
    <t>16.12.8</t>
  </si>
  <si>
    <t>16.12.9</t>
  </si>
  <si>
    <t>16.12.10</t>
  </si>
  <si>
    <t>16.12.11</t>
  </si>
  <si>
    <t>16.12.12</t>
  </si>
  <si>
    <t>16.12.13</t>
  </si>
  <si>
    <t>16.12.14</t>
  </si>
  <si>
    <t>16.12.15</t>
  </si>
  <si>
    <t>16.12.16</t>
  </si>
  <si>
    <t>16.12.17</t>
  </si>
  <si>
    <t>16.12.18</t>
  </si>
  <si>
    <t>16.12.19</t>
  </si>
  <si>
    <t>16.12.20</t>
  </si>
  <si>
    <t>16.12.21</t>
  </si>
  <si>
    <t>16.12.22</t>
  </si>
  <si>
    <t>16.12.23</t>
  </si>
  <si>
    <t>16.12.24</t>
  </si>
  <si>
    <t>16.12.25</t>
  </si>
  <si>
    <t>16.12.26</t>
  </si>
  <si>
    <t>16.12.27</t>
  </si>
  <si>
    <t>16.12.28</t>
  </si>
  <si>
    <t>16.13.4</t>
  </si>
  <si>
    <t>16.13.5</t>
  </si>
  <si>
    <t>16.13.6</t>
  </si>
  <si>
    <t>17.1</t>
  </si>
  <si>
    <t>17.1.1</t>
  </si>
  <si>
    <t>17.1.2</t>
  </si>
  <si>
    <t>17.1.3</t>
  </si>
  <si>
    <t>17.1.4</t>
  </si>
  <si>
    <t>17.1.5</t>
  </si>
  <si>
    <t>17.1.6</t>
  </si>
  <si>
    <t>17.1.7</t>
  </si>
  <si>
    <t>17.1.8</t>
  </si>
  <si>
    <t>17.2</t>
  </si>
  <si>
    <t>17.2.1</t>
  </si>
  <si>
    <t>17.2.2</t>
  </si>
  <si>
    <t>17.2.3</t>
  </si>
  <si>
    <t>17.2.4</t>
  </si>
  <si>
    <t>17.2.5</t>
  </si>
  <si>
    <t>17.2.6</t>
  </si>
  <si>
    <t>17.2.7</t>
  </si>
  <si>
    <t>17.2.8</t>
  </si>
  <si>
    <t>17.2.9</t>
  </si>
  <si>
    <t>17.2.10</t>
  </si>
  <si>
    <t>17.2.11</t>
  </si>
  <si>
    <t>17.2.12</t>
  </si>
  <si>
    <t>17.2.13</t>
  </si>
  <si>
    <t>17.3</t>
  </si>
  <si>
    <t>17.3.1</t>
  </si>
  <si>
    <t>17.3.2</t>
  </si>
  <si>
    <t>17.3.3</t>
  </si>
  <si>
    <t>17.3.4</t>
  </si>
  <si>
    <t>17.3.5</t>
  </si>
  <si>
    <t>17.3.6</t>
  </si>
  <si>
    <t>17.3.7</t>
  </si>
  <si>
    <t>17.3.8</t>
  </si>
  <si>
    <t>17.3.9</t>
  </si>
  <si>
    <t>17.3.10</t>
  </si>
  <si>
    <t>17.3.11</t>
  </si>
  <si>
    <t>17.3.12</t>
  </si>
  <si>
    <t>17.3.13</t>
  </si>
  <si>
    <t>17.3.14</t>
  </si>
  <si>
    <t>17.3.15</t>
  </si>
  <si>
    <t>17.3.16</t>
  </si>
  <si>
    <t>17.3.17</t>
  </si>
  <si>
    <t>17.3.18</t>
  </si>
  <si>
    <t>17.3.19</t>
  </si>
  <si>
    <t>17.3.20</t>
  </si>
  <si>
    <t>17.3.21</t>
  </si>
  <si>
    <t>17.3.22</t>
  </si>
  <si>
    <t>17.4</t>
  </si>
  <si>
    <t>17.4.1</t>
  </si>
  <si>
    <t>17.4.2</t>
  </si>
  <si>
    <t>17.4.3</t>
  </si>
  <si>
    <t>17.4.4</t>
  </si>
  <si>
    <t>17.5</t>
  </si>
  <si>
    <t>17.5.1</t>
  </si>
  <si>
    <t>17.5.2</t>
  </si>
  <si>
    <t>17.5.3</t>
  </si>
  <si>
    <t>17.5.4</t>
  </si>
  <si>
    <t>17.5.5</t>
  </si>
  <si>
    <t>17.6</t>
  </si>
  <si>
    <t>17.6.1</t>
  </si>
  <si>
    <t>17.6.2</t>
  </si>
  <si>
    <t>17.7</t>
  </si>
  <si>
    <t>17.7.1</t>
  </si>
  <si>
    <t>17.8</t>
  </si>
  <si>
    <t>17.8.1</t>
  </si>
  <si>
    <t>17.8.2</t>
  </si>
  <si>
    <t>17.9</t>
  </si>
  <si>
    <t>17.9.1</t>
  </si>
  <si>
    <t>17.10</t>
  </si>
  <si>
    <t>17.10.1</t>
  </si>
  <si>
    <t>17.10.2</t>
  </si>
  <si>
    <t>17.10.3</t>
  </si>
  <si>
    <t>17.10.4</t>
  </si>
  <si>
    <t>17.10.5</t>
  </si>
  <si>
    <t>17.10.6</t>
  </si>
  <si>
    <t>17.10.7</t>
  </si>
  <si>
    <t>17.10.8</t>
  </si>
  <si>
    <t>17.11</t>
  </si>
  <si>
    <t>17.11.1</t>
  </si>
  <si>
    <t>17.12</t>
  </si>
  <si>
    <t>17.12.1</t>
  </si>
  <si>
    <t>17.13</t>
  </si>
  <si>
    <t>17.13.1</t>
  </si>
  <si>
    <t>17.13.2</t>
  </si>
  <si>
    <t>17.13.3</t>
  </si>
  <si>
    <t>17.13.4</t>
  </si>
  <si>
    <t>17.13.5</t>
  </si>
  <si>
    <t>17.13.6</t>
  </si>
  <si>
    <t>17.13.7</t>
  </si>
  <si>
    <t>17.14</t>
  </si>
  <si>
    <t>17.14.1</t>
  </si>
  <si>
    <t>17.15</t>
  </si>
  <si>
    <t>17.16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</si>
  <si>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</si>
  <si>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</si>
  <si>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</si>
  <si>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</si>
  <si>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</si>
  <si>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</si>
  <si>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</si>
  <si>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</si>
  <si>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</si>
  <si>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</si>
  <si>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</si>
  <si>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</si>
  <si>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</si>
  <si>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</si>
  <si>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</si>
  <si>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</si>
  <si>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</si>
  <si>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</si>
  <si>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</si>
  <si>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</si>
  <si>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</si>
  <si>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</si>
  <si>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</si>
  <si>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</si>
  <si>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</si>
  <si>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</si>
  <si>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</si>
  <si>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</si>
  <si>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</si>
  <si>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</si>
  <si>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</si>
  <si>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</si>
  <si>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</si>
  <si>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</si>
  <si>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</si>
  <si>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</si>
  <si>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</si>
  <si>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</si>
  <si>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</si>
  <si>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</si>
  <si>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</si>
  <si>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</si>
  <si>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</si>
  <si>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</si>
  <si>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</si>
  <si>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</si>
  <si>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</si>
  <si>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</si>
  <si>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</si>
  <si>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</si>
  <si>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</si>
  <si>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</si>
  <si>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</si>
  <si>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</si>
  <si>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</si>
  <si>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</si>
  <si>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</si>
  <si>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</si>
  <si>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</si>
  <si>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</si>
  <si>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</si>
  <si>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</si>
  <si>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</si>
  <si>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</si>
  <si>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</si>
  <si>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</si>
  <si>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</si>
  <si>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</si>
  <si>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</si>
  <si>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</si>
  <si>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</si>
  <si>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</si>
  <si>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</si>
  <si>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</si>
  <si>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</si>
  <si>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</si>
  <si>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</si>
  <si>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</si>
  <si>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</si>
  <si>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</si>
  <si>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</si>
  <si>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</si>
  <si>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</si>
  <si>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</si>
  <si>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</si>
  <si>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</si>
  <si>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</si>
  <si>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</si>
  <si>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</si>
  <si>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</si>
  <si>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</si>
  <si>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</si>
  <si>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19.1.10</t>
  </si>
  <si>
    <t>19.1.11</t>
  </si>
  <si>
    <t>19.1.12</t>
  </si>
  <si>
    <t>19.1.13</t>
  </si>
  <si>
    <t>19.1.14</t>
  </si>
  <si>
    <t>19.1.15</t>
  </si>
  <si>
    <t>19.1.16</t>
  </si>
  <si>
    <t>19.1.17</t>
  </si>
  <si>
    <t>19.1.18</t>
  </si>
  <si>
    <t>19.1.19</t>
  </si>
  <si>
    <t>19.1.20</t>
  </si>
  <si>
    <t>19.1.21</t>
  </si>
  <si>
    <t>19.1.22</t>
  </si>
  <si>
    <t>19.1.23</t>
  </si>
  <si>
    <t>19.1.24</t>
  </si>
  <si>
    <t>19.1.25</t>
  </si>
  <si>
    <t>19.1.26</t>
  </si>
  <si>
    <t>19.1.27</t>
  </si>
  <si>
    <t>19.1.28</t>
  </si>
  <si>
    <t>19.1.29</t>
  </si>
  <si>
    <t>19.1.30</t>
  </si>
  <si>
    <t>19.1.31</t>
  </si>
  <si>
    <t>19.1.32</t>
  </si>
  <si>
    <t>19.1.33</t>
  </si>
  <si>
    <t>19.1.34</t>
  </si>
  <si>
    <t>19.1.35</t>
  </si>
  <si>
    <t>19.1.36</t>
  </si>
  <si>
    <t>19.1.37</t>
  </si>
  <si>
    <t>19.1.38</t>
  </si>
  <si>
    <t>19.1.39</t>
  </si>
  <si>
    <t>19.1.40</t>
  </si>
  <si>
    <t>19.1.41</t>
  </si>
  <si>
    <t>19.1.42</t>
  </si>
  <si>
    <t>19.1.43</t>
  </si>
  <si>
    <t>19.1.44</t>
  </si>
  <si>
    <t>19.1.45</t>
  </si>
  <si>
    <t>19.1.46</t>
  </si>
  <si>
    <t>19.1.47</t>
  </si>
  <si>
    <t>19.1.48</t>
  </si>
  <si>
    <t>19.1.49</t>
  </si>
  <si>
    <t>19.1.50</t>
  </si>
  <si>
    <t>19.1.51</t>
  </si>
  <si>
    <t>19.1.52</t>
  </si>
  <si>
    <t>19.1.53</t>
  </si>
  <si>
    <t>19.1.54</t>
  </si>
  <si>
    <t>19.1.55</t>
  </si>
  <si>
    <t>19.1.56</t>
  </si>
  <si>
    <t>19.1.57</t>
  </si>
  <si>
    <t>19.1.58</t>
  </si>
  <si>
    <t>19.1.59</t>
  </si>
  <si>
    <t>19.1.60</t>
  </si>
  <si>
    <t>19.1.61</t>
  </si>
  <si>
    <t>19.1.62</t>
  </si>
  <si>
    <t>19.1.63</t>
  </si>
  <si>
    <t>19.1.64</t>
  </si>
  <si>
    <t>19.1.65</t>
  </si>
  <si>
    <t>19.1.66</t>
  </si>
  <si>
    <t>19.1.67</t>
  </si>
  <si>
    <t>19.1.68</t>
  </si>
  <si>
    <t>19.1.69</t>
  </si>
  <si>
    <t>19.1.70</t>
  </si>
  <si>
    <t>19.1.71</t>
  </si>
  <si>
    <t>19.2.10</t>
  </si>
  <si>
    <t>19.2.11</t>
  </si>
  <si>
    <t>19.2.12</t>
  </si>
  <si>
    <t>19.2.13</t>
  </si>
  <si>
    <t>19.2.14</t>
  </si>
  <si>
    <t>19.3.8</t>
  </si>
  <si>
    <t>19.3.9</t>
  </si>
  <si>
    <t>19.3.10</t>
  </si>
  <si>
    <t>19.3.11</t>
  </si>
  <si>
    <t>19.3.12</t>
  </si>
  <si>
    <t>19.3.13</t>
  </si>
  <si>
    <t>19.3.14</t>
  </si>
  <si>
    <t>19.3.15</t>
  </si>
  <si>
    <t>19.3.16</t>
  </si>
  <si>
    <t>19.3.17</t>
  </si>
  <si>
    <t>19.3.18</t>
  </si>
  <si>
    <t>19.3.19</t>
  </si>
  <si>
    <t>19.3.20</t>
  </si>
  <si>
    <t>19.3.21</t>
  </si>
  <si>
    <t>19.3.22</t>
  </si>
  <si>
    <t>19.4.6</t>
  </si>
  <si>
    <t>19.4.7</t>
  </si>
  <si>
    <t>19.4.8</t>
  </si>
  <si>
    <t>19.4.9</t>
  </si>
  <si>
    <t>19.4.10</t>
  </si>
  <si>
    <t>19.4.11</t>
  </si>
  <si>
    <t>19.4.12</t>
  </si>
  <si>
    <t>19.4.13</t>
  </si>
  <si>
    <t>19.4.14</t>
  </si>
  <si>
    <t>19.4.15</t>
  </si>
  <si>
    <t>19.14.16</t>
  </si>
  <si>
    <t>19.14.17</t>
  </si>
  <si>
    <t>19.14.18</t>
  </si>
  <si>
    <t>19.14.19</t>
  </si>
  <si>
    <t>19.14.20</t>
  </si>
  <si>
    <t>19.14.21</t>
  </si>
  <si>
    <t>19.14.22</t>
  </si>
  <si>
    <t>19.14.23</t>
  </si>
  <si>
    <t>19.14.24</t>
  </si>
  <si>
    <t>19.14.25</t>
  </si>
  <si>
    <t>19.14.26</t>
  </si>
  <si>
    <t>19.14.27</t>
  </si>
  <si>
    <t>19.14.28</t>
  </si>
  <si>
    <t>19.14.29</t>
  </si>
  <si>
    <t>19.14.30</t>
  </si>
  <si>
    <t>19.14.31</t>
  </si>
  <si>
    <t>19.14.32</t>
  </si>
  <si>
    <t>19.14.33</t>
  </si>
  <si>
    <t>19.14.34</t>
  </si>
  <si>
    <t>19.14.35</t>
  </si>
  <si>
    <t>19.14.36</t>
  </si>
  <si>
    <t>19.14.37</t>
  </si>
  <si>
    <t>19.14.38</t>
  </si>
  <si>
    <t>19.14.39</t>
  </si>
  <si>
    <t>19.14.40</t>
  </si>
  <si>
    <t>19.14.41</t>
  </si>
  <si>
    <t>19.14.42</t>
  </si>
  <si>
    <t>19.14.43</t>
  </si>
  <si>
    <t>20</t>
  </si>
  <si>
    <t>20.1</t>
  </si>
  <si>
    <t>20.1.1</t>
  </si>
  <si>
    <t>20.2</t>
  </si>
  <si>
    <t>20.3</t>
  </si>
  <si>
    <t>21</t>
  </si>
  <si>
    <t>нет данных</t>
  </si>
  <si>
    <t>ООО "Гринлайн"</t>
  </si>
  <si>
    <t>кл в стоимость стяжки</t>
  </si>
  <si>
    <t>20.1.2</t>
  </si>
  <si>
    <t xml:space="preserve">Подъемник мачтовый </t>
  </si>
  <si>
    <t xml:space="preserve">Подъемник фасадный </t>
  </si>
  <si>
    <t>Содержание</t>
  </si>
  <si>
    <t>Покупка мачтового подъемника ПМГ-1-2000</t>
  </si>
  <si>
    <t>Покупка фасадного подъемника ZLP-630</t>
  </si>
  <si>
    <t>Кран КСП-500</t>
  </si>
  <si>
    <t xml:space="preserve">Композитная арматура  Ø10 </t>
  </si>
  <si>
    <t>Вилатерм Ø30</t>
  </si>
  <si>
    <t>Вилатерм Ø50</t>
  </si>
  <si>
    <t>Петля Ø10</t>
  </si>
  <si>
    <r>
      <t xml:space="preserve">РП-1, </t>
    </r>
    <r>
      <rPr>
        <sz val="11"/>
        <color rgb="FFFF0000"/>
        <rFont val="Times New Roman"/>
        <family val="1"/>
        <charset val="204"/>
      </rPr>
      <t>РП-2</t>
    </r>
  </si>
  <si>
    <t xml:space="preserve"> Общестроительные работы ниже отм. 0.000</t>
  </si>
  <si>
    <t>Раздел 1. Земляные работы</t>
  </si>
  <si>
    <t>Раздел 2. Устройство свайного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</si>
</sst>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0\ _₽"/>
    <numFmt numFmtId="165" formatCode="0.000"/>
    <numFmt numFmtId="166" formatCode="#,##0.00_р_."/>
    <numFmt numFmtId="167" formatCode="0.0"/>
    <numFmt numFmtId="168" formatCode="0.0000"/>
    <numFmt numFmtId="169" formatCode="#,##0.00\ &quot;₽&quot;"/>
    <numFmt numFmtId="170" formatCode="#,##0.00_ ;\-#,##0.00\ "/>
    <numFmt numFmtId="171" formatCode="_-* #,##0.0000\ _₽_-;\-* #,##0.0000\ _₽_-;_-* &quot;-&quot;??\ _₽_-;_-@_-"/>
    <numFmt numFmtId="172" formatCode="#,##0.0"/>
    <numFmt numFmtId="173" formatCode="#,##0.000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u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rgb="FF333333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9.5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B050"/>
      <name val="Arial"/>
      <family val="2"/>
      <charset val="204"/>
    </font>
    <font>
      <sz val="8"/>
      <name val="Arial"/>
      <family val="2"/>
      <charset val="204"/>
    </font>
    <font>
      <sz val="8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indexed="8"/>
      <name val="Arial Cyr"/>
      <family val="2"/>
      <charset val="204"/>
    </font>
    <font>
      <sz val="10"/>
      <name val="Calibri"/>
      <family val="2"/>
      <scheme val="minor"/>
    </font>
    <font>
      <sz val="11"/>
      <color theme="4"/>
      <name val="Times New Roman"/>
      <family val="1"/>
      <charset val="204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2"/>
      <color indexed="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.5"/>
      <name val="Times New Roman"/>
      <family val="1"/>
      <charset val="204"/>
    </font>
    <font>
      <sz val="9.5"/>
      <color theme="1"/>
      <name val="Times New Roman"/>
      <family val="1"/>
      <charset val="204"/>
    </font>
    <font>
      <sz val="9.5"/>
      <color rgb="FF00000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8" tint="-0.249977111117893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1"/>
      <color theme="8" tint="-0.249977111117893"/>
      <name val="Times New Roman"/>
      <family val="1"/>
      <charset val="204"/>
    </font>
    <font>
      <b/>
      <i/>
      <sz val="11"/>
      <color rgb="FF333333"/>
      <name val="Times New Roman"/>
      <family val="1"/>
      <charset val="204"/>
    </font>
    <font>
      <b/>
      <sz val="11"/>
      <color theme="4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4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vertical="top"/>
    </xf>
    <xf numFmtId="0" fontId="7" fillId="0" borderId="0"/>
    <xf numFmtId="0" fontId="37" fillId="0" borderId="0">
      <alignment horizontal="left"/>
    </xf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5" fillId="0" borderId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0"/>
    <xf numFmtId="0" fontId="7" fillId="0" borderId="0"/>
    <xf numFmtId="0" fontId="54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50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61" fillId="21" borderId="0" applyNumberFormat="0" applyBorder="0" applyAlignment="0" applyProtection="0"/>
    <xf numFmtId="0" fontId="61" fillId="25" borderId="0" applyNumberFormat="0" applyBorder="0" applyAlignment="0" applyProtection="0"/>
    <xf numFmtId="0" fontId="61" fillId="29" borderId="0" applyNumberFormat="0" applyBorder="0" applyAlignment="0" applyProtection="0"/>
    <xf numFmtId="0" fontId="61" fillId="33" borderId="0" applyNumberFormat="0" applyBorder="0" applyAlignment="0" applyProtection="0"/>
    <xf numFmtId="0" fontId="61" fillId="37" borderId="0" applyNumberFormat="0" applyBorder="0" applyAlignment="0" applyProtection="0"/>
    <xf numFmtId="0" fontId="61" fillId="41" borderId="0" applyNumberFormat="0" applyBorder="0" applyAlignment="0" applyProtection="0"/>
    <xf numFmtId="0" fontId="61" fillId="18" borderId="0" applyNumberFormat="0" applyBorder="0" applyAlignment="0" applyProtection="0"/>
    <xf numFmtId="0" fontId="61" fillId="22" borderId="0" applyNumberFormat="0" applyBorder="0" applyAlignment="0" applyProtection="0"/>
    <xf numFmtId="0" fontId="61" fillId="26" borderId="0" applyNumberFormat="0" applyBorder="0" applyAlignment="0" applyProtection="0"/>
    <xf numFmtId="0" fontId="61" fillId="30" borderId="0" applyNumberFormat="0" applyBorder="0" applyAlignment="0" applyProtection="0"/>
    <xf numFmtId="0" fontId="61" fillId="34" borderId="0" applyNumberFormat="0" applyBorder="0" applyAlignment="0" applyProtection="0"/>
    <xf numFmtId="0" fontId="61" fillId="38" borderId="0" applyNumberFormat="0" applyBorder="0" applyAlignment="0" applyProtection="0"/>
    <xf numFmtId="0" fontId="62" fillId="14" borderId="20" applyNumberFormat="0" applyAlignment="0" applyProtection="0"/>
    <xf numFmtId="0" fontId="63" fillId="15" borderId="21" applyNumberFormat="0" applyAlignment="0" applyProtection="0"/>
    <xf numFmtId="0" fontId="64" fillId="15" borderId="20" applyNumberForma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0" borderId="17" applyNumberFormat="0" applyFill="0" applyAlignment="0" applyProtection="0"/>
    <xf numFmtId="0" fontId="66" fillId="0" borderId="18" applyNumberFormat="0" applyFill="0" applyAlignment="0" applyProtection="0"/>
    <xf numFmtId="0" fontId="67" fillId="0" borderId="19" applyNumberFormat="0" applyFill="0" applyAlignment="0" applyProtection="0"/>
    <xf numFmtId="0" fontId="67" fillId="0" borderId="0" applyNumberFormat="0" applyFill="0" applyBorder="0" applyAlignment="0" applyProtection="0"/>
    <xf numFmtId="0" fontId="9" fillId="0" borderId="25" applyNumberFormat="0" applyFill="0" applyAlignment="0" applyProtection="0"/>
    <xf numFmtId="0" fontId="68" fillId="16" borderId="23" applyNumberFormat="0" applyAlignment="0" applyProtection="0"/>
    <xf numFmtId="0" fontId="69" fillId="13" borderId="0" applyNumberFormat="0" applyBorder="0" applyAlignment="0" applyProtection="0"/>
    <xf numFmtId="0" fontId="2" fillId="0" borderId="0"/>
    <xf numFmtId="0" fontId="50" fillId="0" borderId="0"/>
    <xf numFmtId="0" fontId="60" fillId="0" borderId="0">
      <alignment horizontal="left" vertical="top" wrapText="1"/>
    </xf>
    <xf numFmtId="0" fontId="70" fillId="12" borderId="0" applyNumberFormat="0" applyBorder="0" applyAlignment="0" applyProtection="0"/>
    <xf numFmtId="0" fontId="71" fillId="0" borderId="0" applyNumberFormat="0" applyFill="0" applyBorder="0" applyAlignment="0" applyProtection="0"/>
    <xf numFmtId="0" fontId="2" fillId="17" borderId="24" applyNumberFormat="0" applyFont="0" applyAlignment="0" applyProtection="0"/>
    <xf numFmtId="0" fontId="72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73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60" fillId="0" borderId="0">
      <alignment horizontal="left" vertical="top" wrapText="1"/>
    </xf>
    <xf numFmtId="0" fontId="2" fillId="0" borderId="0"/>
    <xf numFmtId="0" fontId="2" fillId="0" borderId="0"/>
  </cellStyleXfs>
  <cellXfs count="1516">
    <xf numFmtId="0" fontId="0" fillId="0" borderId="0" xfId="0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4" fontId="6" fillId="0" borderId="1" xfId="1" applyNumberFormat="1" applyFont="1" applyBorder="1"/>
    <xf numFmtId="0" fontId="5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0" fontId="5" fillId="0" borderId="0" xfId="0" applyFont="1"/>
    <xf numFmtId="164" fontId="6" fillId="0" borderId="0" xfId="1" applyNumberFormat="1" applyFont="1" applyFill="1" applyBorder="1"/>
    <xf numFmtId="0" fontId="7" fillId="0" borderId="0" xfId="2"/>
    <xf numFmtId="4" fontId="4" fillId="3" borderId="1" xfId="2" applyNumberFormat="1" applyFont="1" applyFill="1" applyBorder="1" applyAlignment="1">
      <alignment horizontal="center" vertical="center" wrapText="1"/>
    </xf>
    <xf numFmtId="49" fontId="8" fillId="4" borderId="1" xfId="2" applyNumberFormat="1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2" fontId="8" fillId="4" borderId="1" xfId="2" applyNumberFormat="1" applyFont="1" applyFill="1" applyBorder="1" applyAlignment="1">
      <alignment horizontal="center" vertical="center" wrapText="1"/>
    </xf>
    <xf numFmtId="165" fontId="8" fillId="4" borderId="2" xfId="2" applyNumberFormat="1" applyFont="1" applyFill="1" applyBorder="1" applyAlignment="1">
      <alignment horizontal="center" vertical="center" wrapText="1"/>
    </xf>
    <xf numFmtId="0" fontId="7" fillId="4" borderId="1" xfId="2" applyFill="1" applyBorder="1" applyAlignment="1">
      <alignment horizontal="center" vertical="center"/>
    </xf>
    <xf numFmtId="0" fontId="7" fillId="4" borderId="1" xfId="2" applyFill="1" applyBorder="1"/>
    <xf numFmtId="49" fontId="8" fillId="5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vertical="center" wrapText="1"/>
    </xf>
    <xf numFmtId="0" fontId="8" fillId="5" borderId="1" xfId="2" applyFont="1" applyFill="1" applyBorder="1" applyAlignment="1">
      <alignment horizontal="center" vertical="center" wrapText="1"/>
    </xf>
    <xf numFmtId="165" fontId="8" fillId="5" borderId="2" xfId="2" applyNumberFormat="1" applyFont="1" applyFill="1" applyBorder="1" applyAlignment="1">
      <alignment horizontal="center" vertical="center" wrapText="1"/>
    </xf>
    <xf numFmtId="43" fontId="9" fillId="5" borderId="1" xfId="3" applyNumberFormat="1" applyFont="1" applyFill="1" applyBorder="1" applyAlignment="1">
      <alignment horizontal="center" vertical="center"/>
    </xf>
    <xf numFmtId="0" fontId="9" fillId="0" borderId="0" xfId="2" applyFont="1"/>
    <xf numFmtId="49" fontId="10" fillId="2" borderId="1" xfId="2" applyNumberFormat="1" applyFont="1" applyFill="1" applyBorder="1" applyAlignment="1">
      <alignment horizontal="center" vertical="center" wrapText="1"/>
    </xf>
    <xf numFmtId="166" fontId="10" fillId="2" borderId="1" xfId="2" applyNumberFormat="1" applyFont="1" applyFill="1" applyBorder="1" applyAlignment="1">
      <alignment vertical="center" wrapText="1"/>
    </xf>
    <xf numFmtId="166" fontId="10" fillId="2" borderId="1" xfId="2" applyNumberFormat="1" applyFont="1" applyFill="1" applyBorder="1" applyAlignment="1">
      <alignment horizontal="center" vertical="center" wrapText="1"/>
    </xf>
    <xf numFmtId="0" fontId="7" fillId="0" borderId="1" xfId="2" applyBorder="1" applyAlignment="1">
      <alignment horizontal="center"/>
    </xf>
    <xf numFmtId="43" fontId="7" fillId="0" borderId="0" xfId="3" applyNumberFormat="1" applyFont="1" applyAlignment="1">
      <alignment horizontal="center" vertical="center"/>
    </xf>
    <xf numFmtId="43" fontId="7" fillId="0" borderId="1" xfId="3" applyNumberFormat="1" applyFont="1" applyBorder="1" applyAlignment="1">
      <alignment horizontal="center" vertical="center"/>
    </xf>
    <xf numFmtId="0" fontId="10" fillId="2" borderId="1" xfId="2" applyFont="1" applyFill="1" applyBorder="1" applyAlignment="1">
      <alignment vertical="center" wrapText="1"/>
    </xf>
    <xf numFmtId="2" fontId="10" fillId="2" borderId="1" xfId="2" applyNumberFormat="1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left" vertical="center" wrapText="1"/>
    </xf>
    <xf numFmtId="2" fontId="10" fillId="2" borderId="3" xfId="2" applyNumberFormat="1" applyFont="1" applyFill="1" applyBorder="1" applyAlignment="1">
      <alignment horizontal="center" vertical="center" wrapText="1"/>
    </xf>
    <xf numFmtId="2" fontId="10" fillId="2" borderId="4" xfId="2" applyNumberFormat="1" applyFont="1" applyFill="1" applyBorder="1" applyAlignment="1">
      <alignment horizontal="center" vertical="center" wrapText="1"/>
    </xf>
    <xf numFmtId="2" fontId="10" fillId="2" borderId="2" xfId="2" applyNumberFormat="1" applyFont="1" applyFill="1" applyBorder="1" applyAlignment="1">
      <alignment horizontal="center" vertical="center" wrapText="1"/>
    </xf>
    <xf numFmtId="49" fontId="12" fillId="0" borderId="0" xfId="2" applyNumberFormat="1" applyFont="1"/>
    <xf numFmtId="0" fontId="7" fillId="0" borderId="0" xfId="2" applyAlignment="1">
      <alignment horizontal="center"/>
    </xf>
    <xf numFmtId="0" fontId="7" fillId="0" borderId="0" xfId="2" applyAlignment="1">
      <alignment horizontal="center" vertical="center"/>
    </xf>
    <xf numFmtId="2" fontId="8" fillId="5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3" fontId="7" fillId="5" borderId="1" xfId="3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 wrapText="1"/>
    </xf>
    <xf numFmtId="2" fontId="8" fillId="2" borderId="1" xfId="2" applyNumberFormat="1" applyFont="1" applyFill="1" applyBorder="1" applyAlignment="1">
      <alignment horizontal="center" vertical="center" wrapText="1"/>
    </xf>
    <xf numFmtId="2" fontId="8" fillId="2" borderId="2" xfId="2" applyNumberFormat="1" applyFont="1" applyFill="1" applyBorder="1" applyAlignment="1">
      <alignment horizontal="center" vertical="center" wrapText="1"/>
    </xf>
    <xf numFmtId="43" fontId="9" fillId="0" borderId="1" xfId="3" applyNumberFormat="1" applyFont="1" applyBorder="1" applyAlignment="1">
      <alignment horizontal="center" vertical="center"/>
    </xf>
    <xf numFmtId="0" fontId="10" fillId="2" borderId="1" xfId="2" applyFont="1" applyFill="1" applyBorder="1" applyAlignment="1">
      <alignment horizontal="left" vertical="center" wrapText="1"/>
    </xf>
    <xf numFmtId="0" fontId="14" fillId="2" borderId="1" xfId="2" applyFont="1" applyFill="1" applyBorder="1" applyAlignment="1">
      <alignment vertical="center" wrapText="1"/>
    </xf>
    <xf numFmtId="0" fontId="15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left" vertical="center" wrapText="1"/>
    </xf>
    <xf numFmtId="4" fontId="10" fillId="2" borderId="1" xfId="2" applyNumberFormat="1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vertical="center" wrapText="1"/>
    </xf>
    <xf numFmtId="2" fontId="13" fillId="2" borderId="2" xfId="2" applyNumberFormat="1" applyFont="1" applyFill="1" applyBorder="1" applyAlignment="1">
      <alignment horizontal="center" vertical="center"/>
    </xf>
    <xf numFmtId="43" fontId="10" fillId="2" borderId="1" xfId="3" applyNumberFormat="1" applyFont="1" applyFill="1" applyBorder="1" applyAlignment="1">
      <alignment horizontal="center" vertical="center" wrapText="1"/>
    </xf>
    <xf numFmtId="2" fontId="13" fillId="2" borderId="2" xfId="2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 vertical="center" wrapText="1"/>
    </xf>
    <xf numFmtId="49" fontId="8" fillId="2" borderId="3" xfId="2" applyNumberFormat="1" applyFont="1" applyFill="1" applyBorder="1" applyAlignment="1">
      <alignment horizontal="center" vertical="center" wrapText="1"/>
    </xf>
    <xf numFmtId="49" fontId="17" fillId="2" borderId="3" xfId="2" applyNumberFormat="1" applyFont="1" applyFill="1" applyBorder="1" applyAlignment="1">
      <alignment horizontal="center" vertical="center" wrapText="1"/>
    </xf>
    <xf numFmtId="2" fontId="8" fillId="2" borderId="4" xfId="2" applyNumberFormat="1" applyFont="1" applyFill="1" applyBorder="1" applyAlignment="1">
      <alignment horizontal="center" vertical="center" wrapText="1"/>
    </xf>
    <xf numFmtId="49" fontId="16" fillId="2" borderId="1" xfId="2" applyNumberFormat="1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vertical="center" wrapText="1"/>
    </xf>
    <xf numFmtId="165" fontId="10" fillId="2" borderId="4" xfId="2" applyNumberFormat="1" applyFont="1" applyFill="1" applyBorder="1" applyAlignment="1">
      <alignment horizontal="center" vertical="center" wrapText="1"/>
    </xf>
    <xf numFmtId="49" fontId="17" fillId="2" borderId="1" xfId="2" applyNumberFormat="1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left" vertical="center" wrapText="1"/>
    </xf>
    <xf numFmtId="2" fontId="8" fillId="2" borderId="3" xfId="2" applyNumberFormat="1" applyFont="1" applyFill="1" applyBorder="1" applyAlignment="1">
      <alignment horizontal="center" vertical="center" wrapText="1"/>
    </xf>
    <xf numFmtId="0" fontId="18" fillId="2" borderId="3" xfId="2" applyFont="1" applyFill="1" applyBorder="1" applyAlignment="1">
      <alignment horizontal="left" vertical="center" wrapText="1"/>
    </xf>
    <xf numFmtId="0" fontId="18" fillId="2" borderId="1" xfId="2" applyFont="1" applyFill="1" applyBorder="1" applyAlignment="1">
      <alignment horizontal="left" vertical="center" wrapText="1"/>
    </xf>
    <xf numFmtId="165" fontId="10" fillId="2" borderId="2" xfId="2" applyNumberFormat="1" applyFont="1" applyFill="1" applyBorder="1" applyAlignment="1">
      <alignment horizontal="center" vertical="center" wrapText="1"/>
    </xf>
    <xf numFmtId="165" fontId="8" fillId="2" borderId="2" xfId="2" applyNumberFormat="1" applyFont="1" applyFill="1" applyBorder="1" applyAlignment="1">
      <alignment horizontal="center" vertical="center" wrapText="1"/>
    </xf>
    <xf numFmtId="43" fontId="19" fillId="0" borderId="1" xfId="3" applyNumberFormat="1" applyFont="1" applyBorder="1" applyAlignment="1">
      <alignment horizontal="center" vertical="center"/>
    </xf>
    <xf numFmtId="43" fontId="7" fillId="0" borderId="1" xfId="3" applyNumberFormat="1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left" vertical="center" wrapText="1"/>
    </xf>
    <xf numFmtId="2" fontId="11" fillId="4" borderId="1" xfId="2" applyNumberFormat="1" applyFont="1" applyFill="1" applyBorder="1" applyAlignment="1">
      <alignment horizontal="center" vertical="center" wrapText="1"/>
    </xf>
    <xf numFmtId="43" fontId="12" fillId="5" borderId="1" xfId="3" applyNumberFormat="1" applyFont="1" applyFill="1" applyBorder="1" applyAlignment="1">
      <alignment horizontal="center" vertical="center"/>
    </xf>
    <xf numFmtId="43" fontId="12" fillId="0" borderId="1" xfId="3" applyNumberFormat="1" applyFont="1" applyBorder="1" applyAlignment="1">
      <alignment horizontal="center" vertical="center"/>
    </xf>
    <xf numFmtId="4" fontId="10" fillId="2" borderId="2" xfId="2" applyNumberFormat="1" applyFont="1" applyFill="1" applyBorder="1" applyAlignment="1">
      <alignment horizontal="left" vertical="center" wrapText="1"/>
    </xf>
    <xf numFmtId="4" fontId="10" fillId="0" borderId="1" xfId="2" applyNumberFormat="1" applyFont="1" applyBorder="1" applyAlignment="1">
      <alignment horizontal="center" vertical="center" wrapText="1"/>
    </xf>
    <xf numFmtId="0" fontId="18" fillId="2" borderId="1" xfId="2" applyFont="1" applyFill="1" applyBorder="1" applyAlignment="1">
      <alignment vertical="center" wrapText="1"/>
    </xf>
    <xf numFmtId="2" fontId="10" fillId="2" borderId="2" xfId="2" applyNumberFormat="1" applyFont="1" applyFill="1" applyBorder="1" applyAlignment="1">
      <alignment horizontal="center" vertical="center"/>
    </xf>
    <xf numFmtId="0" fontId="10" fillId="0" borderId="1" xfId="2" applyFont="1" applyBorder="1" applyAlignment="1">
      <alignment horizontal="left" vertical="center" wrapText="1"/>
    </xf>
    <xf numFmtId="2" fontId="10" fillId="0" borderId="1" xfId="2" applyNumberFormat="1" applyFont="1" applyBorder="1" applyAlignment="1">
      <alignment horizontal="center" vertical="center" wrapText="1"/>
    </xf>
    <xf numFmtId="2" fontId="10" fillId="0" borderId="2" xfId="2" applyNumberFormat="1" applyFont="1" applyBorder="1" applyAlignment="1">
      <alignment horizontal="center" vertical="center" wrapText="1"/>
    </xf>
    <xf numFmtId="0" fontId="8" fillId="2" borderId="2" xfId="2" applyFont="1" applyFill="1" applyBorder="1" applyAlignment="1">
      <alignment horizontal="left" vertical="center" wrapText="1"/>
    </xf>
    <xf numFmtId="4" fontId="16" fillId="2" borderId="2" xfId="2" applyNumberFormat="1" applyFont="1" applyFill="1" applyBorder="1" applyAlignment="1">
      <alignment horizontal="left" vertical="center" wrapText="1"/>
    </xf>
    <xf numFmtId="4" fontId="16" fillId="2" borderId="1" xfId="2" applyNumberFormat="1" applyFont="1" applyFill="1" applyBorder="1" applyAlignment="1">
      <alignment horizontal="center" vertical="center" wrapText="1"/>
    </xf>
    <xf numFmtId="4" fontId="16" fillId="2" borderId="1" xfId="2" applyNumberFormat="1" applyFont="1" applyFill="1" applyBorder="1" applyAlignment="1">
      <alignment horizontal="left" vertical="center" wrapText="1"/>
    </xf>
    <xf numFmtId="165" fontId="8" fillId="5" borderId="1" xfId="2" applyNumberFormat="1" applyFont="1" applyFill="1" applyBorder="1" applyAlignment="1">
      <alignment horizontal="center" vertical="center" wrapText="1"/>
    </xf>
    <xf numFmtId="43" fontId="20" fillId="5" borderId="1" xfId="3" applyNumberFormat="1" applyFont="1" applyFill="1" applyBorder="1" applyAlignment="1">
      <alignment horizontal="center" vertical="center"/>
    </xf>
    <xf numFmtId="43" fontId="5" fillId="5" borderId="1" xfId="3" applyNumberFormat="1" applyFont="1" applyFill="1" applyBorder="1" applyAlignment="1">
      <alignment horizontal="center" vertical="center"/>
    </xf>
    <xf numFmtId="43" fontId="7" fillId="5" borderId="1" xfId="3" applyNumberFormat="1" applyFont="1" applyFill="1" applyBorder="1"/>
    <xf numFmtId="1" fontId="8" fillId="2" borderId="1" xfId="2" applyNumberFormat="1" applyFont="1" applyFill="1" applyBorder="1" applyAlignment="1">
      <alignment horizontal="center" vertical="center" wrapText="1"/>
    </xf>
    <xf numFmtId="43" fontId="20" fillId="0" borderId="1" xfId="3" applyNumberFormat="1" applyFont="1" applyBorder="1" applyAlignment="1">
      <alignment horizontal="center" vertical="center"/>
    </xf>
    <xf numFmtId="43" fontId="4" fillId="0" borderId="1" xfId="3" applyNumberFormat="1" applyFont="1" applyBorder="1" applyAlignment="1">
      <alignment horizontal="center" vertical="center"/>
    </xf>
    <xf numFmtId="43" fontId="9" fillId="0" borderId="1" xfId="3" applyNumberFormat="1" applyFont="1" applyBorder="1"/>
    <xf numFmtId="1" fontId="10" fillId="2" borderId="1" xfId="2" applyNumberFormat="1" applyFont="1" applyFill="1" applyBorder="1" applyAlignment="1">
      <alignment horizontal="center" vertical="center" wrapText="1"/>
    </xf>
    <xf numFmtId="43" fontId="6" fillId="0" borderId="1" xfId="3" applyNumberFormat="1" applyFont="1" applyBorder="1" applyAlignment="1">
      <alignment horizontal="center" vertical="center"/>
    </xf>
    <xf numFmtId="43" fontId="5" fillId="0" borderId="1" xfId="3" applyNumberFormat="1" applyFont="1" applyBorder="1" applyAlignment="1">
      <alignment horizontal="center" vertical="center"/>
    </xf>
    <xf numFmtId="43" fontId="7" fillId="0" borderId="1" xfId="3" applyNumberFormat="1" applyFont="1" applyBorder="1"/>
    <xf numFmtId="165" fontId="10" fillId="2" borderId="1" xfId="2" applyNumberFormat="1" applyFont="1" applyFill="1" applyBorder="1" applyAlignment="1">
      <alignment horizontal="center" vertical="center" wrapText="1"/>
    </xf>
    <xf numFmtId="0" fontId="21" fillId="5" borderId="1" xfId="2" applyFont="1" applyFill="1" applyBorder="1" applyAlignment="1">
      <alignment horizontal="center" vertical="center" wrapText="1"/>
    </xf>
    <xf numFmtId="165" fontId="21" fillId="5" borderId="2" xfId="2" applyNumberFormat="1" applyFont="1" applyFill="1" applyBorder="1" applyAlignment="1">
      <alignment horizontal="center" vertical="center" wrapText="1"/>
    </xf>
    <xf numFmtId="164" fontId="6" fillId="7" borderId="1" xfId="1" applyNumberFormat="1" applyFont="1" applyFill="1" applyBorder="1"/>
    <xf numFmtId="4" fontId="22" fillId="3" borderId="1" xfId="2" applyNumberFormat="1" applyFont="1" applyFill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/>
    </xf>
    <xf numFmtId="165" fontId="8" fillId="2" borderId="1" xfId="2" applyNumberFormat="1" applyFont="1" applyFill="1" applyBorder="1" applyAlignment="1">
      <alignment horizontal="center" vertical="center" wrapText="1"/>
    </xf>
    <xf numFmtId="43" fontId="22" fillId="0" borderId="1" xfId="3" applyNumberFormat="1" applyFont="1" applyBorder="1" applyAlignment="1">
      <alignment horizontal="center" vertical="center"/>
    </xf>
    <xf numFmtId="43" fontId="13" fillId="0" borderId="1" xfId="3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left" vertical="center" wrapText="1"/>
    </xf>
    <xf numFmtId="0" fontId="23" fillId="0" borderId="1" xfId="2" applyFont="1" applyBorder="1"/>
    <xf numFmtId="49" fontId="10" fillId="0" borderId="1" xfId="2" applyNumberFormat="1" applyFont="1" applyBorder="1" applyAlignment="1">
      <alignment horizontal="center" vertical="center" wrapText="1"/>
    </xf>
    <xf numFmtId="165" fontId="21" fillId="5" borderId="1" xfId="2" applyNumberFormat="1" applyFont="1" applyFill="1" applyBorder="1" applyAlignment="1">
      <alignment horizontal="center" vertical="center" wrapText="1"/>
    </xf>
    <xf numFmtId="43" fontId="13" fillId="5" borderId="1" xfId="3" applyNumberFormat="1" applyFont="1" applyFill="1" applyBorder="1" applyAlignment="1">
      <alignment horizontal="center" vertical="center"/>
    </xf>
    <xf numFmtId="43" fontId="13" fillId="0" borderId="1" xfId="3" applyNumberFormat="1" applyFont="1" applyFill="1" applyBorder="1" applyAlignment="1">
      <alignment horizontal="center" vertical="center"/>
    </xf>
    <xf numFmtId="43" fontId="10" fillId="0" borderId="1" xfId="3" applyNumberFormat="1" applyFont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 wrapText="1"/>
    </xf>
    <xf numFmtId="2" fontId="11" fillId="2" borderId="1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 wrapText="1"/>
    </xf>
    <xf numFmtId="0" fontId="24" fillId="0" borderId="0" xfId="2" applyFont="1"/>
    <xf numFmtId="43" fontId="26" fillId="0" borderId="1" xfId="3" applyNumberFormat="1" applyFont="1" applyBorder="1" applyAlignment="1">
      <alignment horizontal="center" vertical="center"/>
    </xf>
    <xf numFmtId="0" fontId="14" fillId="0" borderId="1" xfId="2" applyFont="1" applyBorder="1" applyAlignment="1">
      <alignment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167" fontId="8" fillId="0" borderId="1" xfId="2" applyNumberFormat="1" applyFont="1" applyBorder="1" applyAlignment="1">
      <alignment horizontal="center" vertical="center" wrapText="1"/>
    </xf>
    <xf numFmtId="43" fontId="20" fillId="0" borderId="1" xfId="3" applyNumberFormat="1" applyFont="1" applyFill="1" applyBorder="1" applyAlignment="1">
      <alignment horizontal="center" vertical="center" wrapText="1"/>
    </xf>
    <xf numFmtId="43" fontId="10" fillId="0" borderId="1" xfId="3" applyNumberFormat="1" applyFont="1" applyFill="1" applyBorder="1" applyAlignment="1">
      <alignment horizontal="center" vertical="center" wrapText="1"/>
    </xf>
    <xf numFmtId="166" fontId="10" fillId="0" borderId="1" xfId="2" applyNumberFormat="1" applyFont="1" applyBorder="1" applyAlignment="1">
      <alignment horizontal="left" vertical="center" wrapText="1"/>
    </xf>
    <xf numFmtId="166" fontId="10" fillId="0" borderId="1" xfId="2" applyNumberFormat="1" applyFont="1" applyBorder="1" applyAlignment="1">
      <alignment horizontal="center" vertical="center" wrapText="1"/>
    </xf>
    <xf numFmtId="165" fontId="10" fillId="0" borderId="1" xfId="2" applyNumberFormat="1" applyFont="1" applyBorder="1" applyAlignment="1">
      <alignment horizontal="center" vertical="center" wrapText="1"/>
    </xf>
    <xf numFmtId="43" fontId="6" fillId="0" borderId="1" xfId="3" applyNumberFormat="1" applyFont="1" applyFill="1" applyBorder="1" applyAlignment="1">
      <alignment horizontal="center" vertical="center" wrapText="1"/>
    </xf>
    <xf numFmtId="1" fontId="8" fillId="0" borderId="1" xfId="2" applyNumberFormat="1" applyFont="1" applyBorder="1" applyAlignment="1">
      <alignment horizontal="center" vertical="center" wrapText="1"/>
    </xf>
    <xf numFmtId="43" fontId="20" fillId="0" borderId="1" xfId="3" applyNumberFormat="1" applyFont="1" applyFill="1" applyBorder="1" applyAlignment="1">
      <alignment horizontal="center" vertical="center"/>
    </xf>
    <xf numFmtId="43" fontId="8" fillId="0" borderId="1" xfId="3" applyNumberFormat="1" applyFont="1" applyFill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 wrapText="1"/>
    </xf>
    <xf numFmtId="0" fontId="14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 wrapText="1"/>
    </xf>
    <xf numFmtId="2" fontId="13" fillId="0" borderId="1" xfId="2" applyNumberFormat="1" applyFont="1" applyBorder="1" applyAlignment="1">
      <alignment horizontal="center" vertical="center" wrapText="1"/>
    </xf>
    <xf numFmtId="0" fontId="22" fillId="2" borderId="1" xfId="2" applyFont="1" applyFill="1" applyBorder="1" applyAlignment="1">
      <alignment vertical="center" wrapText="1"/>
    </xf>
    <xf numFmtId="0" fontId="22" fillId="2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vertical="center" wrapText="1"/>
    </xf>
    <xf numFmtId="0" fontId="13" fillId="2" borderId="1" xfId="2" applyFont="1" applyFill="1" applyBorder="1" applyAlignment="1">
      <alignment horizontal="center" vertical="center" wrapText="1"/>
    </xf>
    <xf numFmtId="1" fontId="13" fillId="2" borderId="1" xfId="2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165" fontId="8" fillId="0" borderId="1" xfId="2" applyNumberFormat="1" applyFont="1" applyBorder="1" applyAlignment="1">
      <alignment horizontal="center" vertical="center" wrapText="1"/>
    </xf>
    <xf numFmtId="43" fontId="4" fillId="0" borderId="1" xfId="3" applyNumberFormat="1" applyFont="1" applyFill="1" applyBorder="1" applyAlignment="1">
      <alignment horizontal="center" vertical="center"/>
    </xf>
    <xf numFmtId="43" fontId="22" fillId="0" borderId="1" xfId="3" applyNumberFormat="1" applyFont="1" applyFill="1" applyBorder="1" applyAlignment="1">
      <alignment horizontal="center" vertical="center"/>
    </xf>
    <xf numFmtId="165" fontId="8" fillId="2" borderId="1" xfId="2" applyNumberFormat="1" applyFont="1" applyFill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164" fontId="13" fillId="0" borderId="2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vertical="center" wrapText="1"/>
    </xf>
    <xf numFmtId="43" fontId="8" fillId="0" borderId="1" xfId="3" applyNumberFormat="1" applyFont="1" applyFill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left" vertical="center" wrapText="1"/>
    </xf>
    <xf numFmtId="43" fontId="13" fillId="0" borderId="5" xfId="3" applyNumberFormat="1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7" fillId="5" borderId="1" xfId="2" applyFill="1" applyBorder="1"/>
    <xf numFmtId="0" fontId="8" fillId="2" borderId="1" xfId="2" applyFont="1" applyFill="1" applyBorder="1" applyAlignment="1">
      <alignment horizontal="left" vertical="top" wrapText="1"/>
    </xf>
    <xf numFmtId="43" fontId="13" fillId="0" borderId="2" xfId="3" applyNumberFormat="1" applyFont="1" applyFill="1" applyBorder="1" applyAlignment="1">
      <alignment horizontal="center" wrapText="1"/>
    </xf>
    <xf numFmtId="0" fontId="13" fillId="0" borderId="1" xfId="2" applyFont="1" applyBorder="1" applyAlignment="1">
      <alignment horizontal="center"/>
    </xf>
    <xf numFmtId="0" fontId="13" fillId="0" borderId="1" xfId="2" applyFont="1" applyBorder="1" applyAlignment="1">
      <alignment horizontal="center" vertical="center" wrapText="1"/>
    </xf>
    <xf numFmtId="3" fontId="13" fillId="0" borderId="1" xfId="2" applyNumberFormat="1" applyFont="1" applyBorder="1" applyAlignment="1">
      <alignment horizontal="center" vertical="center" wrapText="1"/>
    </xf>
    <xf numFmtId="43" fontId="8" fillId="0" borderId="1" xfId="3" applyNumberFormat="1" applyFont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 wrapText="1"/>
    </xf>
    <xf numFmtId="43" fontId="13" fillId="0" borderId="1" xfId="3" applyNumberFormat="1" applyFont="1" applyBorder="1" applyAlignment="1">
      <alignment vertical="center"/>
    </xf>
    <xf numFmtId="0" fontId="19" fillId="0" borderId="0" xfId="2" applyFont="1"/>
    <xf numFmtId="43" fontId="10" fillId="0" borderId="1" xfId="3" applyNumberFormat="1" applyFont="1" applyFill="1" applyBorder="1" applyAlignment="1">
      <alignment vertical="center" wrapText="1"/>
    </xf>
    <xf numFmtId="43" fontId="10" fillId="0" borderId="1" xfId="3" applyNumberFormat="1" applyFont="1" applyFill="1" applyBorder="1" applyAlignment="1">
      <alignment vertical="center"/>
    </xf>
    <xf numFmtId="43" fontId="13" fillId="0" borderId="1" xfId="3" applyNumberFormat="1" applyFont="1" applyFill="1" applyBorder="1" applyAlignment="1">
      <alignment vertical="center"/>
    </xf>
    <xf numFmtId="43" fontId="5" fillId="0" borderId="1" xfId="3" applyNumberFormat="1" applyFont="1" applyFill="1" applyBorder="1" applyAlignment="1">
      <alignment horizontal="center" vertical="center"/>
    </xf>
    <xf numFmtId="2" fontId="10" fillId="5" borderId="1" xfId="2" applyNumberFormat="1" applyFont="1" applyFill="1" applyBorder="1" applyAlignment="1">
      <alignment horizontal="center" vertical="center" wrapText="1"/>
    </xf>
    <xf numFmtId="165" fontId="10" fillId="5" borderId="1" xfId="2" applyNumberFormat="1" applyFont="1" applyFill="1" applyBorder="1" applyAlignment="1">
      <alignment horizontal="center" vertical="center" wrapText="1"/>
    </xf>
    <xf numFmtId="49" fontId="10" fillId="5" borderId="1" xfId="2" applyNumberFormat="1" applyFont="1" applyFill="1" applyBorder="1" applyAlignment="1">
      <alignment horizontal="center" vertical="center" wrapText="1"/>
    </xf>
    <xf numFmtId="43" fontId="19" fillId="5" borderId="1" xfId="3" applyNumberFormat="1" applyFont="1" applyFill="1" applyBorder="1" applyAlignment="1">
      <alignment horizontal="center" vertical="center"/>
    </xf>
    <xf numFmtId="166" fontId="8" fillId="2" borderId="1" xfId="2" applyNumberFormat="1" applyFont="1" applyFill="1" applyBorder="1" applyAlignment="1">
      <alignment horizontal="left" vertical="center" wrapText="1"/>
    </xf>
    <xf numFmtId="166" fontId="8" fillId="2" borderId="1" xfId="2" applyNumberFormat="1" applyFont="1" applyFill="1" applyBorder="1" applyAlignment="1">
      <alignment horizontal="center" vertical="center" wrapText="1"/>
    </xf>
    <xf numFmtId="166" fontId="10" fillId="2" borderId="1" xfId="2" applyNumberFormat="1" applyFont="1" applyFill="1" applyBorder="1" applyAlignment="1">
      <alignment horizontal="left" vertical="center" wrapText="1"/>
    </xf>
    <xf numFmtId="166" fontId="15" fillId="2" borderId="1" xfId="2" applyNumberFormat="1" applyFont="1" applyFill="1" applyBorder="1" applyAlignment="1">
      <alignment horizontal="left" vertical="center" wrapText="1"/>
    </xf>
    <xf numFmtId="0" fontId="7" fillId="0" borderId="1" xfId="2" applyBorder="1"/>
    <xf numFmtId="0" fontId="7" fillId="0" borderId="1" xfId="2" applyBorder="1" applyAlignment="1">
      <alignment wrapText="1"/>
    </xf>
    <xf numFmtId="0" fontId="7" fillId="0" borderId="2" xfId="2" applyBorder="1" applyAlignment="1">
      <alignment wrapText="1"/>
    </xf>
    <xf numFmtId="0" fontId="7" fillId="0" borderId="6" xfId="2" applyBorder="1" applyAlignment="1">
      <alignment horizontal="center" wrapText="1"/>
    </xf>
    <xf numFmtId="0" fontId="7" fillId="0" borderId="0" xfId="2" applyAlignment="1">
      <alignment wrapText="1"/>
    </xf>
    <xf numFmtId="0" fontId="7" fillId="2" borderId="1" xfId="2" applyFill="1" applyBorder="1"/>
    <xf numFmtId="0" fontId="7" fillId="2" borderId="1" xfId="2" applyFill="1" applyBorder="1" applyAlignment="1">
      <alignment horizontal="center" vertical="center"/>
    </xf>
    <xf numFmtId="0" fontId="7" fillId="2" borderId="1" xfId="2" applyFill="1" applyBorder="1" applyAlignment="1">
      <alignment horizontal="center"/>
    </xf>
    <xf numFmtId="169" fontId="7" fillId="2" borderId="1" xfId="2" applyNumberFormat="1" applyFill="1" applyBorder="1" applyAlignment="1">
      <alignment horizontal="center" vertical="center"/>
    </xf>
    <xf numFmtId="169" fontId="7" fillId="2" borderId="1" xfId="2" applyNumberFormat="1" applyFill="1" applyBorder="1"/>
    <xf numFmtId="169" fontId="7" fillId="2" borderId="2" xfId="2" applyNumberFormat="1" applyFill="1" applyBorder="1"/>
    <xf numFmtId="169" fontId="7" fillId="0" borderId="0" xfId="2" applyNumberFormat="1"/>
    <xf numFmtId="169" fontId="7" fillId="0" borderId="1" xfId="2" applyNumberFormat="1" applyBorder="1"/>
    <xf numFmtId="167" fontId="7" fillId="2" borderId="1" xfId="2" applyNumberFormat="1" applyFill="1" applyBorder="1"/>
    <xf numFmtId="169" fontId="7" fillId="2" borderId="1" xfId="2" applyNumberFormat="1" applyFill="1" applyBorder="1" applyAlignment="1">
      <alignment horizontal="center"/>
    </xf>
    <xf numFmtId="0" fontId="24" fillId="0" borderId="1" xfId="2" applyFont="1" applyBorder="1"/>
    <xf numFmtId="0" fontId="7" fillId="0" borderId="1" xfId="2" applyBorder="1" applyAlignment="1">
      <alignment horizontal="center" vertical="center"/>
    </xf>
    <xf numFmtId="169" fontId="7" fillId="0" borderId="2" xfId="2" applyNumberFormat="1" applyBorder="1"/>
    <xf numFmtId="0" fontId="19" fillId="0" borderId="1" xfId="2" applyFont="1" applyBorder="1"/>
    <xf numFmtId="0" fontId="19" fillId="0" borderId="1" xfId="2" applyFont="1" applyBorder="1" applyAlignment="1">
      <alignment wrapText="1"/>
    </xf>
    <xf numFmtId="169" fontId="0" fillId="2" borderId="1" xfId="3" applyNumberFormat="1" applyFont="1" applyFill="1" applyBorder="1" applyAlignment="1">
      <alignment horizontal="center" vertical="center"/>
    </xf>
    <xf numFmtId="0" fontId="19" fillId="0" borderId="0" xfId="2" applyFont="1" applyAlignment="1">
      <alignment wrapText="1"/>
    </xf>
    <xf numFmtId="0" fontId="7" fillId="0" borderId="2" xfId="2" applyBorder="1"/>
    <xf numFmtId="169" fontId="9" fillId="0" borderId="1" xfId="2" applyNumberFormat="1" applyFont="1" applyBorder="1"/>
    <xf numFmtId="169" fontId="9" fillId="0" borderId="2" xfId="2" applyNumberFormat="1" applyFont="1" applyBorder="1"/>
    <xf numFmtId="0" fontId="9" fillId="0" borderId="1" xfId="2" applyFont="1" applyBorder="1"/>
    <xf numFmtId="169" fontId="9" fillId="0" borderId="0" xfId="2" applyNumberFormat="1" applyFont="1"/>
    <xf numFmtId="169" fontId="27" fillId="0" borderId="2" xfId="2" applyNumberFormat="1" applyFont="1" applyBorder="1"/>
    <xf numFmtId="0" fontId="30" fillId="0" borderId="1" xfId="4" applyNumberFormat="1" applyFont="1" applyFill="1" applyBorder="1" applyAlignment="1" applyProtection="1">
      <alignment horizontal="center" vertical="center"/>
    </xf>
    <xf numFmtId="0" fontId="30" fillId="0" borderId="1" xfId="4" applyNumberFormat="1" applyFont="1" applyFill="1" applyBorder="1" applyAlignment="1" applyProtection="1">
      <alignment horizontal="left" vertical="center"/>
    </xf>
    <xf numFmtId="169" fontId="0" fillId="0" borderId="1" xfId="3" applyNumberFormat="1" applyFont="1" applyBorder="1" applyAlignment="1">
      <alignment horizontal="center" vertical="center"/>
    </xf>
    <xf numFmtId="169" fontId="28" fillId="0" borderId="1" xfId="3" applyNumberFormat="1" applyFont="1" applyFill="1" applyBorder="1" applyAlignment="1" applyProtection="1">
      <alignment horizontal="center" vertical="center"/>
    </xf>
    <xf numFmtId="169" fontId="7" fillId="0" borderId="1" xfId="2" applyNumberFormat="1" applyBorder="1" applyAlignment="1">
      <alignment horizontal="center" vertical="center"/>
    </xf>
    <xf numFmtId="0" fontId="30" fillId="0" borderId="1" xfId="4" applyNumberFormat="1" applyFont="1" applyFill="1" applyBorder="1" applyAlignment="1" applyProtection="1">
      <alignment horizontal="left" vertical="center" indent="2"/>
    </xf>
    <xf numFmtId="169" fontId="28" fillId="0" borderId="1" xfId="3" applyNumberFormat="1" applyFont="1" applyFill="1" applyBorder="1" applyAlignment="1" applyProtection="1">
      <alignment horizontal="center" vertical="top"/>
    </xf>
    <xf numFmtId="169" fontId="31" fillId="0" borderId="1" xfId="2" applyNumberFormat="1" applyFont="1" applyBorder="1"/>
    <xf numFmtId="0" fontId="32" fillId="0" borderId="1" xfId="4" applyNumberFormat="1" applyFont="1" applyFill="1" applyBorder="1" applyAlignment="1" applyProtection="1">
      <alignment horizontal="left" vertical="center"/>
    </xf>
    <xf numFmtId="169" fontId="27" fillId="0" borderId="1" xfId="2" applyNumberFormat="1" applyFont="1" applyBorder="1"/>
    <xf numFmtId="0" fontId="8" fillId="2" borderId="0" xfId="0" applyFont="1" applyFill="1" applyAlignment="1">
      <alignment horizontal="left" vertical="center" wrapText="1"/>
    </xf>
    <xf numFmtId="2" fontId="8" fillId="2" borderId="0" xfId="0" applyNumberFormat="1" applyFont="1" applyFill="1" applyAlignment="1">
      <alignment horizontal="center" vertical="center" wrapText="1"/>
    </xf>
    <xf numFmtId="4" fontId="8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center" vertical="center" wrapText="1"/>
    </xf>
    <xf numFmtId="4" fontId="8" fillId="2" borderId="0" xfId="0" applyNumberFormat="1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wrapText="1"/>
    </xf>
    <xf numFmtId="2" fontId="10" fillId="2" borderId="0" xfId="0" applyNumberFormat="1" applyFont="1" applyFill="1" applyAlignment="1">
      <alignment horizontal="center" vertical="center" wrapText="1"/>
    </xf>
    <xf numFmtId="4" fontId="10" fillId="2" borderId="0" xfId="0" applyNumberFormat="1" applyFont="1" applyFill="1" applyAlignment="1">
      <alignment wrapText="1"/>
    </xf>
    <xf numFmtId="0" fontId="27" fillId="0" borderId="2" xfId="2" applyFont="1" applyBorder="1" applyAlignment="1">
      <alignment horizontal="center" vertical="center"/>
    </xf>
    <xf numFmtId="0" fontId="27" fillId="0" borderId="7" xfId="2" applyFont="1" applyBorder="1" applyAlignment="1">
      <alignment horizontal="center" vertical="center"/>
    </xf>
    <xf numFmtId="0" fontId="27" fillId="0" borderId="8" xfId="2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2" fontId="28" fillId="0" borderId="1" xfId="0" applyNumberFormat="1" applyFont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10" fillId="5" borderId="1" xfId="2" applyFont="1" applyFill="1" applyBorder="1" applyAlignment="1">
      <alignment horizontal="left" vertical="center" wrapText="1"/>
    </xf>
    <xf numFmtId="43" fontId="13" fillId="5" borderId="2" xfId="3" applyNumberFormat="1" applyFont="1" applyFill="1" applyBorder="1" applyAlignment="1">
      <alignment horizontal="center" wrapText="1"/>
    </xf>
    <xf numFmtId="43" fontId="21" fillId="5" borderId="1" xfId="3" applyNumberFormat="1" applyFont="1" applyFill="1" applyBorder="1" applyAlignment="1">
      <alignment horizontal="center" vertical="center" wrapText="1"/>
    </xf>
    <xf numFmtId="43" fontId="11" fillId="5" borderId="1" xfId="3" applyNumberFormat="1" applyFont="1" applyFill="1" applyBorder="1" applyAlignment="1">
      <alignment horizontal="center" vertical="center" wrapText="1"/>
    </xf>
    <xf numFmtId="0" fontId="17" fillId="5" borderId="1" xfId="2" applyFont="1" applyFill="1" applyBorder="1" applyAlignment="1">
      <alignment vertical="center" wrapText="1"/>
    </xf>
    <xf numFmtId="0" fontId="8" fillId="5" borderId="1" xfId="2" applyFont="1" applyFill="1" applyBorder="1" applyAlignment="1">
      <alignment horizontal="center" vertical="center"/>
    </xf>
    <xf numFmtId="164" fontId="11" fillId="5" borderId="1" xfId="2" applyNumberFormat="1" applyFont="1" applyFill="1" applyBorder="1" applyAlignment="1">
      <alignment horizontal="center" vertical="center"/>
    </xf>
    <xf numFmtId="0" fontId="13" fillId="5" borderId="1" xfId="2" applyFont="1" applyFill="1" applyBorder="1" applyAlignment="1">
      <alignment horizontal="right" vertical="center" wrapText="1"/>
    </xf>
    <xf numFmtId="2" fontId="13" fillId="5" borderId="1" xfId="2" applyNumberFormat="1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/>
    </xf>
    <xf numFmtId="164" fontId="10" fillId="5" borderId="1" xfId="2" applyNumberFormat="1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right" vertical="center" wrapText="1"/>
    </xf>
    <xf numFmtId="169" fontId="28" fillId="0" borderId="1" xfId="0" applyNumberFormat="1" applyFont="1" applyBorder="1" applyAlignment="1">
      <alignment horizontal="center" vertical="center"/>
    </xf>
    <xf numFmtId="169" fontId="3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right" vertical="center"/>
    </xf>
    <xf numFmtId="0" fontId="33" fillId="0" borderId="1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2" fontId="33" fillId="0" borderId="0" xfId="0" applyNumberFormat="1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3" fillId="0" borderId="3" xfId="0" applyFont="1" applyBorder="1" applyAlignment="1">
      <alignment horizontal="right" vertical="center"/>
    </xf>
    <xf numFmtId="0" fontId="33" fillId="0" borderId="3" xfId="0" applyFont="1" applyBorder="1" applyAlignment="1">
      <alignment horizontal="center" vertical="center"/>
    </xf>
    <xf numFmtId="0" fontId="28" fillId="0" borderId="7" xfId="0" applyFont="1" applyBorder="1" applyAlignment="1">
      <alignment horizontal="left" vertical="center"/>
    </xf>
    <xf numFmtId="0" fontId="33" fillId="0" borderId="1" xfId="0" applyFont="1" applyBorder="1" applyAlignment="1">
      <alignment horizontal="right" vertical="center"/>
    </xf>
    <xf numFmtId="0" fontId="37" fillId="0" borderId="0" xfId="6" applyAlignment="1"/>
    <xf numFmtId="0" fontId="28" fillId="0" borderId="1" xfId="6" applyFont="1" applyBorder="1" applyAlignment="1">
      <alignment horizontal="center" vertical="center"/>
    </xf>
    <xf numFmtId="2" fontId="28" fillId="0" borderId="1" xfId="6" applyNumberFormat="1" applyFont="1" applyBorder="1" applyAlignment="1">
      <alignment horizontal="center" vertical="center"/>
    </xf>
    <xf numFmtId="0" fontId="33" fillId="0" borderId="0" xfId="6" applyFont="1" applyBorder="1" applyAlignment="1">
      <alignment vertical="center"/>
    </xf>
    <xf numFmtId="0" fontId="28" fillId="0" borderId="1" xfId="6" applyFont="1" applyFill="1" applyBorder="1" applyAlignment="1">
      <alignment horizontal="center" vertical="center"/>
    </xf>
    <xf numFmtId="2" fontId="28" fillId="0" borderId="1" xfId="6" applyNumberFormat="1" applyFont="1" applyFill="1" applyBorder="1" applyAlignment="1">
      <alignment horizontal="center" vertical="center"/>
    </xf>
    <xf numFmtId="0" fontId="28" fillId="0" borderId="0" xfId="6" applyFont="1" applyAlignment="1">
      <alignment horizontal="center" vertical="center"/>
    </xf>
    <xf numFmtId="0" fontId="33" fillId="0" borderId="1" xfId="6" applyFont="1" applyBorder="1" applyAlignment="1">
      <alignment horizontal="center" vertical="center"/>
    </xf>
    <xf numFmtId="0" fontId="28" fillId="0" borderId="1" xfId="6" applyFont="1" applyBorder="1" applyAlignment="1">
      <alignment horizontal="center" vertical="center" wrapText="1"/>
    </xf>
    <xf numFmtId="0" fontId="28" fillId="0" borderId="1" xfId="6" applyFont="1" applyBorder="1" applyAlignment="1">
      <alignment horizontal="left" vertical="center" wrapText="1"/>
    </xf>
    <xf numFmtId="0" fontId="28" fillId="0" borderId="1" xfId="6" applyFont="1" applyFill="1" applyBorder="1" applyAlignment="1">
      <alignment horizontal="left" vertical="center" wrapText="1"/>
    </xf>
    <xf numFmtId="0" fontId="33" fillId="0" borderId="1" xfId="6" applyFont="1" applyBorder="1" applyAlignment="1">
      <alignment horizontal="right" vertical="center"/>
    </xf>
    <xf numFmtId="2" fontId="33" fillId="0" borderId="1" xfId="6" applyNumberFormat="1" applyFont="1" applyBorder="1" applyAlignment="1">
      <alignment horizontal="center" vertical="center"/>
    </xf>
    <xf numFmtId="0" fontId="28" fillId="0" borderId="0" xfId="6" applyFont="1" applyBorder="1" applyAlignment="1">
      <alignment horizontal="center" vertical="center"/>
    </xf>
    <xf numFmtId="0" fontId="10" fillId="0" borderId="1" xfId="6" applyFont="1" applyBorder="1" applyAlignment="1">
      <alignment horizontal="center" vertical="center" wrapText="1"/>
    </xf>
    <xf numFmtId="0" fontId="33" fillId="0" borderId="0" xfId="6" applyFont="1" applyBorder="1" applyAlignment="1">
      <alignment horizontal="right" vertical="center"/>
    </xf>
    <xf numFmtId="2" fontId="33" fillId="0" borderId="0" xfId="6" applyNumberFormat="1" applyFont="1" applyBorder="1" applyAlignment="1">
      <alignment horizontal="center" vertical="center"/>
    </xf>
    <xf numFmtId="0" fontId="28" fillId="0" borderId="1" xfId="6" applyFont="1" applyBorder="1" applyAlignment="1">
      <alignment horizontal="center" vertical="center"/>
    </xf>
    <xf numFmtId="2" fontId="28" fillId="0" borderId="1" xfId="6" applyNumberFormat="1" applyFont="1" applyBorder="1" applyAlignment="1">
      <alignment horizontal="center" vertical="center"/>
    </xf>
    <xf numFmtId="0" fontId="33" fillId="0" borderId="0" xfId="6" applyFont="1" applyBorder="1" applyAlignment="1">
      <alignment vertical="center"/>
    </xf>
    <xf numFmtId="0" fontId="28" fillId="0" borderId="1" xfId="6" applyFont="1" applyFill="1" applyBorder="1" applyAlignment="1">
      <alignment horizontal="center" vertical="center"/>
    </xf>
    <xf numFmtId="2" fontId="28" fillId="0" borderId="1" xfId="6" applyNumberFormat="1" applyFont="1" applyFill="1" applyBorder="1" applyAlignment="1">
      <alignment horizontal="center" vertical="center"/>
    </xf>
    <xf numFmtId="0" fontId="33" fillId="0" borderId="1" xfId="6" applyFont="1" applyBorder="1" applyAlignment="1">
      <alignment horizontal="center" vertical="center"/>
    </xf>
    <xf numFmtId="0" fontId="28" fillId="0" borderId="1" xfId="6" applyFont="1" applyBorder="1" applyAlignment="1">
      <alignment horizontal="center" vertical="center" wrapText="1"/>
    </xf>
    <xf numFmtId="0" fontId="28" fillId="0" borderId="1" xfId="6" applyFont="1" applyBorder="1" applyAlignment="1">
      <alignment horizontal="left" vertical="center" wrapText="1"/>
    </xf>
    <xf numFmtId="0" fontId="28" fillId="0" borderId="1" xfId="6" applyFont="1" applyFill="1" applyBorder="1" applyAlignment="1">
      <alignment horizontal="left" vertical="center" wrapText="1"/>
    </xf>
    <xf numFmtId="0" fontId="33" fillId="0" borderId="1" xfId="6" applyFont="1" applyBorder="1" applyAlignment="1">
      <alignment horizontal="right" vertical="center"/>
    </xf>
    <xf numFmtId="2" fontId="33" fillId="0" borderId="1" xfId="6" applyNumberFormat="1" applyFont="1" applyBorder="1" applyAlignment="1">
      <alignment horizontal="center" vertical="center"/>
    </xf>
    <xf numFmtId="2" fontId="33" fillId="0" borderId="3" xfId="0" applyNumberFormat="1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164" fontId="6" fillId="7" borderId="0" xfId="1" applyNumberFormat="1" applyFont="1" applyFill="1" applyBorder="1"/>
    <xf numFmtId="0" fontId="4" fillId="0" borderId="0" xfId="0" applyFont="1"/>
    <xf numFmtId="164" fontId="20" fillId="0" borderId="1" xfId="1" applyNumberFormat="1" applyFont="1" applyBorder="1"/>
    <xf numFmtId="4" fontId="7" fillId="0" borderId="2" xfId="2" applyNumberFormat="1" applyBorder="1" applyAlignment="1">
      <alignment horizontal="center"/>
    </xf>
    <xf numFmtId="4" fontId="10" fillId="2" borderId="4" xfId="2" applyNumberFormat="1" applyFont="1" applyFill="1" applyBorder="1" applyAlignment="1">
      <alignment horizontal="center" vertical="center" wrapText="1"/>
    </xf>
    <xf numFmtId="4" fontId="10" fillId="2" borderId="2" xfId="2" applyNumberFormat="1" applyFont="1" applyFill="1" applyBorder="1" applyAlignment="1">
      <alignment horizontal="center" vertical="center" wrapText="1"/>
    </xf>
    <xf numFmtId="4" fontId="7" fillId="0" borderId="1" xfId="2" applyNumberFormat="1" applyFill="1" applyBorder="1" applyAlignment="1">
      <alignment horizontal="center"/>
    </xf>
    <xf numFmtId="4" fontId="10" fillId="0" borderId="2" xfId="2" applyNumberFormat="1" applyFont="1" applyFill="1" applyBorder="1" applyAlignment="1">
      <alignment horizontal="center" vertical="center" wrapText="1"/>
    </xf>
    <xf numFmtId="0" fontId="7" fillId="0" borderId="0" xfId="2" applyFill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right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165" fontId="15" fillId="2" borderId="1" xfId="0" applyNumberFormat="1" applyFont="1" applyFill="1" applyBorder="1" applyAlignment="1">
      <alignment horizontal="center" vertical="center" wrapText="1"/>
    </xf>
    <xf numFmtId="4" fontId="15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4" fontId="10" fillId="2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165" fontId="8" fillId="5" borderId="1" xfId="0" applyNumberFormat="1" applyFont="1" applyFill="1" applyBorder="1" applyAlignment="1">
      <alignment horizontal="center" vertical="center" wrapText="1"/>
    </xf>
    <xf numFmtId="4" fontId="8" fillId="5" borderId="1" xfId="0" applyNumberFormat="1" applyFont="1" applyFill="1" applyBorder="1" applyAlignment="1">
      <alignment horizontal="center" vertical="center" wrapText="1"/>
    </xf>
    <xf numFmtId="4" fontId="8" fillId="5" borderId="1" xfId="0" applyNumberFormat="1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65" fontId="8" fillId="2" borderId="2" xfId="2" applyNumberFormat="1" applyFont="1" applyFill="1" applyBorder="1" applyAlignment="1">
      <alignment horizontal="center" vertical="center" wrapText="1"/>
    </xf>
    <xf numFmtId="169" fontId="0" fillId="0" borderId="0" xfId="0" applyNumberFormat="1"/>
    <xf numFmtId="0" fontId="4" fillId="0" borderId="1" xfId="0" applyFont="1" applyFill="1" applyBorder="1"/>
    <xf numFmtId="0" fontId="5" fillId="0" borderId="1" xfId="0" applyFont="1" applyFill="1" applyBorder="1"/>
    <xf numFmtId="164" fontId="6" fillId="0" borderId="1" xfId="1" applyNumberFormat="1" applyFont="1" applyFill="1" applyBorder="1"/>
    <xf numFmtId="4" fontId="4" fillId="0" borderId="1" xfId="0" applyNumberFormat="1" applyFont="1" applyFill="1" applyBorder="1"/>
    <xf numFmtId="0" fontId="5" fillId="0" borderId="0" xfId="0" applyFont="1" applyFill="1" applyBorder="1"/>
    <xf numFmtId="4" fontId="5" fillId="0" borderId="1" xfId="0" applyNumberFormat="1" applyFont="1" applyFill="1" applyBorder="1"/>
    <xf numFmtId="164" fontId="6" fillId="0" borderId="1" xfId="1" applyNumberFormat="1" applyFont="1" applyFill="1" applyBorder="1" applyAlignment="1">
      <alignment horizontal="right"/>
    </xf>
    <xf numFmtId="164" fontId="5" fillId="9" borderId="0" xfId="0" applyNumberFormat="1" applyFont="1" applyFill="1"/>
    <xf numFmtId="164" fontId="6" fillId="9" borderId="1" xfId="1" applyNumberFormat="1" applyFont="1" applyFill="1" applyBorder="1"/>
    <xf numFmtId="4" fontId="5" fillId="9" borderId="1" xfId="0" applyNumberFormat="1" applyFont="1" applyFill="1" applyBorder="1"/>
    <xf numFmtId="43" fontId="19" fillId="0" borderId="1" xfId="3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 wrapText="1"/>
    </xf>
    <xf numFmtId="2" fontId="10" fillId="2" borderId="0" xfId="2" applyNumberFormat="1" applyFont="1" applyFill="1" applyBorder="1" applyAlignment="1">
      <alignment horizontal="center" vertical="center" wrapText="1"/>
    </xf>
    <xf numFmtId="1" fontId="10" fillId="2" borderId="0" xfId="2" applyNumberFormat="1" applyFont="1" applyFill="1" applyBorder="1" applyAlignment="1">
      <alignment horizontal="center" vertical="center" wrapText="1"/>
    </xf>
    <xf numFmtId="43" fontId="13" fillId="0" borderId="0" xfId="3" applyNumberFormat="1" applyFont="1" applyBorder="1" applyAlignment="1">
      <alignment horizontal="center" vertical="center"/>
    </xf>
    <xf numFmtId="43" fontId="7" fillId="0" borderId="0" xfId="3" applyNumberFormat="1" applyFont="1" applyBorder="1"/>
    <xf numFmtId="0" fontId="39" fillId="0" borderId="0" xfId="2" applyFont="1"/>
    <xf numFmtId="49" fontId="20" fillId="5" borderId="1" xfId="2" applyNumberFormat="1" applyFont="1" applyFill="1" applyBorder="1" applyAlignment="1">
      <alignment horizontal="center" vertical="center" wrapText="1"/>
    </xf>
    <xf numFmtId="0" fontId="20" fillId="5" borderId="1" xfId="2" applyFont="1" applyFill="1" applyBorder="1" applyAlignment="1">
      <alignment vertical="center" wrapText="1"/>
    </xf>
    <xf numFmtId="0" fontId="20" fillId="5" borderId="1" xfId="2" applyFont="1" applyFill="1" applyBorder="1" applyAlignment="1">
      <alignment horizontal="center" vertical="center" wrapText="1"/>
    </xf>
    <xf numFmtId="165" fontId="20" fillId="5" borderId="1" xfId="2" applyNumberFormat="1" applyFont="1" applyFill="1" applyBorder="1" applyAlignment="1">
      <alignment horizontal="center" vertical="center" wrapText="1"/>
    </xf>
    <xf numFmtId="170" fontId="40" fillId="5" borderId="1" xfId="3" applyNumberFormat="1" applyFont="1" applyFill="1" applyBorder="1"/>
    <xf numFmtId="170" fontId="39" fillId="0" borderId="0" xfId="2" applyNumberFormat="1" applyFont="1"/>
    <xf numFmtId="49" fontId="20" fillId="2" borderId="1" xfId="2" applyNumberFormat="1" applyFont="1" applyFill="1" applyBorder="1" applyAlignment="1">
      <alignment horizontal="center" vertical="center" wrapText="1"/>
    </xf>
    <xf numFmtId="0" fontId="20" fillId="8" borderId="3" xfId="2" applyFont="1" applyFill="1" applyBorder="1" applyAlignment="1">
      <alignment horizontal="left" vertical="center" wrapText="1"/>
    </xf>
    <xf numFmtId="2" fontId="20" fillId="8" borderId="3" xfId="2" applyNumberFormat="1" applyFont="1" applyFill="1" applyBorder="1" applyAlignment="1">
      <alignment horizontal="center" vertical="center" wrapText="1"/>
    </xf>
    <xf numFmtId="43" fontId="39" fillId="0" borderId="1" xfId="3" applyNumberFormat="1" applyFont="1" applyBorder="1"/>
    <xf numFmtId="170" fontId="39" fillId="0" borderId="1" xfId="3" applyNumberFormat="1" applyFont="1" applyBorder="1"/>
    <xf numFmtId="170" fontId="40" fillId="0" borderId="0" xfId="2" applyNumberFormat="1" applyFont="1"/>
    <xf numFmtId="43" fontId="40" fillId="0" borderId="0" xfId="2" applyNumberFormat="1" applyFont="1"/>
    <xf numFmtId="0" fontId="40" fillId="0" borderId="0" xfId="2" applyFont="1"/>
    <xf numFmtId="49" fontId="6" fillId="2" borderId="1" xfId="2" applyNumberFormat="1" applyFont="1" applyFill="1" applyBorder="1" applyAlignment="1">
      <alignment horizontal="center" vertical="center" wrapText="1"/>
    </xf>
    <xf numFmtId="0" fontId="6" fillId="8" borderId="3" xfId="2" applyFont="1" applyFill="1" applyBorder="1" applyAlignment="1">
      <alignment horizontal="left" vertical="center" wrapText="1"/>
    </xf>
    <xf numFmtId="2" fontId="6" fillId="8" borderId="3" xfId="2" applyNumberFormat="1" applyFont="1" applyFill="1" applyBorder="1" applyAlignment="1">
      <alignment horizontal="center" vertical="center" wrapText="1"/>
    </xf>
    <xf numFmtId="1" fontId="6" fillId="8" borderId="3" xfId="2" applyNumberFormat="1" applyFont="1" applyFill="1" applyBorder="1" applyAlignment="1">
      <alignment horizontal="center" vertical="center" wrapText="1"/>
    </xf>
    <xf numFmtId="1" fontId="20" fillId="8" borderId="3" xfId="2" applyNumberFormat="1" applyFont="1" applyFill="1" applyBorder="1" applyAlignment="1">
      <alignment horizontal="center" vertical="center" wrapText="1"/>
    </xf>
    <xf numFmtId="165" fontId="6" fillId="8" borderId="3" xfId="2" applyNumberFormat="1" applyFont="1" applyFill="1" applyBorder="1" applyAlignment="1">
      <alignment horizontal="center" vertical="center" wrapText="1"/>
    </xf>
    <xf numFmtId="49" fontId="20" fillId="0" borderId="1" xfId="2" applyNumberFormat="1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left" vertical="center" wrapText="1"/>
    </xf>
    <xf numFmtId="2" fontId="20" fillId="0" borderId="3" xfId="2" applyNumberFormat="1" applyFont="1" applyFill="1" applyBorder="1" applyAlignment="1">
      <alignment horizontal="center" vertical="center" wrapText="1"/>
    </xf>
    <xf numFmtId="43" fontId="41" fillId="0" borderId="1" xfId="3" applyNumberFormat="1" applyFont="1" applyFill="1" applyBorder="1"/>
    <xf numFmtId="170" fontId="41" fillId="0" borderId="1" xfId="3" applyNumberFormat="1" applyFont="1" applyFill="1" applyBorder="1"/>
    <xf numFmtId="49" fontId="20" fillId="0" borderId="1" xfId="2" applyNumberFormat="1" applyFont="1" applyFill="1" applyBorder="1" applyAlignment="1">
      <alignment vertical="center" wrapText="1"/>
    </xf>
    <xf numFmtId="168" fontId="20" fillId="0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2" fontId="6" fillId="2" borderId="1" xfId="2" applyNumberFormat="1" applyFont="1" applyFill="1" applyBorder="1" applyAlignment="1">
      <alignment horizontal="center" vertical="center" wrapText="1"/>
    </xf>
    <xf numFmtId="165" fontId="6" fillId="2" borderId="1" xfId="2" applyNumberFormat="1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left" vertical="center" wrapText="1"/>
    </xf>
    <xf numFmtId="2" fontId="20" fillId="2" borderId="1" xfId="2" applyNumberFormat="1" applyFont="1" applyFill="1" applyBorder="1" applyAlignment="1">
      <alignment horizontal="center" vertical="center" wrapText="1"/>
    </xf>
    <xf numFmtId="165" fontId="20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2" fontId="42" fillId="2" borderId="1" xfId="2" applyNumberFormat="1" applyFont="1" applyFill="1" applyBorder="1" applyAlignment="1">
      <alignment horizontal="center" vertical="center" wrapText="1"/>
    </xf>
    <xf numFmtId="49" fontId="20" fillId="0" borderId="1" xfId="2" applyNumberFormat="1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2" fontId="20" fillId="0" borderId="1" xfId="2" applyNumberFormat="1" applyFont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wrapText="1"/>
    </xf>
    <xf numFmtId="0" fontId="43" fillId="0" borderId="1" xfId="2" applyFont="1" applyBorder="1" applyAlignment="1">
      <alignment horizontal="left" vertical="center" wrapText="1"/>
    </xf>
    <xf numFmtId="0" fontId="44" fillId="0" borderId="1" xfId="2" applyFont="1" applyBorder="1"/>
    <xf numFmtId="165" fontId="20" fillId="0" borderId="1" xfId="2" applyNumberFormat="1" applyFont="1" applyBorder="1" applyAlignment="1">
      <alignment horizontal="center" vertical="center" wrapText="1"/>
    </xf>
    <xf numFmtId="0" fontId="45" fillId="0" borderId="1" xfId="2" applyFont="1" applyBorder="1"/>
    <xf numFmtId="165" fontId="6" fillId="0" borderId="1" xfId="2" applyNumberFormat="1" applyFont="1" applyBorder="1" applyAlignment="1">
      <alignment horizontal="center" vertical="center" wrapText="1"/>
    </xf>
    <xf numFmtId="49" fontId="46" fillId="0" borderId="0" xfId="2" applyNumberFormat="1" applyFont="1"/>
    <xf numFmtId="0" fontId="39" fillId="0" borderId="0" xfId="2" applyFont="1" applyAlignment="1">
      <alignment horizontal="center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168" fontId="6" fillId="0" borderId="1" xfId="2" applyNumberFormat="1" applyFont="1" applyFill="1" applyBorder="1" applyAlignment="1">
      <alignment horizontal="center" vertical="center" wrapText="1"/>
    </xf>
    <xf numFmtId="43" fontId="6" fillId="0" borderId="1" xfId="3" applyNumberFormat="1" applyFont="1" applyFill="1" applyBorder="1" applyAlignment="1">
      <alignment horizontal="center" vertical="center"/>
    </xf>
    <xf numFmtId="43" fontId="46" fillId="0" borderId="1" xfId="3" applyNumberFormat="1" applyFont="1" applyFill="1" applyBorder="1"/>
    <xf numFmtId="170" fontId="46" fillId="0" borderId="1" xfId="3" applyNumberFormat="1" applyFont="1" applyFill="1" applyBorder="1"/>
    <xf numFmtId="49" fontId="10" fillId="6" borderId="1" xfId="2" applyNumberFormat="1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left" vertical="center" wrapText="1"/>
    </xf>
    <xf numFmtId="0" fontId="10" fillId="6" borderId="1" xfId="2" applyFont="1" applyFill="1" applyBorder="1" applyAlignment="1">
      <alignment horizontal="center" vertical="center" wrapText="1"/>
    </xf>
    <xf numFmtId="1" fontId="10" fillId="6" borderId="1" xfId="2" applyNumberFormat="1" applyFont="1" applyFill="1" applyBorder="1" applyAlignment="1">
      <alignment horizontal="center" vertical="center" wrapText="1"/>
    </xf>
    <xf numFmtId="43" fontId="10" fillId="6" borderId="1" xfId="3" applyNumberFormat="1" applyFont="1" applyFill="1" applyBorder="1" applyAlignment="1">
      <alignment horizontal="center" vertical="center" wrapText="1"/>
    </xf>
    <xf numFmtId="43" fontId="10" fillId="6" borderId="1" xfId="3" applyNumberFormat="1" applyFont="1" applyFill="1" applyBorder="1" applyAlignment="1">
      <alignment vertical="center" wrapText="1"/>
    </xf>
    <xf numFmtId="43" fontId="19" fillId="6" borderId="1" xfId="3" applyNumberFormat="1" applyFont="1" applyFill="1" applyBorder="1"/>
    <xf numFmtId="43" fontId="13" fillId="6" borderId="1" xfId="3" applyNumberFormat="1" applyFont="1" applyFill="1" applyBorder="1" applyAlignment="1">
      <alignment horizontal="center" vertical="center"/>
    </xf>
    <xf numFmtId="43" fontId="11" fillId="6" borderId="1" xfId="3" applyNumberFormat="1" applyFont="1" applyFill="1" applyBorder="1" applyAlignment="1">
      <alignment vertical="center"/>
    </xf>
    <xf numFmtId="43" fontId="7" fillId="6" borderId="1" xfId="3" applyNumberFormat="1" applyFont="1" applyFill="1" applyBorder="1"/>
    <xf numFmtId="164" fontId="6" fillId="5" borderId="1" xfId="1" applyNumberFormat="1" applyFont="1" applyFill="1" applyBorder="1"/>
    <xf numFmtId="0" fontId="5" fillId="5" borderId="1" xfId="0" applyFont="1" applyFill="1" applyBorder="1"/>
    <xf numFmtId="164" fontId="6" fillId="5" borderId="1" xfId="1" applyNumberFormat="1" applyFont="1" applyFill="1" applyBorder="1" applyAlignment="1">
      <alignment horizontal="right"/>
    </xf>
    <xf numFmtId="49" fontId="8" fillId="0" borderId="1" xfId="2" applyNumberFormat="1" applyFont="1" applyBorder="1" applyAlignment="1">
      <alignment horizontal="center" vertical="center" wrapText="1"/>
    </xf>
    <xf numFmtId="2" fontId="8" fillId="0" borderId="1" xfId="2" applyNumberFormat="1" applyFont="1" applyBorder="1" applyAlignment="1">
      <alignment horizontal="center" vertical="center" wrapText="1"/>
    </xf>
    <xf numFmtId="165" fontId="20" fillId="2" borderId="1" xfId="2" applyNumberFormat="1" applyFont="1" applyFill="1" applyBorder="1" applyAlignment="1">
      <alignment horizontal="center" vertical="center" wrapText="1"/>
    </xf>
    <xf numFmtId="165" fontId="8" fillId="2" borderId="1" xfId="2" applyNumberFormat="1" applyFont="1" applyFill="1" applyBorder="1" applyAlignment="1">
      <alignment horizontal="center" vertical="center" wrapText="1"/>
    </xf>
    <xf numFmtId="43" fontId="5" fillId="4" borderId="1" xfId="3" applyNumberFormat="1" applyFont="1" applyFill="1" applyBorder="1" applyAlignment="1">
      <alignment horizontal="center" vertical="center"/>
    </xf>
    <xf numFmtId="43" fontId="13" fillId="4" borderId="1" xfId="3" applyNumberFormat="1" applyFont="1" applyFill="1" applyBorder="1" applyAlignment="1">
      <alignment horizontal="center" vertical="center"/>
    </xf>
    <xf numFmtId="43" fontId="7" fillId="4" borderId="1" xfId="3" applyNumberFormat="1" applyFont="1" applyFill="1" applyBorder="1" applyAlignment="1">
      <alignment horizontal="center" vertical="center"/>
    </xf>
    <xf numFmtId="0" fontId="10" fillId="2" borderId="1" xfId="7" applyFont="1" applyFill="1" applyBorder="1" applyAlignment="1">
      <alignment horizontal="left" vertical="center" wrapText="1"/>
    </xf>
    <xf numFmtId="0" fontId="10" fillId="2" borderId="1" xfId="7" applyFont="1" applyFill="1" applyBorder="1" applyAlignment="1">
      <alignment horizontal="center" vertical="center" wrapText="1"/>
    </xf>
    <xf numFmtId="165" fontId="10" fillId="2" borderId="1" xfId="7" applyNumberFormat="1" applyFont="1" applyFill="1" applyBorder="1" applyAlignment="1">
      <alignment horizontal="center" vertical="center" wrapText="1"/>
    </xf>
    <xf numFmtId="1" fontId="10" fillId="0" borderId="1" xfId="7" applyNumberFormat="1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4" fontId="13" fillId="0" borderId="2" xfId="2" applyNumberFormat="1" applyFont="1" applyBorder="1" applyAlignment="1">
      <alignment horizontal="center" vertical="center"/>
    </xf>
    <xf numFmtId="49" fontId="8" fillId="10" borderId="1" xfId="2" applyNumberFormat="1" applyFont="1" applyFill="1" applyBorder="1" applyAlignment="1">
      <alignment horizontal="center" vertical="center" wrapText="1"/>
    </xf>
    <xf numFmtId="2" fontId="8" fillId="2" borderId="1" xfId="2" applyNumberFormat="1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3" fontId="7" fillId="0" borderId="5" xfId="3" applyNumberFormat="1" applyFont="1" applyBorder="1" applyAlignment="1">
      <alignment horizontal="center" vertical="center"/>
    </xf>
    <xf numFmtId="49" fontId="10" fillId="10" borderId="1" xfId="2" applyNumberFormat="1" applyFont="1" applyFill="1" applyBorder="1" applyAlignment="1">
      <alignment horizontal="center" vertical="center" wrapText="1"/>
    </xf>
    <xf numFmtId="43" fontId="22" fillId="0" borderId="5" xfId="3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 wrapText="1"/>
    </xf>
    <xf numFmtId="2" fontId="22" fillId="0" borderId="1" xfId="2" applyNumberFormat="1" applyFont="1" applyBorder="1" applyAlignment="1">
      <alignment horizontal="center" vertical="center" wrapText="1"/>
    </xf>
    <xf numFmtId="4" fontId="10" fillId="2" borderId="1" xfId="2" applyNumberFormat="1" applyFont="1" applyFill="1" applyBorder="1" applyAlignment="1">
      <alignment horizontal="center" vertical="center"/>
    </xf>
    <xf numFmtId="0" fontId="48" fillId="0" borderId="1" xfId="2" applyFont="1" applyBorder="1" applyAlignment="1">
      <alignment vertical="top" wrapText="1"/>
    </xf>
    <xf numFmtId="0" fontId="13" fillId="0" borderId="1" xfId="2" applyFont="1" applyBorder="1" applyAlignment="1">
      <alignment horizontal="center" vertical="top" wrapText="1"/>
    </xf>
    <xf numFmtId="4" fontId="13" fillId="0" borderId="1" xfId="2" applyNumberFormat="1" applyFont="1" applyBorder="1" applyAlignment="1">
      <alignment horizontal="center" vertical="top" wrapText="1"/>
    </xf>
    <xf numFmtId="4" fontId="8" fillId="2" borderId="1" xfId="2" applyNumberFormat="1" applyFont="1" applyFill="1" applyBorder="1" applyAlignment="1">
      <alignment horizontal="center" vertical="center" wrapText="1"/>
    </xf>
    <xf numFmtId="0" fontId="13" fillId="0" borderId="1" xfId="2" applyFont="1" applyBorder="1"/>
    <xf numFmtId="49" fontId="10" fillId="5" borderId="3" xfId="2" applyNumberFormat="1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left" vertical="center" wrapText="1"/>
    </xf>
    <xf numFmtId="2" fontId="10" fillId="5" borderId="3" xfId="2" applyNumberFormat="1" applyFont="1" applyFill="1" applyBorder="1" applyAlignment="1">
      <alignment horizontal="center" vertical="center" wrapText="1"/>
    </xf>
    <xf numFmtId="165" fontId="10" fillId="5" borderId="3" xfId="2" applyNumberFormat="1" applyFont="1" applyFill="1" applyBorder="1" applyAlignment="1">
      <alignment horizontal="center" vertical="center" wrapText="1"/>
    </xf>
    <xf numFmtId="43" fontId="5" fillId="5" borderId="4" xfId="3" applyNumberFormat="1" applyFont="1" applyFill="1" applyBorder="1" applyAlignment="1">
      <alignment horizontal="center" vertical="center"/>
    </xf>
    <xf numFmtId="43" fontId="22" fillId="5" borderId="11" xfId="3" applyNumberFormat="1" applyFont="1" applyFill="1" applyBorder="1" applyAlignment="1">
      <alignment horizontal="center" vertical="center"/>
    </xf>
    <xf numFmtId="43" fontId="9" fillId="5" borderId="12" xfId="3" applyNumberFormat="1" applyFont="1" applyFill="1" applyBorder="1" applyAlignment="1">
      <alignment vertical="center"/>
    </xf>
    <xf numFmtId="0" fontId="51" fillId="0" borderId="1" xfId="2" applyFont="1" applyBorder="1"/>
    <xf numFmtId="43" fontId="10" fillId="0" borderId="1" xfId="3" applyNumberFormat="1" applyFont="1" applyBorder="1" applyAlignment="1">
      <alignment horizontal="center" vertical="center" wrapText="1"/>
    </xf>
    <xf numFmtId="0" fontId="52" fillId="0" borderId="1" xfId="2" applyFont="1" applyBorder="1"/>
    <xf numFmtId="0" fontId="52" fillId="0" borderId="1" xfId="2" applyFont="1" applyBorder="1" applyAlignment="1">
      <alignment wrapText="1"/>
    </xf>
    <xf numFmtId="49" fontId="12" fillId="5" borderId="0" xfId="2" applyNumberFormat="1" applyFont="1" applyFill="1"/>
    <xf numFmtId="0" fontId="7" fillId="5" borderId="0" xfId="2" applyFill="1"/>
    <xf numFmtId="0" fontId="7" fillId="5" borderId="0" xfId="2" applyFill="1" applyAlignment="1">
      <alignment horizontal="center"/>
    </xf>
    <xf numFmtId="0" fontId="9" fillId="5" borderId="13" xfId="2" applyFont="1" applyFill="1" applyBorder="1" applyAlignment="1">
      <alignment horizontal="center" vertical="center"/>
    </xf>
    <xf numFmtId="171" fontId="9" fillId="5" borderId="14" xfId="2" applyNumberFormat="1" applyFont="1" applyFill="1" applyBorder="1" applyAlignment="1">
      <alignment horizontal="center" vertical="center"/>
    </xf>
    <xf numFmtId="49" fontId="12" fillId="6" borderId="0" xfId="2" applyNumberFormat="1" applyFont="1" applyFill="1"/>
    <xf numFmtId="0" fontId="7" fillId="6" borderId="0" xfId="2" applyFill="1"/>
    <xf numFmtId="0" fontId="7" fillId="6" borderId="0" xfId="2" applyFill="1" applyAlignment="1">
      <alignment horizontal="center"/>
    </xf>
    <xf numFmtId="4" fontId="53" fillId="0" borderId="1" xfId="0" applyNumberFormat="1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1" fontId="53" fillId="0" borderId="1" xfId="0" applyNumberFormat="1" applyFont="1" applyBorder="1" applyAlignment="1">
      <alignment horizontal="center" vertical="top" wrapText="1"/>
    </xf>
    <xf numFmtId="0" fontId="53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5" fillId="0" borderId="1" xfId="8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4" fontId="5" fillId="0" borderId="1" xfId="9" applyNumberFormat="1" applyFont="1" applyBorder="1" applyAlignment="1">
      <alignment horizontal="center" vertical="center" wrapText="1"/>
    </xf>
    <xf numFmtId="4" fontId="5" fillId="0" borderId="1" xfId="10" applyNumberFormat="1" applyFont="1" applyBorder="1" applyAlignment="1">
      <alignment horizontal="center" vertical="center" wrapText="1"/>
    </xf>
    <xf numFmtId="4" fontId="5" fillId="0" borderId="1" xfId="11" applyNumberFormat="1" applyFont="1" applyBorder="1" applyAlignment="1">
      <alignment horizontal="center" vertical="center" wrapText="1"/>
    </xf>
    <xf numFmtId="4" fontId="5" fillId="0" borderId="1" xfId="12" applyNumberFormat="1" applyFont="1" applyBorder="1" applyAlignment="1">
      <alignment horizontal="center" vertical="center" wrapText="1"/>
    </xf>
    <xf numFmtId="4" fontId="5" fillId="0" borderId="1" xfId="13" applyNumberFormat="1" applyFont="1" applyBorder="1" applyAlignment="1">
      <alignment horizontal="center" vertical="center" wrapText="1"/>
    </xf>
    <xf numFmtId="4" fontId="5" fillId="0" borderId="1" xfId="14" applyNumberFormat="1" applyFont="1" applyBorder="1" applyAlignment="1">
      <alignment horizontal="center" vertical="center" wrapText="1"/>
    </xf>
    <xf numFmtId="4" fontId="5" fillId="0" borderId="1" xfId="15" applyNumberFormat="1" applyFont="1" applyBorder="1" applyAlignment="1">
      <alignment horizontal="center" vertical="center" wrapText="1"/>
    </xf>
    <xf numFmtId="4" fontId="5" fillId="0" borderId="1" xfId="16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172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" fontId="5" fillId="0" borderId="1" xfId="17" applyNumberFormat="1" applyFont="1" applyBorder="1" applyAlignment="1">
      <alignment horizontal="center" vertical="center" wrapText="1"/>
    </xf>
    <xf numFmtId="49" fontId="6" fillId="0" borderId="1" xfId="18" applyNumberFormat="1" applyFont="1" applyBorder="1" applyAlignment="1">
      <alignment vertical="center" wrapText="1"/>
    </xf>
    <xf numFmtId="4" fontId="5" fillId="0" borderId="1" xfId="19" applyNumberFormat="1" applyFont="1" applyBorder="1" applyAlignment="1">
      <alignment horizontal="center" vertical="center" wrapText="1"/>
    </xf>
    <xf numFmtId="49" fontId="6" fillId="0" borderId="1" xfId="20" applyNumberFormat="1" applyFont="1" applyBorder="1" applyAlignment="1">
      <alignment vertical="center" wrapText="1"/>
    </xf>
    <xf numFmtId="49" fontId="6" fillId="0" borderId="1" xfId="21" applyNumberFormat="1" applyFont="1" applyBorder="1" applyAlignment="1">
      <alignment vertical="center" wrapText="1"/>
    </xf>
    <xf numFmtId="4" fontId="5" fillId="0" borderId="1" xfId="22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vertical="center" wrapText="1"/>
    </xf>
    <xf numFmtId="4" fontId="20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3" fontId="6" fillId="0" borderId="1" xfId="0" applyNumberFormat="1" applyFont="1" applyBorder="1" applyAlignment="1">
      <alignment horizontal="center" vertical="center" wrapText="1"/>
    </xf>
    <xf numFmtId="0" fontId="5" fillId="0" borderId="1" xfId="23" applyFont="1" applyBorder="1"/>
    <xf numFmtId="0" fontId="5" fillId="0" borderId="1" xfId="23" applyFont="1" applyBorder="1" applyAlignment="1">
      <alignment horizontal="center" vertical="center"/>
    </xf>
    <xf numFmtId="4" fontId="5" fillId="0" borderId="1" xfId="23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49" fontId="6" fillId="0" borderId="1" xfId="24" applyNumberFormat="1" applyFont="1" applyBorder="1" applyAlignment="1">
      <alignment vertical="center" wrapText="1"/>
    </xf>
    <xf numFmtId="4" fontId="6" fillId="0" borderId="1" xfId="2" applyNumberFormat="1" applyFont="1" applyBorder="1" applyAlignment="1">
      <alignment horizontal="center" vertical="center" wrapText="1"/>
    </xf>
    <xf numFmtId="0" fontId="5" fillId="0" borderId="1" xfId="25" applyFont="1" applyBorder="1" applyAlignment="1">
      <alignment vertical="center" wrapText="1"/>
    </xf>
    <xf numFmtId="4" fontId="5" fillId="0" borderId="1" xfId="26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4" fontId="5" fillId="0" borderId="1" xfId="27" applyNumberFormat="1" applyFont="1" applyBorder="1" applyAlignment="1">
      <alignment horizontal="center" vertical="center" wrapText="1"/>
    </xf>
    <xf numFmtId="4" fontId="5" fillId="0" borderId="1" xfId="28" applyNumberFormat="1" applyFont="1" applyBorder="1" applyAlignment="1">
      <alignment horizontal="center" vertical="center" wrapText="1"/>
    </xf>
    <xf numFmtId="4" fontId="5" fillId="0" borderId="1" xfId="29" applyNumberFormat="1" applyFont="1" applyBorder="1" applyAlignment="1">
      <alignment horizontal="center" vertical="center" wrapText="1"/>
    </xf>
    <xf numFmtId="4" fontId="5" fillId="0" borderId="1" xfId="30" applyNumberFormat="1" applyFont="1" applyBorder="1" applyAlignment="1">
      <alignment horizontal="center" vertical="center" wrapText="1"/>
    </xf>
    <xf numFmtId="4" fontId="5" fillId="0" borderId="1" xfId="31" applyNumberFormat="1" applyFont="1" applyBorder="1" applyAlignment="1">
      <alignment horizontal="center" vertical="center" wrapText="1"/>
    </xf>
    <xf numFmtId="4" fontId="5" fillId="0" borderId="1" xfId="32" applyNumberFormat="1" applyFont="1" applyBorder="1" applyAlignment="1">
      <alignment horizontal="center" vertical="center" wrapText="1"/>
    </xf>
    <xf numFmtId="4" fontId="5" fillId="0" borderId="1" xfId="33" applyNumberFormat="1" applyFont="1" applyBorder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16" fontId="6" fillId="0" borderId="1" xfId="0" applyNumberFormat="1" applyFont="1" applyBorder="1" applyAlignment="1">
      <alignment horizontal="center"/>
    </xf>
    <xf numFmtId="4" fontId="56" fillId="0" borderId="1" xfId="0" applyNumberFormat="1" applyFont="1" applyBorder="1" applyAlignment="1">
      <alignment horizontal="left" vertical="center" wrapText="1"/>
    </xf>
    <xf numFmtId="0" fontId="6" fillId="0" borderId="1" xfId="34" applyFont="1" applyBorder="1" applyAlignment="1">
      <alignment horizontal="center" vertical="center" wrapText="1"/>
    </xf>
    <xf numFmtId="1" fontId="54" fillId="0" borderId="1" xfId="34" applyNumberFormat="1" applyBorder="1" applyAlignment="1">
      <alignment horizontal="center" vertical="center" shrinkToFit="1"/>
    </xf>
    <xf numFmtId="4" fontId="6" fillId="0" borderId="1" xfId="35" applyNumberFormat="1" applyFont="1" applyBorder="1" applyAlignment="1">
      <alignment horizontal="center" vertical="center" wrapText="1"/>
    </xf>
    <xf numFmtId="4" fontId="54" fillId="0" borderId="15" xfId="0" applyNumberFormat="1" applyFont="1" applyBorder="1" applyAlignment="1">
      <alignment horizontal="center" vertical="center" shrinkToFit="1"/>
    </xf>
    <xf numFmtId="0" fontId="6" fillId="0" borderId="1" xfId="36" applyFont="1" applyBorder="1" applyAlignment="1">
      <alignment horizontal="center" vertical="center" wrapText="1"/>
    </xf>
    <xf numFmtId="1" fontId="54" fillId="0" borderId="1" xfId="36" applyNumberFormat="1" applyBorder="1" applyAlignment="1">
      <alignment horizontal="center" vertical="center" shrinkToFit="1"/>
    </xf>
    <xf numFmtId="4" fontId="6" fillId="0" borderId="1" xfId="37" applyNumberFormat="1" applyFont="1" applyBorder="1" applyAlignment="1">
      <alignment horizontal="center" vertical="center"/>
    </xf>
    <xf numFmtId="4" fontId="6" fillId="0" borderId="1" xfId="38" applyNumberFormat="1" applyFont="1" applyBorder="1" applyAlignment="1">
      <alignment horizontal="center" vertical="center"/>
    </xf>
    <xf numFmtId="4" fontId="6" fillId="0" borderId="1" xfId="39" applyNumberFormat="1" applyFont="1" applyBorder="1" applyAlignment="1">
      <alignment horizontal="center" vertical="center"/>
    </xf>
    <xf numFmtId="4" fontId="54" fillId="0" borderId="15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40" applyFont="1" applyBorder="1" applyAlignment="1">
      <alignment vertical="center" wrapText="1"/>
    </xf>
    <xf numFmtId="16" fontId="5" fillId="0" borderId="1" xfId="0" applyNumberFormat="1" applyFont="1" applyBorder="1" applyAlignment="1">
      <alignment horizontal="center"/>
    </xf>
    <xf numFmtId="0" fontId="5" fillId="0" borderId="1" xfId="41" applyFont="1" applyBorder="1" applyAlignment="1">
      <alignment vertical="center" wrapText="1"/>
    </xf>
    <xf numFmtId="0" fontId="5" fillId="0" borderId="1" xfId="41" applyFont="1" applyBorder="1" applyAlignment="1">
      <alignment horizontal="center" vertical="center" wrapText="1"/>
    </xf>
    <xf numFmtId="4" fontId="5" fillId="0" borderId="1" xfId="41" applyNumberFormat="1" applyFont="1" applyBorder="1" applyAlignment="1">
      <alignment horizontal="center" vertical="center" wrapText="1"/>
    </xf>
    <xf numFmtId="0" fontId="5" fillId="0" borderId="1" xfId="42" applyFont="1" applyBorder="1" applyAlignment="1">
      <alignment vertical="center" wrapText="1"/>
    </xf>
    <xf numFmtId="0" fontId="5" fillId="0" borderId="1" xfId="42" applyFont="1" applyBorder="1" applyAlignment="1">
      <alignment horizontal="center" vertical="center" wrapText="1"/>
    </xf>
    <xf numFmtId="4" fontId="5" fillId="0" borderId="1" xfId="43" applyNumberFormat="1" applyFont="1" applyBorder="1" applyAlignment="1">
      <alignment horizontal="center" vertical="center" wrapText="1"/>
    </xf>
    <xf numFmtId="4" fontId="5" fillId="0" borderId="1" xfId="44" applyNumberFormat="1" applyFont="1" applyBorder="1" applyAlignment="1">
      <alignment horizontal="center" vertical="center" wrapText="1"/>
    </xf>
    <xf numFmtId="0" fontId="5" fillId="0" borderId="1" xfId="45" applyFont="1" applyBorder="1" applyAlignment="1">
      <alignment vertical="center" wrapText="1"/>
    </xf>
    <xf numFmtId="4" fontId="5" fillId="0" borderId="1" xfId="46" applyNumberFormat="1" applyFont="1" applyBorder="1" applyAlignment="1">
      <alignment horizontal="center" vertical="center" wrapText="1"/>
    </xf>
    <xf numFmtId="0" fontId="5" fillId="0" borderId="1" xfId="47" applyFont="1" applyBorder="1" applyAlignment="1">
      <alignment vertical="center" wrapText="1"/>
    </xf>
    <xf numFmtId="4" fontId="5" fillId="0" borderId="1" xfId="48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7" fillId="0" borderId="0" xfId="19"/>
    <xf numFmtId="4" fontId="4" fillId="3" borderId="1" xfId="19" applyNumberFormat="1" applyFont="1" applyFill="1" applyBorder="1" applyAlignment="1">
      <alignment horizontal="center" vertical="center" wrapText="1"/>
    </xf>
    <xf numFmtId="49" fontId="8" fillId="5" borderId="1" xfId="19" applyNumberFormat="1" applyFont="1" applyFill="1" applyBorder="1" applyAlignment="1">
      <alignment horizontal="center" vertical="center" wrapText="1"/>
    </xf>
    <xf numFmtId="0" fontId="8" fillId="5" borderId="1" xfId="19" applyFont="1" applyFill="1" applyBorder="1" applyAlignment="1">
      <alignment vertical="center" wrapText="1"/>
    </xf>
    <xf numFmtId="0" fontId="21" fillId="5" borderId="1" xfId="19" applyFont="1" applyFill="1" applyBorder="1" applyAlignment="1">
      <alignment horizontal="center" vertical="center" wrapText="1"/>
    </xf>
    <xf numFmtId="165" fontId="21" fillId="5" borderId="1" xfId="19" applyNumberFormat="1" applyFont="1" applyFill="1" applyBorder="1" applyAlignment="1">
      <alignment horizontal="center" vertical="center" wrapText="1"/>
    </xf>
    <xf numFmtId="49" fontId="8" fillId="2" borderId="1" xfId="19" applyNumberFormat="1" applyFont="1" applyFill="1" applyBorder="1" applyAlignment="1">
      <alignment horizontal="center" vertical="center" wrapText="1"/>
    </xf>
    <xf numFmtId="0" fontId="8" fillId="2" borderId="1" xfId="19" applyFont="1" applyFill="1" applyBorder="1" applyAlignment="1">
      <alignment horizontal="left" vertical="center" wrapText="1"/>
    </xf>
    <xf numFmtId="2" fontId="8" fillId="2" borderId="1" xfId="19" applyNumberFormat="1" applyFont="1" applyFill="1" applyBorder="1" applyAlignment="1">
      <alignment horizontal="center" vertical="center" wrapText="1"/>
    </xf>
    <xf numFmtId="165" fontId="8" fillId="2" borderId="1" xfId="19" applyNumberFormat="1" applyFont="1" applyFill="1" applyBorder="1" applyAlignment="1">
      <alignment horizontal="center" vertical="center" wrapText="1"/>
    </xf>
    <xf numFmtId="0" fontId="9" fillId="0" borderId="0" xfId="19" applyFont="1"/>
    <xf numFmtId="49" fontId="10" fillId="0" borderId="1" xfId="19" applyNumberFormat="1" applyFont="1" applyBorder="1" applyAlignment="1">
      <alignment horizontal="center" vertical="center" wrapText="1"/>
    </xf>
    <xf numFmtId="0" fontId="14" fillId="0" borderId="1" xfId="19" applyFont="1" applyBorder="1" applyAlignment="1">
      <alignment horizontal="left" vertical="center" wrapText="1"/>
    </xf>
    <xf numFmtId="2" fontId="10" fillId="0" borderId="1" xfId="19" applyNumberFormat="1" applyFont="1" applyBorder="1" applyAlignment="1">
      <alignment horizontal="center" vertical="center" wrapText="1"/>
    </xf>
    <xf numFmtId="165" fontId="10" fillId="2" borderId="1" xfId="19" applyNumberFormat="1" applyFont="1" applyFill="1" applyBorder="1" applyAlignment="1">
      <alignment horizontal="center" vertical="center" wrapText="1"/>
    </xf>
    <xf numFmtId="49" fontId="10" fillId="2" borderId="1" xfId="19" applyNumberFormat="1" applyFont="1" applyFill="1" applyBorder="1" applyAlignment="1">
      <alignment horizontal="center" vertical="center" wrapText="1"/>
    </xf>
    <xf numFmtId="0" fontId="10" fillId="2" borderId="1" xfId="19" applyFont="1" applyFill="1" applyBorder="1" applyAlignment="1">
      <alignment horizontal="left" vertical="center" wrapText="1"/>
    </xf>
    <xf numFmtId="2" fontId="10" fillId="2" borderId="1" xfId="19" applyNumberFormat="1" applyFont="1" applyFill="1" applyBorder="1" applyAlignment="1">
      <alignment horizontal="center" vertical="center" wrapText="1"/>
    </xf>
    <xf numFmtId="0" fontId="14" fillId="2" borderId="1" xfId="19" applyFont="1" applyFill="1" applyBorder="1" applyAlignment="1">
      <alignment horizontal="left" vertical="center" wrapText="1"/>
    </xf>
    <xf numFmtId="49" fontId="8" fillId="0" borderId="1" xfId="19" applyNumberFormat="1" applyFont="1" applyBorder="1" applyAlignment="1">
      <alignment horizontal="center" vertical="center" wrapText="1"/>
    </xf>
    <xf numFmtId="0" fontId="8" fillId="0" borderId="1" xfId="19" applyFont="1" applyBorder="1" applyAlignment="1">
      <alignment horizontal="left" vertical="center" wrapText="1"/>
    </xf>
    <xf numFmtId="2" fontId="8" fillId="0" borderId="1" xfId="19" applyNumberFormat="1" applyFont="1" applyBorder="1" applyAlignment="1">
      <alignment horizontal="center" vertical="center" wrapText="1"/>
    </xf>
    <xf numFmtId="0" fontId="15" fillId="2" borderId="1" xfId="19" applyFont="1" applyFill="1" applyBorder="1" applyAlignment="1">
      <alignment horizontal="left" vertical="center" wrapText="1"/>
    </xf>
    <xf numFmtId="49" fontId="10" fillId="0" borderId="2" xfId="19" applyNumberFormat="1" applyFont="1" applyBorder="1" applyAlignment="1">
      <alignment horizontal="center" vertical="center" wrapText="1"/>
    </xf>
    <xf numFmtId="0" fontId="13" fillId="0" borderId="1" xfId="19" applyFont="1" applyBorder="1"/>
    <xf numFmtId="0" fontId="13" fillId="0" borderId="1" xfId="19" applyFont="1" applyBorder="1" applyAlignment="1">
      <alignment horizontal="center"/>
    </xf>
    <xf numFmtId="0" fontId="10" fillId="0" borderId="1" xfId="19" applyFont="1" applyBorder="1" applyAlignment="1">
      <alignment horizontal="center"/>
    </xf>
    <xf numFmtId="43" fontId="5" fillId="0" borderId="8" xfId="3" applyNumberFormat="1" applyFont="1" applyBorder="1" applyAlignment="1">
      <alignment horizontal="center" vertical="center"/>
    </xf>
    <xf numFmtId="2" fontId="10" fillId="2" borderId="3" xfId="19" applyNumberFormat="1" applyFont="1" applyFill="1" applyBorder="1" applyAlignment="1">
      <alignment horizontal="center" vertical="center" wrapText="1"/>
    </xf>
    <xf numFmtId="165" fontId="10" fillId="2" borderId="3" xfId="19" applyNumberFormat="1" applyFont="1" applyFill="1" applyBorder="1" applyAlignment="1">
      <alignment horizontal="center" vertical="center" wrapText="1"/>
    </xf>
    <xf numFmtId="0" fontId="8" fillId="2" borderId="3" xfId="19" applyFont="1" applyFill="1" applyBorder="1" applyAlignment="1">
      <alignment horizontal="left" vertical="center" wrapText="1"/>
    </xf>
    <xf numFmtId="2" fontId="11" fillId="2" borderId="1" xfId="19" applyNumberFormat="1" applyFont="1" applyFill="1" applyBorder="1" applyAlignment="1">
      <alignment horizontal="center" vertical="center" wrapText="1"/>
    </xf>
    <xf numFmtId="165" fontId="11" fillId="2" borderId="1" xfId="19" applyNumberFormat="1" applyFont="1" applyFill="1" applyBorder="1" applyAlignment="1">
      <alignment horizontal="center" vertical="center" wrapText="1"/>
    </xf>
    <xf numFmtId="49" fontId="10" fillId="10" borderId="1" xfId="19" applyNumberFormat="1" applyFont="1" applyFill="1" applyBorder="1" applyAlignment="1">
      <alignment horizontal="center" vertical="center" wrapText="1"/>
    </xf>
    <xf numFmtId="0" fontId="8" fillId="2" borderId="1" xfId="19" applyFont="1" applyFill="1" applyBorder="1" applyAlignment="1">
      <alignment vertical="center" wrapText="1"/>
    </xf>
    <xf numFmtId="0" fontId="8" fillId="2" borderId="1" xfId="19" applyFont="1" applyFill="1" applyBorder="1" applyAlignment="1">
      <alignment horizontal="center" vertical="center" wrapText="1"/>
    </xf>
    <xf numFmtId="0" fontId="10" fillId="2" borderId="1" xfId="19" applyFont="1" applyFill="1" applyBorder="1" applyAlignment="1">
      <alignment horizontal="center" vertical="center" wrapText="1"/>
    </xf>
    <xf numFmtId="0" fontId="10" fillId="2" borderId="1" xfId="19" applyFont="1" applyFill="1" applyBorder="1" applyAlignment="1">
      <alignment vertical="center" wrapText="1"/>
    </xf>
    <xf numFmtId="0" fontId="10" fillId="2" borderId="1" xfId="19" applyFont="1" applyFill="1" applyBorder="1" applyAlignment="1">
      <alignment horizontal="left" vertical="top" wrapText="1"/>
    </xf>
    <xf numFmtId="49" fontId="10" fillId="0" borderId="5" xfId="19" applyNumberFormat="1" applyFont="1" applyBorder="1" applyAlignment="1">
      <alignment horizontal="center" vertical="center" wrapText="1"/>
    </xf>
    <xf numFmtId="171" fontId="9" fillId="5" borderId="10" xfId="19" applyNumberFormat="1" applyFont="1" applyFill="1" applyBorder="1" applyAlignment="1">
      <alignment horizontal="center" vertical="center"/>
    </xf>
    <xf numFmtId="49" fontId="12" fillId="0" borderId="0" xfId="19" applyNumberFormat="1" applyFont="1"/>
    <xf numFmtId="0" fontId="7" fillId="0" borderId="0" xfId="19" applyAlignment="1">
      <alignment horizontal="center"/>
    </xf>
    <xf numFmtId="0" fontId="5" fillId="0" borderId="0" xfId="19" applyFont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21" fillId="5" borderId="1" xfId="0" applyNumberFormat="1" applyFont="1" applyFill="1" applyBorder="1" applyAlignment="1">
      <alignment horizontal="center" vertical="center" wrapText="1"/>
    </xf>
    <xf numFmtId="43" fontId="13" fillId="5" borderId="1" xfId="3" applyNumberFormat="1" applyFont="1" applyFill="1" applyBorder="1" applyAlignment="1">
      <alignment vertical="center"/>
    </xf>
    <xf numFmtId="43" fontId="13" fillId="5" borderId="1" xfId="3" applyNumberFormat="1" applyFont="1" applyFill="1" applyBorder="1"/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4" fontId="22" fillId="3" borderId="1" xfId="0" applyNumberFormat="1" applyFont="1" applyFill="1" applyBorder="1" applyAlignment="1">
      <alignment vertical="center" wrapText="1"/>
    </xf>
    <xf numFmtId="4" fontId="22" fillId="3" borderId="1" xfId="0" applyNumberFormat="1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43" fontId="13" fillId="0" borderId="1" xfId="49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3" fontId="20" fillId="0" borderId="1" xfId="49" applyNumberFormat="1" applyFont="1" applyFill="1" applyBorder="1" applyAlignment="1">
      <alignment horizontal="center" vertical="center" wrapText="1"/>
    </xf>
    <xf numFmtId="43" fontId="8" fillId="0" borderId="1" xfId="49" applyNumberFormat="1" applyFont="1" applyFill="1" applyBorder="1" applyAlignment="1">
      <alignment horizontal="center" vertical="center" wrapText="1"/>
    </xf>
    <xf numFmtId="43" fontId="2" fillId="0" borderId="5" xfId="49" applyNumberFormat="1" applyFont="1" applyBorder="1" applyAlignment="1">
      <alignment horizontal="center" vertical="center"/>
    </xf>
    <xf numFmtId="43" fontId="5" fillId="0" borderId="1" xfId="49" applyNumberFormat="1" applyFont="1" applyBorder="1" applyAlignment="1">
      <alignment horizontal="center" vertical="center"/>
    </xf>
    <xf numFmtId="43" fontId="13" fillId="0" borderId="5" xfId="49" applyNumberFormat="1" applyFont="1" applyBorder="1" applyAlignment="1">
      <alignment horizontal="center" vertical="center"/>
    </xf>
    <xf numFmtId="4" fontId="4" fillId="0" borderId="1" xfId="49" applyNumberFormat="1" applyFont="1" applyBorder="1" applyAlignment="1">
      <alignment horizontal="center" vertical="center"/>
    </xf>
    <xf numFmtId="4" fontId="5" fillId="0" borderId="1" xfId="49" applyNumberFormat="1" applyFont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2" fontId="20" fillId="2" borderId="1" xfId="0" applyNumberFormat="1" applyFont="1" applyFill="1" applyBorder="1" applyAlignment="1">
      <alignment horizontal="center" vertical="center" wrapText="1"/>
    </xf>
    <xf numFmtId="4" fontId="40" fillId="0" borderId="1" xfId="49" applyNumberFormat="1" applyFont="1" applyBorder="1"/>
    <xf numFmtId="0" fontId="40" fillId="0" borderId="0" xfId="0" applyFont="1"/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4" fontId="39" fillId="0" borderId="1" xfId="49" applyNumberFormat="1" applyFont="1" applyBorder="1"/>
    <xf numFmtId="0" fontId="58" fillId="0" borderId="0" xfId="0" applyFont="1"/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50"/>
    <xf numFmtId="4" fontId="22" fillId="3" borderId="1" xfId="50" applyNumberFormat="1" applyFont="1" applyFill="1" applyBorder="1" applyAlignment="1">
      <alignment horizontal="center" vertical="center" wrapText="1"/>
    </xf>
    <xf numFmtId="4" fontId="4" fillId="3" borderId="1" xfId="50" applyNumberFormat="1" applyFont="1" applyFill="1" applyBorder="1" applyAlignment="1">
      <alignment horizontal="center" vertical="center" wrapText="1"/>
    </xf>
    <xf numFmtId="0" fontId="24" fillId="0" borderId="0" xfId="50" applyFont="1"/>
    <xf numFmtId="49" fontId="8" fillId="5" borderId="1" xfId="50" applyNumberFormat="1" applyFont="1" applyFill="1" applyBorder="1" applyAlignment="1">
      <alignment horizontal="center" vertical="center" wrapText="1"/>
    </xf>
    <xf numFmtId="0" fontId="8" fillId="5" borderId="1" xfId="50" applyFont="1" applyFill="1" applyBorder="1" applyAlignment="1">
      <alignment vertical="center" wrapText="1"/>
    </xf>
    <xf numFmtId="0" fontId="21" fillId="5" borderId="1" xfId="50" applyFont="1" applyFill="1" applyBorder="1" applyAlignment="1">
      <alignment horizontal="center" vertical="center" wrapText="1"/>
    </xf>
    <xf numFmtId="165" fontId="21" fillId="5" borderId="1" xfId="50" applyNumberFormat="1" applyFont="1" applyFill="1" applyBorder="1" applyAlignment="1">
      <alignment horizontal="center" vertical="center" wrapText="1"/>
    </xf>
    <xf numFmtId="43" fontId="13" fillId="5" borderId="1" xfId="51" applyNumberFormat="1" applyFont="1" applyFill="1" applyBorder="1" applyAlignment="1">
      <alignment horizontal="center" vertical="center"/>
    </xf>
    <xf numFmtId="43" fontId="2" fillId="5" borderId="1" xfId="51" applyNumberFormat="1" applyFont="1" applyFill="1" applyBorder="1"/>
    <xf numFmtId="170" fontId="9" fillId="5" borderId="10" xfId="50" applyNumberFormat="1" applyFont="1" applyFill="1" applyBorder="1" applyAlignment="1">
      <alignment horizontal="center" vertical="center"/>
    </xf>
    <xf numFmtId="49" fontId="8" fillId="2" borderId="1" xfId="50" applyNumberFormat="1" applyFont="1" applyFill="1" applyBorder="1" applyAlignment="1">
      <alignment horizontal="center" vertical="center" wrapText="1"/>
    </xf>
    <xf numFmtId="0" fontId="17" fillId="0" borderId="1" xfId="50" applyFont="1" applyBorder="1" applyAlignment="1">
      <alignment horizontal="left" vertical="center" wrapText="1"/>
    </xf>
    <xf numFmtId="2" fontId="17" fillId="0" borderId="1" xfId="50" applyNumberFormat="1" applyFont="1" applyBorder="1" applyAlignment="1">
      <alignment horizontal="center" vertical="center" wrapText="1"/>
    </xf>
    <xf numFmtId="4" fontId="17" fillId="0" borderId="1" xfId="50" applyNumberFormat="1" applyFont="1" applyBorder="1" applyAlignment="1">
      <alignment horizontal="center" vertical="center" wrapText="1"/>
    </xf>
    <xf numFmtId="169" fontId="17" fillId="0" borderId="1" xfId="50" applyNumberFormat="1" applyFont="1" applyBorder="1" applyAlignment="1">
      <alignment horizontal="center" vertical="center"/>
    </xf>
    <xf numFmtId="43" fontId="31" fillId="0" borderId="1" xfId="51" applyNumberFormat="1" applyFont="1" applyBorder="1"/>
    <xf numFmtId="49" fontId="10" fillId="2" borderId="1" xfId="50" applyNumberFormat="1" applyFont="1" applyFill="1" applyBorder="1" applyAlignment="1">
      <alignment horizontal="center" vertical="center" wrapText="1"/>
    </xf>
    <xf numFmtId="0" fontId="16" fillId="0" borderId="1" xfId="50" applyFont="1" applyBorder="1" applyAlignment="1">
      <alignment horizontal="left" vertical="center" wrapText="1"/>
    </xf>
    <xf numFmtId="2" fontId="16" fillId="0" borderId="1" xfId="50" applyNumberFormat="1" applyFont="1" applyBorder="1" applyAlignment="1">
      <alignment horizontal="center" vertical="center" wrapText="1"/>
    </xf>
    <xf numFmtId="3" fontId="16" fillId="0" borderId="1" xfId="50" applyNumberFormat="1" applyFont="1" applyBorder="1" applyAlignment="1">
      <alignment horizontal="center" vertical="center" wrapText="1"/>
    </xf>
    <xf numFmtId="43" fontId="16" fillId="0" borderId="1" xfId="51" applyNumberFormat="1" applyFont="1" applyFill="1" applyBorder="1" applyAlignment="1">
      <alignment horizontal="center" vertical="center" wrapText="1"/>
    </xf>
    <xf numFmtId="169" fontId="16" fillId="0" borderId="1" xfId="50" applyNumberFormat="1" applyFont="1" applyBorder="1" applyAlignment="1">
      <alignment horizontal="center" vertical="center"/>
    </xf>
    <xf numFmtId="165" fontId="10" fillId="2" borderId="5" xfId="50" applyNumberFormat="1" applyFont="1" applyFill="1" applyBorder="1" applyAlignment="1">
      <alignment horizontal="center" vertical="center" wrapText="1"/>
    </xf>
    <xf numFmtId="43" fontId="47" fillId="0" borderId="1" xfId="51" applyNumberFormat="1" applyFont="1" applyBorder="1"/>
    <xf numFmtId="4" fontId="16" fillId="0" borderId="1" xfId="50" applyNumberFormat="1" applyFont="1" applyBorder="1" applyAlignment="1">
      <alignment horizontal="center" vertical="center" wrapText="1"/>
    </xf>
    <xf numFmtId="43" fontId="16" fillId="0" borderId="8" xfId="51" applyNumberFormat="1" applyFont="1" applyFill="1" applyBorder="1" applyAlignment="1">
      <alignment horizontal="center" vertical="center" wrapText="1"/>
    </xf>
    <xf numFmtId="2" fontId="10" fillId="2" borderId="5" xfId="50" applyNumberFormat="1" applyFont="1" applyFill="1" applyBorder="1" applyAlignment="1">
      <alignment horizontal="center" vertical="center" wrapText="1"/>
    </xf>
    <xf numFmtId="0" fontId="48" fillId="0" borderId="1" xfId="50" applyFont="1" applyBorder="1" applyAlignment="1">
      <alignment horizontal="left"/>
    </xf>
    <xf numFmtId="0" fontId="48" fillId="0" borderId="1" xfId="50" applyFont="1" applyBorder="1" applyAlignment="1">
      <alignment horizontal="center"/>
    </xf>
    <xf numFmtId="2" fontId="16" fillId="2" borderId="5" xfId="50" applyNumberFormat="1" applyFont="1" applyFill="1" applyBorder="1" applyAlignment="1">
      <alignment horizontal="center" vertical="center" wrapText="1"/>
    </xf>
    <xf numFmtId="43" fontId="48" fillId="0" borderId="1" xfId="51" applyNumberFormat="1" applyFont="1" applyBorder="1"/>
    <xf numFmtId="0" fontId="48" fillId="0" borderId="0" xfId="50" applyFont="1" applyAlignment="1">
      <alignment wrapText="1"/>
    </xf>
    <xf numFmtId="43" fontId="2" fillId="0" borderId="1" xfId="51" applyNumberFormat="1" applyFont="1" applyBorder="1"/>
    <xf numFmtId="165" fontId="16" fillId="2" borderId="5" xfId="50" applyNumberFormat="1" applyFont="1" applyFill="1" applyBorder="1" applyAlignment="1">
      <alignment horizontal="center" vertical="center" wrapText="1"/>
    </xf>
    <xf numFmtId="43" fontId="2" fillId="0" borderId="1" xfId="51" applyNumberFormat="1" applyFont="1" applyFill="1" applyBorder="1"/>
    <xf numFmtId="43" fontId="31" fillId="0" borderId="1" xfId="51" applyNumberFormat="1" applyFont="1" applyFill="1" applyBorder="1"/>
    <xf numFmtId="43" fontId="2" fillId="0" borderId="1" xfId="51" applyNumberFormat="1" applyFont="1" applyFill="1" applyBorder="1" applyAlignment="1">
      <alignment vertical="center"/>
    </xf>
    <xf numFmtId="43" fontId="10" fillId="0" borderId="8" xfId="51" applyNumberFormat="1" applyFont="1" applyFill="1" applyBorder="1" applyAlignment="1">
      <alignment horizontal="center" vertical="center" wrapText="1"/>
    </xf>
    <xf numFmtId="3" fontId="17" fillId="0" borderId="1" xfId="50" applyNumberFormat="1" applyFont="1" applyBorder="1" applyAlignment="1">
      <alignment horizontal="center" vertical="center" wrapText="1"/>
    </xf>
    <xf numFmtId="2" fontId="16" fillId="0" borderId="2" xfId="50" applyNumberFormat="1" applyFont="1" applyBorder="1" applyAlignment="1">
      <alignment horizontal="center" vertical="center" wrapText="1"/>
    </xf>
    <xf numFmtId="3" fontId="16" fillId="0" borderId="5" xfId="50" applyNumberFormat="1" applyFont="1" applyBorder="1" applyAlignment="1">
      <alignment horizontal="center" vertical="center" wrapText="1"/>
    </xf>
    <xf numFmtId="43" fontId="17" fillId="0" borderId="8" xfId="51" applyNumberFormat="1" applyFont="1" applyFill="1" applyBorder="1" applyAlignment="1">
      <alignment horizontal="center" vertical="center" wrapText="1"/>
    </xf>
    <xf numFmtId="165" fontId="17" fillId="2" borderId="5" xfId="50" applyNumberFormat="1" applyFont="1" applyFill="1" applyBorder="1" applyAlignment="1">
      <alignment horizontal="center" vertical="center" wrapText="1"/>
    </xf>
    <xf numFmtId="0" fontId="9" fillId="0" borderId="0" xfId="50" applyFont="1"/>
    <xf numFmtId="169" fontId="9" fillId="0" borderId="0" xfId="50" applyNumberFormat="1" applyFont="1"/>
    <xf numFmtId="169" fontId="16" fillId="0" borderId="2" xfId="50" applyNumberFormat="1" applyFont="1" applyBorder="1" applyAlignment="1">
      <alignment horizontal="center" vertical="center"/>
    </xf>
    <xf numFmtId="43" fontId="11" fillId="0" borderId="1" xfId="51" applyNumberFormat="1" applyFont="1" applyFill="1" applyBorder="1" applyAlignment="1">
      <alignment horizontal="center" vertical="center" wrapText="1"/>
    </xf>
    <xf numFmtId="49" fontId="12" fillId="0" borderId="0" xfId="50" applyNumberFormat="1" applyFont="1"/>
    <xf numFmtId="0" fontId="2" fillId="0" borderId="0" xfId="50" applyAlignment="1">
      <alignment horizontal="center"/>
    </xf>
    <xf numFmtId="0" fontId="13" fillId="0" borderId="0" xfId="50" applyFont="1" applyAlignment="1">
      <alignment horizontal="center" vertical="center"/>
    </xf>
    <xf numFmtId="0" fontId="28" fillId="2" borderId="1" xfId="7" applyFont="1" applyFill="1" applyBorder="1"/>
    <xf numFmtId="43" fontId="10" fillId="0" borderId="1" xfId="51" applyNumberFormat="1" applyFont="1" applyFill="1" applyBorder="1" applyAlignment="1">
      <alignment horizontal="center" vertical="center" wrapText="1"/>
    </xf>
    <xf numFmtId="165" fontId="10" fillId="2" borderId="1" xfId="50" applyNumberFormat="1" applyFont="1" applyFill="1" applyBorder="1" applyAlignment="1">
      <alignment horizontal="center" vertical="center" wrapText="1"/>
    </xf>
    <xf numFmtId="0" fontId="16" fillId="0" borderId="1" xfId="50" applyFont="1" applyFill="1" applyBorder="1" applyAlignment="1">
      <alignment horizontal="left" vertical="center" wrapText="1"/>
    </xf>
    <xf numFmtId="0" fontId="17" fillId="0" borderId="1" xfId="50" applyFont="1" applyFill="1" applyBorder="1" applyAlignment="1">
      <alignment horizontal="left" vertical="center" wrapText="1"/>
    </xf>
    <xf numFmtId="0" fontId="6" fillId="0" borderId="1" xfId="7" applyFont="1" applyFill="1" applyBorder="1"/>
    <xf numFmtId="0" fontId="6" fillId="0" borderId="16" xfId="50" applyFont="1" applyFill="1" applyBorder="1"/>
    <xf numFmtId="49" fontId="10" fillId="2" borderId="1" xfId="50" applyNumberFormat="1" applyFont="1" applyFill="1" applyBorder="1" applyAlignment="1">
      <alignment horizontal="center" vertical="center" wrapText="1"/>
    </xf>
    <xf numFmtId="0" fontId="10" fillId="2" borderId="1" xfId="50" applyFont="1" applyFill="1" applyBorder="1" applyAlignment="1">
      <alignment horizontal="center" vertical="center" wrapText="1"/>
    </xf>
    <xf numFmtId="1" fontId="10" fillId="2" borderId="1" xfId="50" applyNumberFormat="1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left" vertical="center" wrapText="1"/>
    </xf>
    <xf numFmtId="43" fontId="13" fillId="0" borderId="1" xfId="80" applyNumberFormat="1" applyFont="1" applyBorder="1" applyAlignment="1">
      <alignment horizontal="center" vertical="center"/>
    </xf>
    <xf numFmtId="43" fontId="10" fillId="0" borderId="1" xfId="80" applyNumberFormat="1" applyFont="1" applyBorder="1" applyAlignment="1">
      <alignment horizontal="center" vertical="center"/>
    </xf>
    <xf numFmtId="43" fontId="10" fillId="0" borderId="1" xfId="80" applyNumberFormat="1" applyFont="1" applyFill="1" applyBorder="1" applyAlignment="1">
      <alignment horizontal="center" vertical="center" wrapText="1"/>
    </xf>
    <xf numFmtId="43" fontId="10" fillId="0" borderId="1" xfId="80" applyNumberFormat="1" applyFont="1" applyFill="1" applyBorder="1" applyAlignment="1">
      <alignment vertical="center" wrapText="1"/>
    </xf>
    <xf numFmtId="43" fontId="57" fillId="0" borderId="1" xfId="80" applyNumberFormat="1" applyFont="1" applyBorder="1" applyAlignment="1">
      <alignment vertical="center"/>
    </xf>
    <xf numFmtId="43" fontId="10" fillId="0" borderId="1" xfId="80" applyNumberFormat="1" applyFont="1" applyBorder="1" applyAlignment="1">
      <alignment vertical="center"/>
    </xf>
    <xf numFmtId="4" fontId="10" fillId="2" borderId="2" xfId="50" applyNumberFormat="1" applyFont="1" applyFill="1" applyBorder="1" applyAlignment="1">
      <alignment horizontal="center" vertical="center" wrapText="1"/>
    </xf>
    <xf numFmtId="4" fontId="11" fillId="2" borderId="2" xfId="50" applyNumberFormat="1" applyFont="1" applyFill="1" applyBorder="1" applyAlignment="1">
      <alignment horizontal="center" vertical="center" wrapText="1"/>
    </xf>
    <xf numFmtId="43" fontId="10" fillId="0" borderId="1" xfId="80" applyNumberFormat="1" applyFont="1" applyFill="1" applyBorder="1" applyAlignment="1">
      <alignment horizontal="center" vertical="center"/>
    </xf>
    <xf numFmtId="0" fontId="13" fillId="0" borderId="1" xfId="50" applyFont="1" applyBorder="1" applyAlignment="1">
      <alignment vertical="center"/>
    </xf>
    <xf numFmtId="49" fontId="10" fillId="10" borderId="1" xfId="50" applyNumberFormat="1" applyFont="1" applyFill="1" applyBorder="1" applyAlignment="1">
      <alignment horizontal="center" vertical="center" wrapText="1"/>
    </xf>
    <xf numFmtId="43" fontId="10" fillId="0" borderId="1" xfId="80" applyNumberFormat="1" applyFont="1" applyFill="1" applyBorder="1" applyAlignment="1">
      <alignment vertical="center"/>
    </xf>
    <xf numFmtId="0" fontId="5" fillId="0" borderId="0" xfId="98" applyFont="1"/>
    <xf numFmtId="4" fontId="53" fillId="0" borderId="1" xfId="98" applyNumberFormat="1" applyFont="1" applyBorder="1" applyAlignment="1">
      <alignment horizontal="center" vertical="center" wrapText="1"/>
    </xf>
    <xf numFmtId="0" fontId="53" fillId="0" borderId="1" xfId="98" applyFont="1" applyBorder="1" applyAlignment="1">
      <alignment horizontal="center" vertical="center" wrapText="1"/>
    </xf>
    <xf numFmtId="49" fontId="4" fillId="0" borderId="1" xfId="98" applyNumberFormat="1" applyFont="1" applyBorder="1" applyAlignment="1">
      <alignment horizontal="center"/>
    </xf>
    <xf numFmtId="0" fontId="4" fillId="0" borderId="1" xfId="98" applyFont="1" applyBorder="1"/>
    <xf numFmtId="0" fontId="4" fillId="0" borderId="1" xfId="98" applyFont="1" applyBorder="1" applyAlignment="1">
      <alignment horizontal="center" vertical="center"/>
    </xf>
    <xf numFmtId="4" fontId="4" fillId="0" borderId="1" xfId="98" applyNumberFormat="1" applyFont="1" applyBorder="1" applyAlignment="1">
      <alignment horizontal="center" vertical="center"/>
    </xf>
    <xf numFmtId="0" fontId="5" fillId="0" borderId="1" xfId="98" applyFont="1" applyBorder="1" applyAlignment="1">
      <alignment horizontal="center"/>
    </xf>
    <xf numFmtId="0" fontId="5" fillId="0" borderId="1" xfId="98" applyFont="1" applyBorder="1"/>
    <xf numFmtId="0" fontId="5" fillId="0" borderId="1" xfId="98" applyFont="1" applyBorder="1" applyAlignment="1">
      <alignment horizontal="center" vertical="center"/>
    </xf>
    <xf numFmtId="4" fontId="5" fillId="0" borderId="1" xfId="98" applyNumberFormat="1" applyFont="1" applyBorder="1" applyAlignment="1">
      <alignment horizontal="center" vertical="center"/>
    </xf>
    <xf numFmtId="0" fontId="4" fillId="0" borderId="1" xfId="98" applyFont="1" applyBorder="1" applyAlignment="1">
      <alignment horizontal="center"/>
    </xf>
    <xf numFmtId="4" fontId="5" fillId="0" borderId="1" xfId="0" applyNumberFormat="1" applyFont="1" applyBorder="1" applyAlignment="1">
      <alignment horizontal="center" wrapText="1"/>
    </xf>
    <xf numFmtId="0" fontId="4" fillId="0" borderId="0" xfId="98" applyFont="1"/>
    <xf numFmtId="49" fontId="6" fillId="0" borderId="1" xfId="99" applyNumberFormat="1" applyFont="1" applyBorder="1" applyAlignment="1">
      <alignment vertical="center" wrapText="1"/>
    </xf>
    <xf numFmtId="4" fontId="5" fillId="0" borderId="1" xfId="89" applyNumberFormat="1" applyFont="1" applyBorder="1" applyAlignment="1">
      <alignment horizontal="center" vertical="center" wrapText="1"/>
    </xf>
    <xf numFmtId="4" fontId="5" fillId="0" borderId="1" xfId="98" applyNumberFormat="1" applyFont="1" applyBorder="1"/>
    <xf numFmtId="4" fontId="5" fillId="0" borderId="1" xfId="0" applyNumberFormat="1" applyFont="1" applyBorder="1" applyAlignment="1">
      <alignment horizontal="center"/>
    </xf>
    <xf numFmtId="16" fontId="5" fillId="0" borderId="1" xfId="98" applyNumberFormat="1" applyFont="1" applyBorder="1" applyAlignment="1">
      <alignment horizontal="center"/>
    </xf>
    <xf numFmtId="0" fontId="5" fillId="0" borderId="0" xfId="98" applyFont="1" applyAlignment="1">
      <alignment horizontal="center" vertical="center"/>
    </xf>
    <xf numFmtId="0" fontId="5" fillId="0" borderId="0" xfId="50" applyFont="1"/>
    <xf numFmtId="4" fontId="53" fillId="0" borderId="1" xfId="50" applyNumberFormat="1" applyFont="1" applyBorder="1" applyAlignment="1">
      <alignment horizontal="center" vertical="center" wrapText="1"/>
    </xf>
    <xf numFmtId="0" fontId="53" fillId="0" borderId="1" xfId="50" applyFont="1" applyBorder="1" applyAlignment="1">
      <alignment horizontal="center" vertical="center" wrapText="1"/>
    </xf>
    <xf numFmtId="49" fontId="4" fillId="0" borderId="1" xfId="50" applyNumberFormat="1" applyFont="1" applyBorder="1" applyAlignment="1">
      <alignment horizontal="center" vertical="center"/>
    </xf>
    <xf numFmtId="0" fontId="4" fillId="0" borderId="1" xfId="100" applyFont="1" applyBorder="1" applyAlignment="1">
      <alignment vertical="center" wrapText="1"/>
    </xf>
    <xf numFmtId="0" fontId="4" fillId="0" borderId="1" xfId="100" applyFont="1" applyBorder="1" applyAlignment="1">
      <alignment horizontal="center" vertical="center" wrapText="1"/>
    </xf>
    <xf numFmtId="4" fontId="4" fillId="0" borderId="1" xfId="100" applyNumberFormat="1" applyFont="1" applyBorder="1" applyAlignment="1">
      <alignment horizontal="center" vertical="center" wrapText="1"/>
    </xf>
    <xf numFmtId="4" fontId="4" fillId="0" borderId="1" xfId="50" applyNumberFormat="1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1" xfId="100" applyFont="1" applyBorder="1" applyAlignment="1">
      <alignment vertical="top" wrapText="1"/>
    </xf>
    <xf numFmtId="0" fontId="5" fillId="0" borderId="1" xfId="100" applyFont="1" applyBorder="1" applyAlignment="1">
      <alignment horizontal="center" vertical="center" wrapText="1"/>
    </xf>
    <xf numFmtId="4" fontId="5" fillId="0" borderId="1" xfId="50" applyNumberFormat="1" applyFont="1" applyBorder="1" applyAlignment="1">
      <alignment horizontal="center" vertical="center"/>
    </xf>
    <xf numFmtId="0" fontId="6" fillId="0" borderId="1" xfId="100" applyFont="1" applyBorder="1" applyAlignment="1">
      <alignment horizontal="left" vertical="center" wrapText="1"/>
    </xf>
    <xf numFmtId="0" fontId="5" fillId="0" borderId="1" xfId="100" applyFont="1" applyBorder="1" applyAlignment="1">
      <alignment vertical="center" wrapText="1"/>
    </xf>
    <xf numFmtId="0" fontId="5" fillId="0" borderId="1" xfId="101" applyFont="1" applyBorder="1" applyAlignment="1">
      <alignment vertical="center" wrapText="1"/>
    </xf>
    <xf numFmtId="0" fontId="6" fillId="0" borderId="1" xfId="100" applyFont="1" applyBorder="1" applyAlignment="1">
      <alignment horizontal="center" vertical="center" wrapText="1"/>
    </xf>
    <xf numFmtId="0" fontId="74" fillId="0" borderId="31" xfId="50" applyFont="1" applyBorder="1" applyAlignment="1">
      <alignment horizontal="left" vertical="top" wrapText="1"/>
    </xf>
    <xf numFmtId="1" fontId="75" fillId="0" borderId="31" xfId="50" applyNumberFormat="1" applyFont="1" applyBorder="1" applyAlignment="1">
      <alignment horizontal="center" vertical="center" shrinkToFit="1"/>
    </xf>
    <xf numFmtId="1" fontId="76" fillId="0" borderId="31" xfId="50" applyNumberFormat="1" applyFont="1" applyBorder="1" applyAlignment="1">
      <alignment horizontal="center" vertical="center" shrinkToFit="1"/>
    </xf>
    <xf numFmtId="0" fontId="74" fillId="0" borderId="1" xfId="50" applyFont="1" applyBorder="1" applyAlignment="1">
      <alignment horizontal="left" vertical="top" wrapText="1"/>
    </xf>
    <xf numFmtId="0" fontId="6" fillId="0" borderId="1" xfId="100" applyFont="1" applyBorder="1" applyAlignment="1">
      <alignment vertical="center" wrapText="1"/>
    </xf>
    <xf numFmtId="0" fontId="6" fillId="0" borderId="1" xfId="101" applyFont="1" applyBorder="1" applyAlignment="1">
      <alignment vertical="center" wrapText="1"/>
    </xf>
    <xf numFmtId="0" fontId="4" fillId="0" borderId="1" xfId="50" applyFont="1" applyBorder="1" applyAlignment="1">
      <alignment wrapText="1"/>
    </xf>
    <xf numFmtId="49" fontId="20" fillId="0" borderId="1" xfId="50" applyNumberFormat="1" applyFont="1" applyBorder="1" applyAlignment="1">
      <alignment horizontal="center" vertical="center" wrapText="1"/>
    </xf>
    <xf numFmtId="4" fontId="20" fillId="0" borderId="1" xfId="50" applyNumberFormat="1" applyFont="1" applyBorder="1" applyAlignment="1">
      <alignment horizontal="center" vertical="center" wrapText="1"/>
    </xf>
    <xf numFmtId="0" fontId="5" fillId="0" borderId="1" xfId="50" applyFont="1" applyBorder="1" applyAlignment="1">
      <alignment wrapText="1"/>
    </xf>
    <xf numFmtId="49" fontId="6" fillId="0" borderId="1" xfId="50" applyNumberFormat="1" applyFont="1" applyBorder="1" applyAlignment="1">
      <alignment horizontal="center" vertical="center" wrapText="1"/>
    </xf>
    <xf numFmtId="4" fontId="6" fillId="0" borderId="1" xfId="50" applyNumberFormat="1" applyFont="1" applyBorder="1" applyAlignment="1">
      <alignment horizontal="center" vertical="center" wrapText="1"/>
    </xf>
    <xf numFmtId="0" fontId="5" fillId="0" borderId="1" xfId="50" applyFont="1" applyBorder="1"/>
    <xf numFmtId="0" fontId="20" fillId="0" borderId="1" xfId="101" applyFont="1" applyBorder="1" applyAlignment="1">
      <alignment vertical="center" wrapText="1"/>
    </xf>
    <xf numFmtId="0" fontId="4" fillId="0" borderId="0" xfId="50" applyFont="1"/>
    <xf numFmtId="0" fontId="6" fillId="0" borderId="1" xfId="101" applyFont="1" applyBorder="1" applyAlignment="1">
      <alignment horizontal="center" vertical="center" wrapText="1"/>
    </xf>
    <xf numFmtId="0" fontId="5" fillId="0" borderId="1" xfId="101" applyFont="1" applyBorder="1" applyAlignment="1">
      <alignment horizontal="center" vertical="center" wrapText="1"/>
    </xf>
    <xf numFmtId="0" fontId="4" fillId="0" borderId="1" xfId="101" applyFont="1" applyBorder="1" applyAlignment="1">
      <alignment horizontal="center" vertical="center" wrapText="1"/>
    </xf>
    <xf numFmtId="49" fontId="5" fillId="0" borderId="1" xfId="50" applyNumberFormat="1" applyFont="1" applyBorder="1" applyAlignment="1">
      <alignment horizontal="center" vertical="center"/>
    </xf>
    <xf numFmtId="49" fontId="6" fillId="0" borderId="1" xfId="102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50" applyFont="1" applyBorder="1" applyAlignment="1">
      <alignment horizontal="center" vertical="center"/>
    </xf>
    <xf numFmtId="0" fontId="4" fillId="0" borderId="1" xfId="50" applyFont="1" applyBorder="1"/>
    <xf numFmtId="4" fontId="4" fillId="0" borderId="0" xfId="50" applyNumberFormat="1" applyFont="1" applyAlignment="1">
      <alignment horizontal="center" vertical="center"/>
    </xf>
    <xf numFmtId="4" fontId="5" fillId="0" borderId="1" xfId="50" applyNumberFormat="1" applyFont="1" applyBorder="1" applyAlignment="1">
      <alignment horizontal="left"/>
    </xf>
    <xf numFmtId="0" fontId="5" fillId="0" borderId="1" xfId="101" applyFont="1" applyBorder="1" applyAlignment="1">
      <alignment horizontal="center" wrapText="1"/>
    </xf>
    <xf numFmtId="0" fontId="5" fillId="0" borderId="1" xfId="101" applyFont="1" applyBorder="1" applyAlignment="1">
      <alignment horizontal="left" vertical="center" wrapText="1"/>
    </xf>
    <xf numFmtId="0" fontId="5" fillId="0" borderId="1" xfId="103" applyFont="1" applyBorder="1" applyAlignment="1">
      <alignment vertical="center" wrapText="1"/>
    </xf>
    <xf numFmtId="0" fontId="6" fillId="0" borderId="1" xfId="101" applyFont="1" applyBorder="1" applyAlignment="1">
      <alignment horizontal="left" vertical="center" wrapText="1"/>
    </xf>
    <xf numFmtId="0" fontId="5" fillId="0" borderId="0" xfId="50" applyFont="1" applyAlignment="1">
      <alignment horizontal="center" vertical="center"/>
    </xf>
    <xf numFmtId="4" fontId="5" fillId="0" borderId="0" xfId="50" applyNumberFormat="1" applyFont="1"/>
    <xf numFmtId="165" fontId="8" fillId="2" borderId="1" xfId="0" applyNumberFormat="1" applyFont="1" applyFill="1" applyBorder="1" applyAlignment="1">
      <alignment horizontal="center" vertical="center" wrapText="1"/>
    </xf>
    <xf numFmtId="0" fontId="2" fillId="0" borderId="0" xfId="89"/>
    <xf numFmtId="4" fontId="22" fillId="3" borderId="1" xfId="89" applyNumberFormat="1" applyFont="1" applyFill="1" applyBorder="1" applyAlignment="1">
      <alignment vertical="center" wrapText="1"/>
    </xf>
    <xf numFmtId="4" fontId="22" fillId="3" borderId="1" xfId="89" applyNumberFormat="1" applyFont="1" applyFill="1" applyBorder="1" applyAlignment="1">
      <alignment horizontal="center" vertical="center" wrapText="1"/>
    </xf>
    <xf numFmtId="4" fontId="4" fillId="3" borderId="1" xfId="89" applyNumberFormat="1" applyFont="1" applyFill="1" applyBorder="1" applyAlignment="1">
      <alignment horizontal="center" vertical="center" wrapText="1"/>
    </xf>
    <xf numFmtId="49" fontId="8" fillId="4" borderId="1" xfId="89" applyNumberFormat="1" applyFont="1" applyFill="1" applyBorder="1" applyAlignment="1">
      <alignment horizontal="center" vertical="center" wrapText="1"/>
    </xf>
    <xf numFmtId="0" fontId="8" fillId="4" borderId="1" xfId="89" applyFont="1" applyFill="1" applyBorder="1" applyAlignment="1">
      <alignment horizontal="left" vertical="center" wrapText="1"/>
    </xf>
    <xf numFmtId="2" fontId="11" fillId="4" borderId="1" xfId="89" applyNumberFormat="1" applyFont="1" applyFill="1" applyBorder="1" applyAlignment="1">
      <alignment horizontal="center" vertical="center" wrapText="1"/>
    </xf>
    <xf numFmtId="165" fontId="10" fillId="4" borderId="1" xfId="89" applyNumberFormat="1" applyFont="1" applyFill="1" applyBorder="1" applyAlignment="1">
      <alignment horizontal="center" vertical="center" wrapText="1"/>
    </xf>
    <xf numFmtId="0" fontId="13" fillId="4" borderId="1" xfId="89" applyFont="1" applyFill="1" applyBorder="1" applyAlignment="1">
      <alignment vertical="center"/>
    </xf>
    <xf numFmtId="0" fontId="13" fillId="4" borderId="1" xfId="89" applyFont="1" applyFill="1" applyBorder="1" applyAlignment="1">
      <alignment horizontal="center" vertical="center"/>
    </xf>
    <xf numFmtId="0" fontId="2" fillId="4" borderId="1" xfId="89" applyFill="1" applyBorder="1"/>
    <xf numFmtId="49" fontId="8" fillId="5" borderId="1" xfId="89" applyNumberFormat="1" applyFont="1" applyFill="1" applyBorder="1" applyAlignment="1">
      <alignment horizontal="center" vertical="center" wrapText="1"/>
    </xf>
    <xf numFmtId="0" fontId="8" fillId="5" borderId="1" xfId="89" applyFont="1" applyFill="1" applyBorder="1" applyAlignment="1">
      <alignment vertical="center" wrapText="1"/>
    </xf>
    <xf numFmtId="0" fontId="21" fillId="5" borderId="1" xfId="89" applyFont="1" applyFill="1" applyBorder="1" applyAlignment="1">
      <alignment horizontal="center" vertical="center" wrapText="1"/>
    </xf>
    <xf numFmtId="165" fontId="21" fillId="5" borderId="1" xfId="89" applyNumberFormat="1" applyFont="1" applyFill="1" applyBorder="1" applyAlignment="1">
      <alignment horizontal="center" vertical="center" wrapText="1"/>
    </xf>
    <xf numFmtId="49" fontId="8" fillId="2" borderId="1" xfId="89" applyNumberFormat="1" applyFont="1" applyFill="1" applyBorder="1" applyAlignment="1">
      <alignment horizontal="center" vertical="center" wrapText="1"/>
    </xf>
    <xf numFmtId="2" fontId="8" fillId="2" borderId="1" xfId="89" applyNumberFormat="1" applyFont="1" applyFill="1" applyBorder="1" applyAlignment="1">
      <alignment horizontal="center" vertical="center" wrapText="1"/>
    </xf>
    <xf numFmtId="165" fontId="8" fillId="2" borderId="1" xfId="89" applyNumberFormat="1" applyFont="1" applyFill="1" applyBorder="1" applyAlignment="1">
      <alignment horizontal="center" vertical="center" wrapText="1"/>
    </xf>
    <xf numFmtId="43" fontId="22" fillId="0" borderId="1" xfId="81" applyNumberFormat="1" applyFont="1" applyBorder="1" applyAlignment="1">
      <alignment vertical="center"/>
    </xf>
    <xf numFmtId="43" fontId="22" fillId="0" borderId="1" xfId="81" applyNumberFormat="1" applyFont="1" applyBorder="1" applyAlignment="1">
      <alignment horizontal="center" vertical="center"/>
    </xf>
    <xf numFmtId="43" fontId="22" fillId="0" borderId="1" xfId="81" applyNumberFormat="1" applyFont="1" applyBorder="1"/>
    <xf numFmtId="43" fontId="13" fillId="0" borderId="1" xfId="81" applyNumberFormat="1" applyFont="1" applyBorder="1"/>
    <xf numFmtId="0" fontId="9" fillId="0" borderId="0" xfId="89" applyFont="1"/>
    <xf numFmtId="0" fontId="8" fillId="2" borderId="1" xfId="89" applyFont="1" applyFill="1" applyBorder="1" applyAlignment="1">
      <alignment horizontal="left" vertical="center" wrapText="1"/>
    </xf>
    <xf numFmtId="49" fontId="10" fillId="2" borderId="1" xfId="89" applyNumberFormat="1" applyFont="1" applyFill="1" applyBorder="1" applyAlignment="1">
      <alignment horizontal="center" vertical="center" wrapText="1"/>
    </xf>
    <xf numFmtId="0" fontId="10" fillId="2" borderId="1" xfId="89" applyFont="1" applyFill="1" applyBorder="1" applyAlignment="1">
      <alignment horizontal="left" vertical="center" wrapText="1"/>
    </xf>
    <xf numFmtId="2" fontId="10" fillId="2" borderId="1" xfId="89" applyNumberFormat="1" applyFont="1" applyFill="1" applyBorder="1" applyAlignment="1">
      <alignment horizontal="center" vertical="center" wrapText="1"/>
    </xf>
    <xf numFmtId="165" fontId="10" fillId="2" borderId="1" xfId="89" applyNumberFormat="1" applyFont="1" applyFill="1" applyBorder="1" applyAlignment="1">
      <alignment horizontal="center" vertical="center" wrapText="1"/>
    </xf>
    <xf numFmtId="43" fontId="13" fillId="0" borderId="1" xfId="81" applyNumberFormat="1" applyFont="1" applyBorder="1" applyAlignment="1">
      <alignment vertical="center"/>
    </xf>
    <xf numFmtId="43" fontId="13" fillId="0" borderId="1" xfId="81" applyNumberFormat="1" applyFont="1" applyFill="1" applyBorder="1" applyAlignment="1">
      <alignment horizontal="center" vertical="center"/>
    </xf>
    <xf numFmtId="43" fontId="13" fillId="0" borderId="1" xfId="81" applyNumberFormat="1" applyFont="1" applyBorder="1" applyAlignment="1">
      <alignment horizontal="center" vertical="center"/>
    </xf>
    <xf numFmtId="43" fontId="8" fillId="0" borderId="1" xfId="81" applyNumberFormat="1" applyFont="1" applyBorder="1" applyAlignment="1">
      <alignment vertical="center"/>
    </xf>
    <xf numFmtId="43" fontId="10" fillId="0" borderId="1" xfId="81" applyNumberFormat="1" applyFont="1" applyBorder="1" applyAlignment="1">
      <alignment vertical="center"/>
    </xf>
    <xf numFmtId="49" fontId="12" fillId="0" borderId="0" xfId="89" applyNumberFormat="1" applyFont="1"/>
    <xf numFmtId="0" fontId="10" fillId="2" borderId="1" xfId="89" applyFont="1" applyFill="1" applyBorder="1" applyAlignment="1">
      <alignment horizontal="center" vertical="center" wrapText="1"/>
    </xf>
    <xf numFmtId="43" fontId="2" fillId="0" borderId="1" xfId="81" applyNumberFormat="1" applyFont="1" applyBorder="1" applyAlignment="1">
      <alignment horizontal="center" vertical="center"/>
    </xf>
    <xf numFmtId="0" fontId="10" fillId="2" borderId="1" xfId="89" applyFont="1" applyFill="1" applyBorder="1" applyAlignment="1">
      <alignment horizontal="left" vertical="top" wrapText="1"/>
    </xf>
    <xf numFmtId="43" fontId="13" fillId="5" borderId="1" xfId="81" applyNumberFormat="1" applyFont="1" applyFill="1" applyBorder="1" applyAlignment="1">
      <alignment vertical="center"/>
    </xf>
    <xf numFmtId="43" fontId="13" fillId="5" borderId="1" xfId="81" applyNumberFormat="1" applyFont="1" applyFill="1" applyBorder="1" applyAlignment="1">
      <alignment horizontal="center" vertical="center"/>
    </xf>
    <xf numFmtId="43" fontId="13" fillId="5" borderId="1" xfId="81" applyNumberFormat="1" applyFont="1" applyFill="1" applyBorder="1"/>
    <xf numFmtId="1" fontId="10" fillId="2" borderId="1" xfId="89" applyNumberFormat="1" applyFont="1" applyFill="1" applyBorder="1" applyAlignment="1">
      <alignment horizontal="center" vertical="center" wrapText="1"/>
    </xf>
    <xf numFmtId="0" fontId="19" fillId="0" borderId="0" xfId="89" applyFont="1"/>
    <xf numFmtId="43" fontId="10" fillId="0" borderId="1" xfId="81" applyNumberFormat="1" applyFont="1" applyFill="1" applyBorder="1" applyAlignment="1">
      <alignment horizontal="center" vertical="center" wrapText="1"/>
    </xf>
    <xf numFmtId="43" fontId="10" fillId="0" borderId="1" xfId="81" applyNumberFormat="1" applyFont="1" applyFill="1" applyBorder="1" applyAlignment="1">
      <alignment horizontal="center" vertical="center"/>
    </xf>
    <xf numFmtId="43" fontId="10" fillId="0" borderId="1" xfId="81" applyNumberFormat="1" applyFont="1" applyBorder="1" applyAlignment="1">
      <alignment horizontal="center" vertical="center"/>
    </xf>
    <xf numFmtId="165" fontId="21" fillId="5" borderId="1" xfId="89" applyNumberFormat="1" applyFont="1" applyFill="1" applyBorder="1" applyAlignment="1">
      <alignment vertical="center" wrapText="1"/>
    </xf>
    <xf numFmtId="0" fontId="8" fillId="10" borderId="1" xfId="89" applyFont="1" applyFill="1" applyBorder="1" applyAlignment="1">
      <alignment vertical="center" wrapText="1"/>
    </xf>
    <xf numFmtId="0" fontId="21" fillId="2" borderId="1" xfId="89" applyFont="1" applyFill="1" applyBorder="1" applyAlignment="1">
      <alignment horizontal="center" vertical="center" wrapText="1"/>
    </xf>
    <xf numFmtId="165" fontId="21" fillId="2" borderId="1" xfId="89" applyNumberFormat="1" applyFont="1" applyFill="1" applyBorder="1" applyAlignment="1">
      <alignment horizontal="center" vertical="center" wrapText="1"/>
    </xf>
    <xf numFmtId="0" fontId="77" fillId="0" borderId="1" xfId="7" applyFont="1" applyBorder="1" applyAlignment="1">
      <alignment vertical="center" wrapText="1"/>
    </xf>
    <xf numFmtId="0" fontId="21" fillId="2" borderId="1" xfId="7" applyFont="1" applyFill="1" applyBorder="1" applyAlignment="1">
      <alignment horizontal="center" vertical="center" wrapText="1"/>
    </xf>
    <xf numFmtId="165" fontId="21" fillId="2" borderId="1" xfId="7" applyNumberFormat="1" applyFont="1" applyFill="1" applyBorder="1" applyAlignment="1">
      <alignment horizontal="center" vertical="center" wrapText="1"/>
    </xf>
    <xf numFmtId="0" fontId="8" fillId="2" borderId="1" xfId="7" applyFont="1" applyFill="1" applyBorder="1" applyAlignment="1">
      <alignment horizontal="left" vertical="center" wrapText="1"/>
    </xf>
    <xf numFmtId="0" fontId="8" fillId="2" borderId="1" xfId="7" applyFont="1" applyFill="1" applyBorder="1" applyAlignment="1">
      <alignment horizontal="center" vertical="center" wrapText="1"/>
    </xf>
    <xf numFmtId="165" fontId="8" fillId="0" borderId="1" xfId="7" applyNumberFormat="1" applyFont="1" applyBorder="1" applyAlignment="1">
      <alignment horizontal="center" vertical="center" wrapText="1"/>
    </xf>
    <xf numFmtId="43" fontId="22" fillId="2" borderId="1" xfId="81" applyNumberFormat="1" applyFont="1" applyFill="1" applyBorder="1" applyAlignment="1">
      <alignment vertical="center"/>
    </xf>
    <xf numFmtId="43" fontId="8" fillId="5" borderId="1" xfId="81" applyNumberFormat="1" applyFont="1" applyFill="1" applyBorder="1" applyAlignment="1">
      <alignment horizontal="right" vertical="center"/>
    </xf>
    <xf numFmtId="43" fontId="22" fillId="5" borderId="1" xfId="81" applyNumberFormat="1" applyFont="1" applyFill="1" applyBorder="1"/>
    <xf numFmtId="0" fontId="10" fillId="0" borderId="1" xfId="89" applyFont="1" applyBorder="1" applyAlignment="1">
      <alignment horizontal="left" vertical="top" wrapText="1"/>
    </xf>
    <xf numFmtId="0" fontId="10" fillId="0" borderId="1" xfId="89" applyFont="1" applyBorder="1" applyAlignment="1">
      <alignment horizontal="center" vertical="top" wrapText="1"/>
    </xf>
    <xf numFmtId="1" fontId="10" fillId="0" borderId="1" xfId="89" applyNumberFormat="1" applyFont="1" applyBorder="1" applyAlignment="1">
      <alignment horizontal="center" vertical="top" wrapText="1"/>
    </xf>
    <xf numFmtId="43" fontId="10" fillId="2" borderId="1" xfId="81" applyNumberFormat="1" applyFont="1" applyFill="1" applyBorder="1" applyAlignment="1">
      <alignment vertical="center"/>
    </xf>
    <xf numFmtId="43" fontId="10" fillId="2" borderId="1" xfId="81" applyNumberFormat="1" applyFont="1" applyFill="1" applyBorder="1" applyAlignment="1">
      <alignment horizontal="right" vertical="center"/>
    </xf>
    <xf numFmtId="2" fontId="22" fillId="2" borderId="1" xfId="7" applyNumberFormat="1" applyFont="1" applyFill="1" applyBorder="1" applyAlignment="1">
      <alignment horizontal="center" vertical="center" wrapText="1"/>
    </xf>
    <xf numFmtId="43" fontId="8" fillId="2" borderId="1" xfId="81" applyNumberFormat="1" applyFont="1" applyFill="1" applyBorder="1" applyAlignment="1">
      <alignment vertical="top" wrapText="1"/>
    </xf>
    <xf numFmtId="0" fontId="16" fillId="2" borderId="1" xfId="89" applyFont="1" applyFill="1" applyBorder="1" applyAlignment="1">
      <alignment horizontal="left" vertical="top" wrapText="1"/>
    </xf>
    <xf numFmtId="0" fontId="16" fillId="2" borderId="1" xfId="89" applyFont="1" applyFill="1" applyBorder="1" applyAlignment="1">
      <alignment horizontal="center" vertical="top" wrapText="1"/>
    </xf>
    <xf numFmtId="43" fontId="8" fillId="0" borderId="1" xfId="81" applyNumberFormat="1" applyFont="1" applyBorder="1" applyAlignment="1">
      <alignment horizontal="center" vertical="center"/>
    </xf>
    <xf numFmtId="43" fontId="8" fillId="2" borderId="1" xfId="81" applyNumberFormat="1" applyFont="1" applyFill="1" applyBorder="1" applyAlignment="1">
      <alignment vertical="center"/>
    </xf>
    <xf numFmtId="2" fontId="8" fillId="2" borderId="1" xfId="7" applyNumberFormat="1" applyFont="1" applyFill="1" applyBorder="1" applyAlignment="1">
      <alignment horizontal="center" vertical="center" wrapText="1"/>
    </xf>
    <xf numFmtId="43" fontId="8" fillId="5" borderId="1" xfId="81" applyNumberFormat="1" applyFont="1" applyFill="1" applyBorder="1" applyAlignment="1">
      <alignment horizontal="center" vertical="center"/>
    </xf>
    <xf numFmtId="2" fontId="10" fillId="2" borderId="1" xfId="7" applyNumberFormat="1" applyFont="1" applyFill="1" applyBorder="1" applyAlignment="1">
      <alignment horizontal="center" vertical="center" wrapText="1"/>
    </xf>
    <xf numFmtId="2" fontId="8" fillId="0" borderId="1" xfId="7" applyNumberFormat="1" applyFont="1" applyBorder="1" applyAlignment="1">
      <alignment horizontal="center" vertical="center" wrapText="1"/>
    </xf>
    <xf numFmtId="164" fontId="10" fillId="0" borderId="1" xfId="89" applyNumberFormat="1" applyFont="1" applyBorder="1" applyAlignment="1">
      <alignment horizontal="center" vertical="center"/>
    </xf>
    <xf numFmtId="0" fontId="77" fillId="2" borderId="1" xfId="7" applyFont="1" applyFill="1" applyBorder="1" applyAlignment="1">
      <alignment horizontal="left" vertical="center" wrapText="1"/>
    </xf>
    <xf numFmtId="0" fontId="8" fillId="2" borderId="1" xfId="7" applyFont="1" applyFill="1" applyBorder="1" applyAlignment="1">
      <alignment horizontal="justify" vertical="center" wrapText="1"/>
    </xf>
    <xf numFmtId="165" fontId="8" fillId="2" borderId="1" xfId="7" applyNumberFormat="1" applyFont="1" applyFill="1" applyBorder="1" applyAlignment="1">
      <alignment horizontal="center" vertical="center" wrapText="1"/>
    </xf>
    <xf numFmtId="0" fontId="16" fillId="0" borderId="2" xfId="89" applyFont="1" applyBorder="1" applyAlignment="1">
      <alignment horizontal="left" vertical="top" wrapText="1"/>
    </xf>
    <xf numFmtId="43" fontId="13" fillId="2" borderId="1" xfId="81" applyNumberFormat="1" applyFont="1" applyFill="1" applyBorder="1" applyAlignment="1">
      <alignment vertical="center"/>
    </xf>
    <xf numFmtId="0" fontId="8" fillId="2" borderId="1" xfId="89" applyFont="1" applyFill="1" applyBorder="1" applyAlignment="1">
      <alignment horizontal="justify" vertical="center" wrapText="1"/>
    </xf>
    <xf numFmtId="0" fontId="8" fillId="2" borderId="1" xfId="89" applyFont="1" applyFill="1" applyBorder="1" applyAlignment="1">
      <alignment horizontal="center" vertical="center" wrapText="1"/>
    </xf>
    <xf numFmtId="43" fontId="22" fillId="5" borderId="1" xfId="81" applyNumberFormat="1" applyFont="1" applyFill="1" applyBorder="1" applyAlignment="1">
      <alignment horizontal="center" vertical="center"/>
    </xf>
    <xf numFmtId="0" fontId="10" fillId="2" borderId="1" xfId="89" applyFont="1" applyFill="1" applyBorder="1" applyAlignment="1">
      <alignment horizontal="justify" vertical="center" wrapText="1"/>
    </xf>
    <xf numFmtId="0" fontId="10" fillId="0" borderId="1" xfId="89" applyFont="1" applyBorder="1"/>
    <xf numFmtId="0" fontId="8" fillId="2" borderId="1" xfId="89" applyFont="1" applyFill="1" applyBorder="1" applyAlignment="1">
      <alignment vertical="center" wrapText="1"/>
    </xf>
    <xf numFmtId="0" fontId="8" fillId="2" borderId="1" xfId="89" applyFont="1" applyFill="1" applyBorder="1" applyAlignment="1">
      <alignment horizontal="center" vertical="center"/>
    </xf>
    <xf numFmtId="164" fontId="8" fillId="5" borderId="1" xfId="89" applyNumberFormat="1" applyFont="1" applyFill="1" applyBorder="1" applyAlignment="1">
      <alignment horizontal="center" vertical="center"/>
    </xf>
    <xf numFmtId="2" fontId="13" fillId="2" borderId="1" xfId="89" applyNumberFormat="1" applyFont="1" applyFill="1" applyBorder="1" applyAlignment="1">
      <alignment horizontal="center" vertical="center" wrapText="1"/>
    </xf>
    <xf numFmtId="2" fontId="13" fillId="2" borderId="1" xfId="7" applyNumberFormat="1" applyFont="1" applyFill="1" applyBorder="1" applyAlignment="1">
      <alignment horizontal="center" vertical="center" wrapText="1"/>
    </xf>
    <xf numFmtId="0" fontId="11" fillId="2" borderId="1" xfId="89" applyFont="1" applyFill="1" applyBorder="1" applyAlignment="1">
      <alignment vertical="center"/>
    </xf>
    <xf numFmtId="0" fontId="8" fillId="10" borderId="1" xfId="89" applyFont="1" applyFill="1" applyBorder="1" applyAlignment="1">
      <alignment horizontal="justify" vertical="center" wrapText="1"/>
    </xf>
    <xf numFmtId="0" fontId="77" fillId="0" borderId="1" xfId="89" applyFont="1" applyBorder="1" applyAlignment="1">
      <alignment horizontal="justify" vertical="center" wrapText="1"/>
    </xf>
    <xf numFmtId="43" fontId="10" fillId="2" borderId="1" xfId="81" applyNumberFormat="1" applyFont="1" applyFill="1" applyBorder="1" applyAlignment="1">
      <alignment horizontal="center" vertical="center"/>
    </xf>
    <xf numFmtId="2" fontId="10" fillId="0" borderId="1" xfId="89" applyNumberFormat="1" applyFont="1" applyBorder="1" applyAlignment="1">
      <alignment horizontal="center" vertical="center" wrapText="1"/>
    </xf>
    <xf numFmtId="168" fontId="8" fillId="2" borderId="1" xfId="89" applyNumberFormat="1" applyFont="1" applyFill="1" applyBorder="1" applyAlignment="1">
      <alignment horizontal="center" vertical="center" wrapText="1"/>
    </xf>
    <xf numFmtId="4" fontId="8" fillId="0" borderId="1" xfId="89" applyNumberFormat="1" applyFont="1" applyBorder="1" applyAlignment="1">
      <alignment horizontal="center" vertical="center" wrapText="1"/>
    </xf>
    <xf numFmtId="4" fontId="8" fillId="5" borderId="1" xfId="89" applyNumberFormat="1" applyFont="1" applyFill="1" applyBorder="1" applyAlignment="1">
      <alignment horizontal="center" vertical="center" wrapText="1"/>
    </xf>
    <xf numFmtId="0" fontId="16" fillId="2" borderId="1" xfId="89" applyFont="1" applyFill="1" applyBorder="1" applyAlignment="1">
      <alignment vertical="center" wrapText="1"/>
    </xf>
    <xf numFmtId="4" fontId="10" fillId="2" borderId="1" xfId="89" applyNumberFormat="1" applyFont="1" applyFill="1" applyBorder="1" applyAlignment="1">
      <alignment vertical="center" wrapText="1"/>
    </xf>
    <xf numFmtId="4" fontId="10" fillId="2" borderId="1" xfId="89" applyNumberFormat="1" applyFont="1" applyFill="1" applyBorder="1" applyAlignment="1">
      <alignment horizontal="center" vertical="center" wrapText="1"/>
    </xf>
    <xf numFmtId="0" fontId="10" fillId="2" borderId="1" xfId="89" applyFont="1" applyFill="1" applyBorder="1" applyAlignment="1">
      <alignment vertical="center"/>
    </xf>
    <xf numFmtId="0" fontId="13" fillId="2" borderId="1" xfId="89" applyFont="1" applyFill="1" applyBorder="1" applyAlignment="1">
      <alignment horizontal="left" vertical="center" wrapText="1"/>
    </xf>
    <xf numFmtId="165" fontId="10" fillId="0" borderId="1" xfId="7" applyNumberFormat="1" applyFont="1" applyBorder="1" applyAlignment="1">
      <alignment horizontal="center" vertical="center" wrapText="1"/>
    </xf>
    <xf numFmtId="0" fontId="8" fillId="2" borderId="1" xfId="7" applyFont="1" applyFill="1" applyBorder="1" applyAlignment="1">
      <alignment horizontal="left" vertical="top" wrapText="1"/>
    </xf>
    <xf numFmtId="0" fontId="10" fillId="0" borderId="1" xfId="7" applyFont="1" applyBorder="1" applyAlignment="1">
      <alignment horizontal="left" vertical="center" wrapText="1"/>
    </xf>
    <xf numFmtId="0" fontId="13" fillId="0" borderId="1" xfId="7" applyFont="1" applyBorder="1" applyAlignment="1">
      <alignment horizontal="center" vertical="center" wrapText="1"/>
    </xf>
    <xf numFmtId="169" fontId="13" fillId="0" borderId="1" xfId="89" applyNumberFormat="1" applyFont="1" applyBorder="1" applyAlignment="1">
      <alignment vertical="center" wrapText="1"/>
    </xf>
    <xf numFmtId="164" fontId="13" fillId="0" borderId="1" xfId="89" applyNumberFormat="1" applyFont="1" applyBorder="1" applyAlignment="1">
      <alignment horizontal="center" vertical="center"/>
    </xf>
    <xf numFmtId="2" fontId="13" fillId="0" borderId="1" xfId="7" applyNumberFormat="1" applyFont="1" applyBorder="1" applyAlignment="1">
      <alignment horizontal="center" vertical="center" wrapText="1"/>
    </xf>
    <xf numFmtId="43" fontId="13" fillId="2" borderId="1" xfId="81" applyNumberFormat="1" applyFont="1" applyFill="1" applyBorder="1" applyAlignment="1">
      <alignment horizontal="center" vertical="center"/>
    </xf>
    <xf numFmtId="43" fontId="10" fillId="2" borderId="1" xfId="81" applyNumberFormat="1" applyFont="1" applyFill="1" applyBorder="1" applyAlignment="1">
      <alignment vertical="center" wrapText="1"/>
    </xf>
    <xf numFmtId="0" fontId="10" fillId="2" borderId="1" xfId="7" applyFont="1" applyFill="1" applyBorder="1" applyAlignment="1">
      <alignment horizontal="left" vertical="top" wrapText="1"/>
    </xf>
    <xf numFmtId="49" fontId="10" fillId="2" borderId="1" xfId="89" applyNumberFormat="1" applyFont="1" applyFill="1" applyBorder="1" applyAlignment="1">
      <alignment horizontal="center" vertical="center"/>
    </xf>
    <xf numFmtId="0" fontId="13" fillId="2" borderId="1" xfId="7" applyFont="1" applyFill="1" applyBorder="1" applyAlignment="1">
      <alignment horizontal="center" vertical="center" wrapText="1"/>
    </xf>
    <xf numFmtId="43" fontId="22" fillId="0" borderId="1" xfId="81" applyNumberFormat="1" applyFont="1" applyFill="1" applyBorder="1" applyAlignment="1">
      <alignment vertical="center"/>
    </xf>
    <xf numFmtId="2" fontId="10" fillId="0" borderId="1" xfId="7" applyNumberFormat="1" applyFont="1" applyBorder="1" applyAlignment="1">
      <alignment horizontal="center" vertical="center" wrapText="1"/>
    </xf>
    <xf numFmtId="49" fontId="10" fillId="5" borderId="1" xfId="7" applyNumberFormat="1" applyFont="1" applyFill="1" applyBorder="1" applyAlignment="1">
      <alignment horizontal="center" vertical="center" wrapText="1"/>
    </xf>
    <xf numFmtId="0" fontId="8" fillId="5" borderId="1" xfId="7" applyFont="1" applyFill="1" applyBorder="1" applyAlignment="1">
      <alignment vertical="center" wrapText="1"/>
    </xf>
    <xf numFmtId="2" fontId="10" fillId="5" borderId="1" xfId="7" applyNumberFormat="1" applyFont="1" applyFill="1" applyBorder="1" applyAlignment="1">
      <alignment horizontal="center" vertical="center" wrapText="1"/>
    </xf>
    <xf numFmtId="43" fontId="10" fillId="5" borderId="1" xfId="81" applyNumberFormat="1" applyFont="1" applyFill="1" applyBorder="1" applyAlignment="1">
      <alignment vertical="center"/>
    </xf>
    <xf numFmtId="0" fontId="49" fillId="0" borderId="0" xfId="7"/>
    <xf numFmtId="49" fontId="8" fillId="2" borderId="1" xfId="7" applyNumberFormat="1" applyFont="1" applyFill="1" applyBorder="1" applyAlignment="1">
      <alignment horizontal="center" vertical="center" wrapText="1"/>
    </xf>
    <xf numFmtId="166" fontId="8" fillId="2" borderId="1" xfId="7" applyNumberFormat="1" applyFont="1" applyFill="1" applyBorder="1" applyAlignment="1">
      <alignment horizontal="left" vertical="center" wrapText="1"/>
    </xf>
    <xf numFmtId="166" fontId="8" fillId="2" borderId="1" xfId="7" applyNumberFormat="1" applyFont="1" applyFill="1" applyBorder="1" applyAlignment="1">
      <alignment horizontal="center" vertical="center" wrapText="1"/>
    </xf>
    <xf numFmtId="1" fontId="8" fillId="2" borderId="1" xfId="7" applyNumberFormat="1" applyFont="1" applyFill="1" applyBorder="1" applyAlignment="1">
      <alignment horizontal="center" vertical="center" wrapText="1"/>
    </xf>
    <xf numFmtId="49" fontId="10" fillId="2" borderId="1" xfId="7" applyNumberFormat="1" applyFont="1" applyFill="1" applyBorder="1" applyAlignment="1">
      <alignment horizontal="center" vertical="center" wrapText="1"/>
    </xf>
    <xf numFmtId="166" fontId="15" fillId="2" borderId="1" xfId="7" applyNumberFormat="1" applyFont="1" applyFill="1" applyBorder="1" applyAlignment="1">
      <alignment horizontal="left" vertical="center" wrapText="1"/>
    </xf>
    <xf numFmtId="166" fontId="10" fillId="2" borderId="1" xfId="7" applyNumberFormat="1" applyFont="1" applyFill="1" applyBorder="1" applyAlignment="1">
      <alignment horizontal="center" vertical="center" wrapText="1"/>
    </xf>
    <xf numFmtId="1" fontId="10" fillId="2" borderId="1" xfId="7" applyNumberFormat="1" applyFont="1" applyFill="1" applyBorder="1" applyAlignment="1">
      <alignment horizontal="center" vertical="center" wrapText="1"/>
    </xf>
    <xf numFmtId="0" fontId="2" fillId="0" borderId="0" xfId="89" applyAlignment="1">
      <alignment horizontal="center"/>
    </xf>
    <xf numFmtId="0" fontId="13" fillId="0" borderId="0" xfId="89" applyFont="1" applyAlignment="1">
      <alignment vertical="center"/>
    </xf>
    <xf numFmtId="0" fontId="13" fillId="0" borderId="0" xfId="89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3" fontId="78" fillId="0" borderId="1" xfId="81" applyNumberFormat="1" applyFont="1" applyBorder="1" applyAlignment="1">
      <alignment horizontal="center" vertical="center"/>
    </xf>
    <xf numFmtId="43" fontId="9" fillId="0" borderId="1" xfId="81" applyNumberFormat="1" applyFont="1" applyBorder="1" applyAlignment="1">
      <alignment horizontal="center" vertical="center"/>
    </xf>
    <xf numFmtId="165" fontId="8" fillId="2" borderId="5" xfId="0" applyNumberFormat="1" applyFont="1" applyFill="1" applyBorder="1" applyAlignment="1">
      <alignment horizontal="center" vertical="center" wrapText="1"/>
    </xf>
    <xf numFmtId="43" fontId="9" fillId="0" borderId="1" xfId="81" applyNumberFormat="1" applyFont="1" applyBorder="1"/>
    <xf numFmtId="49" fontId="19" fillId="0" borderId="1" xfId="0" applyNumberFormat="1" applyFont="1" applyBorder="1" applyAlignment="1">
      <alignment horizontal="center" vertical="center"/>
    </xf>
    <xf numFmtId="43" fontId="79" fillId="0" borderId="1" xfId="81" applyNumberFormat="1" applyFont="1" applyBorder="1" applyAlignment="1">
      <alignment horizontal="center" vertical="center"/>
    </xf>
    <xf numFmtId="43" fontId="19" fillId="0" borderId="1" xfId="81" applyNumberFormat="1" applyFont="1" applyFill="1" applyBorder="1" applyAlignment="1">
      <alignment horizontal="center" vertical="center"/>
    </xf>
    <xf numFmtId="165" fontId="10" fillId="2" borderId="5" xfId="0" applyNumberFormat="1" applyFont="1" applyFill="1" applyBorder="1" applyAlignment="1">
      <alignment horizontal="center" vertical="center" wrapText="1"/>
    </xf>
    <xf numFmtId="43" fontId="2" fillId="0" borderId="1" xfId="81" applyNumberFormat="1" applyFont="1" applyBorder="1"/>
    <xf numFmtId="43" fontId="19" fillId="0" borderId="1" xfId="81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4" fontId="17" fillId="0" borderId="1" xfId="0" applyNumberFormat="1" applyFont="1" applyBorder="1" applyAlignment="1">
      <alignment horizontal="center" vertical="center" wrapText="1"/>
    </xf>
    <xf numFmtId="43" fontId="8" fillId="0" borderId="1" xfId="81" applyNumberFormat="1" applyFont="1" applyFill="1" applyBorder="1" applyAlignment="1">
      <alignment horizontal="center" vertical="center" wrapText="1"/>
    </xf>
    <xf numFmtId="43" fontId="9" fillId="0" borderId="1" xfId="81" applyNumberFormat="1" applyFont="1" applyBorder="1" applyAlignment="1">
      <alignment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 wrapText="1"/>
    </xf>
    <xf numFmtId="43" fontId="2" fillId="0" borderId="1" xfId="81" applyNumberFormat="1" applyFont="1" applyBorder="1" applyAlignment="1">
      <alignment vertical="center"/>
    </xf>
    <xf numFmtId="165" fontId="8" fillId="2" borderId="1" xfId="2" applyNumberFormat="1" applyFont="1" applyFill="1" applyBorder="1" applyAlignment="1">
      <alignment horizontal="center" vertical="center" wrapText="1"/>
    </xf>
    <xf numFmtId="43" fontId="2" fillId="0" borderId="0" xfId="89" applyNumberFormat="1"/>
    <xf numFmtId="165" fontId="8" fillId="2" borderId="1" xfId="0" applyNumberFormat="1" applyFont="1" applyFill="1" applyBorder="1" applyAlignment="1">
      <alignment horizontal="center" vertical="center" wrapText="1"/>
    </xf>
    <xf numFmtId="0" fontId="27" fillId="0" borderId="2" xfId="2" applyFont="1" applyBorder="1" applyAlignment="1">
      <alignment horizontal="center" vertical="center"/>
    </xf>
    <xf numFmtId="0" fontId="27" fillId="0" borderId="7" xfId="2" applyFont="1" applyBorder="1" applyAlignment="1">
      <alignment horizontal="center" vertical="center"/>
    </xf>
    <xf numFmtId="0" fontId="27" fillId="0" borderId="8" xfId="2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164" fontId="5" fillId="5" borderId="1" xfId="0" applyNumberFormat="1" applyFont="1" applyFill="1" applyBorder="1"/>
    <xf numFmtId="4" fontId="9" fillId="0" borderId="0" xfId="2" applyNumberFormat="1" applyFont="1"/>
    <xf numFmtId="0" fontId="2" fillId="0" borderId="0" xfId="2" applyFont="1"/>
    <xf numFmtId="165" fontId="7" fillId="0" borderId="0" xfId="2" applyNumberFormat="1" applyAlignment="1">
      <alignment horizontal="center"/>
    </xf>
    <xf numFmtId="0" fontId="5" fillId="5" borderId="1" xfId="0" applyFont="1" applyFill="1" applyBorder="1" applyAlignment="1">
      <alignment wrapText="1"/>
    </xf>
    <xf numFmtId="4" fontId="5" fillId="0" borderId="0" xfId="0" applyNumberFormat="1" applyFont="1"/>
    <xf numFmtId="4" fontId="4" fillId="0" borderId="0" xfId="0" applyNumberFormat="1" applyFont="1"/>
    <xf numFmtId="4" fontId="80" fillId="2" borderId="1" xfId="2" applyNumberFormat="1" applyFont="1" applyFill="1" applyBorder="1" applyAlignment="1">
      <alignment horizontal="center" vertical="center" wrapText="1"/>
    </xf>
    <xf numFmtId="4" fontId="8" fillId="0" borderId="1" xfId="50" applyNumberFormat="1" applyFont="1" applyBorder="1" applyAlignment="1">
      <alignment horizontal="center" vertical="center" wrapText="1"/>
    </xf>
    <xf numFmtId="169" fontId="8" fillId="0" borderId="1" xfId="50" applyNumberFormat="1" applyFont="1" applyBorder="1" applyAlignment="1">
      <alignment horizontal="center" vertical="center"/>
    </xf>
    <xf numFmtId="3" fontId="8" fillId="0" borderId="1" xfId="50" applyNumberFormat="1" applyFont="1" applyBorder="1" applyAlignment="1">
      <alignment horizontal="center" vertical="center" wrapText="1"/>
    </xf>
    <xf numFmtId="43" fontId="8" fillId="0" borderId="8" xfId="5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2" fontId="8" fillId="2" borderId="1" xfId="0" applyNumberFormat="1" applyFont="1" applyFill="1" applyBorder="1" applyAlignment="1">
      <alignment horizontal="center" vertical="center" wrapText="1"/>
    </xf>
    <xf numFmtId="43" fontId="22" fillId="0" borderId="1" xfId="49" applyNumberFormat="1" applyFont="1" applyBorder="1" applyAlignment="1">
      <alignment vertical="center"/>
    </xf>
    <xf numFmtId="43" fontId="22" fillId="0" borderId="1" xfId="49" applyNumberFormat="1" applyFont="1" applyBorder="1" applyAlignment="1">
      <alignment horizontal="center" vertical="center"/>
    </xf>
    <xf numFmtId="43" fontId="13" fillId="0" borderId="1" xfId="49" applyNumberFormat="1" applyFont="1" applyBorder="1"/>
    <xf numFmtId="0" fontId="9" fillId="0" borderId="0" xfId="0" applyFont="1"/>
    <xf numFmtId="0" fontId="8" fillId="2" borderId="1" xfId="0" applyFont="1" applyFill="1" applyBorder="1" applyAlignment="1">
      <alignment horizontal="left" vertical="center" wrapText="1"/>
    </xf>
    <xf numFmtId="43" fontId="13" fillId="0" borderId="1" xfId="49" applyNumberFormat="1" applyFont="1" applyBorder="1" applyAlignment="1">
      <alignment vertical="center"/>
    </xf>
    <xf numFmtId="43" fontId="21" fillId="2" borderId="1" xfId="49" applyNumberFormat="1" applyFont="1" applyFill="1" applyBorder="1" applyAlignment="1">
      <alignment vertical="center" wrapText="1"/>
    </xf>
    <xf numFmtId="43" fontId="8" fillId="0" borderId="1" xfId="49" applyNumberFormat="1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/>
    </xf>
    <xf numFmtId="2" fontId="22" fillId="0" borderId="1" xfId="0" applyNumberFormat="1" applyFont="1" applyBorder="1" applyAlignment="1">
      <alignment horizontal="center" vertical="center" wrapText="1"/>
    </xf>
    <xf numFmtId="164" fontId="22" fillId="0" borderId="1" xfId="0" applyNumberFormat="1" applyFont="1" applyBorder="1" applyAlignment="1">
      <alignment vertical="center"/>
    </xf>
    <xf numFmtId="164" fontId="22" fillId="0" borderId="2" xfId="0" applyNumberFormat="1" applyFont="1" applyBorder="1" applyAlignment="1">
      <alignment horizontal="center" vertical="center"/>
    </xf>
    <xf numFmtId="165" fontId="21" fillId="5" borderId="1" xfId="0" applyNumberFormat="1" applyFont="1" applyFill="1" applyBorder="1" applyAlignment="1">
      <alignment vertical="center" wrapText="1"/>
    </xf>
    <xf numFmtId="0" fontId="19" fillId="0" borderId="0" xfId="0" applyFont="1"/>
    <xf numFmtId="0" fontId="8" fillId="10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5" fontId="21" fillId="2" borderId="1" xfId="0" applyNumberFormat="1" applyFont="1" applyFill="1" applyBorder="1" applyAlignment="1">
      <alignment horizontal="center" vertical="center" wrapText="1"/>
    </xf>
    <xf numFmtId="43" fontId="22" fillId="2" borderId="1" xfId="49" applyNumberFormat="1" applyFont="1" applyFill="1" applyBorder="1" applyAlignment="1">
      <alignment vertical="center"/>
    </xf>
    <xf numFmtId="43" fontId="8" fillId="5" borderId="1" xfId="49" applyNumberFormat="1" applyFont="1" applyFill="1" applyBorder="1" applyAlignment="1">
      <alignment horizontal="right" vertical="center"/>
    </xf>
    <xf numFmtId="43" fontId="22" fillId="5" borderId="1" xfId="49" applyNumberFormat="1" applyFont="1" applyFill="1" applyBorder="1"/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wrapText="1"/>
    </xf>
    <xf numFmtId="43" fontId="10" fillId="2" borderId="1" xfId="49" applyNumberFormat="1" applyFont="1" applyFill="1" applyBorder="1" applyAlignment="1">
      <alignment vertical="center"/>
    </xf>
    <xf numFmtId="43" fontId="10" fillId="2" borderId="1" xfId="49" applyNumberFormat="1" applyFont="1" applyFill="1" applyBorder="1" applyAlignment="1">
      <alignment horizontal="right" vertical="center"/>
    </xf>
    <xf numFmtId="43" fontId="8" fillId="2" borderId="1" xfId="49" applyNumberFormat="1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 vertical="top" wrapText="1"/>
    </xf>
    <xf numFmtId="43" fontId="8" fillId="0" borderId="1" xfId="49" applyNumberFormat="1" applyFont="1" applyBorder="1" applyAlignment="1">
      <alignment horizontal="center" vertical="center"/>
    </xf>
    <xf numFmtId="43" fontId="8" fillId="2" borderId="1" xfId="49" applyNumberFormat="1" applyFont="1" applyFill="1" applyBorder="1" applyAlignment="1">
      <alignment vertical="center"/>
    </xf>
    <xf numFmtId="43" fontId="8" fillId="5" borderId="1" xfId="49" applyNumberFormat="1" applyFont="1" applyFill="1" applyBorder="1" applyAlignment="1">
      <alignment horizontal="center" vertical="center"/>
    </xf>
    <xf numFmtId="43" fontId="10" fillId="0" borderId="1" xfId="49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43" fontId="16" fillId="0" borderId="8" xfId="49" applyNumberFormat="1" applyFont="1" applyFill="1" applyBorder="1" applyAlignment="1">
      <alignment horizontal="center" vertical="center" wrapText="1"/>
    </xf>
    <xf numFmtId="169" fontId="16" fillId="0" borderId="1" xfId="0" applyNumberFormat="1" applyFont="1" applyBorder="1" applyAlignment="1">
      <alignment horizontal="center" vertical="center"/>
    </xf>
    <xf numFmtId="43" fontId="10" fillId="0" borderId="1" xfId="49" applyNumberFormat="1" applyFont="1" applyBorder="1"/>
    <xf numFmtId="0" fontId="13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center" vertical="center" wrapText="1"/>
    </xf>
    <xf numFmtId="43" fontId="10" fillId="0" borderId="8" xfId="49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43" fontId="13" fillId="2" borderId="1" xfId="49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43" fontId="22" fillId="5" borderId="1" xfId="49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 wrapText="1"/>
    </xf>
    <xf numFmtId="0" fontId="10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43" fontId="8" fillId="5" borderId="1" xfId="49" applyNumberFormat="1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169" fontId="10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justify" vertical="center" wrapText="1"/>
    </xf>
    <xf numFmtId="0" fontId="77" fillId="0" borderId="1" xfId="0" applyFont="1" applyBorder="1" applyAlignment="1">
      <alignment horizontal="justify" vertical="center" wrapText="1"/>
    </xf>
    <xf numFmtId="168" fontId="8" fillId="2" borderId="1" xfId="0" applyNumberFormat="1" applyFont="1" applyFill="1" applyBorder="1" applyAlignment="1">
      <alignment horizontal="center" vertical="center" wrapText="1"/>
    </xf>
    <xf numFmtId="43" fontId="22" fillId="0" borderId="1" xfId="49" applyNumberFormat="1" applyFont="1" applyFill="1" applyBorder="1" applyAlignment="1">
      <alignment vertical="center"/>
    </xf>
    <xf numFmtId="0" fontId="22" fillId="5" borderId="1" xfId="2" applyFont="1" applyFill="1" applyBorder="1"/>
    <xf numFmtId="0" fontId="22" fillId="5" borderId="1" xfId="2" applyFont="1" applyFill="1" applyBorder="1" applyAlignment="1">
      <alignment horizontal="center"/>
    </xf>
    <xf numFmtId="0" fontId="22" fillId="5" borderId="1" xfId="2" applyFont="1" applyFill="1" applyBorder="1" applyAlignment="1">
      <alignment horizontal="center" vertical="center"/>
    </xf>
    <xf numFmtId="0" fontId="22" fillId="42" borderId="1" xfId="2" applyFont="1" applyFill="1" applyBorder="1"/>
    <xf numFmtId="2" fontId="0" fillId="0" borderId="0" xfId="0" applyNumberFormat="1"/>
    <xf numFmtId="169" fontId="35" fillId="0" borderId="1" xfId="0" applyNumberFormat="1" applyFont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2" fontId="8" fillId="0" borderId="1" xfId="2" applyNumberFormat="1" applyFont="1" applyBorder="1" applyAlignment="1">
      <alignment horizontal="center" vertical="center" wrapText="1"/>
    </xf>
    <xf numFmtId="165" fontId="8" fillId="2" borderId="1" xfId="2" applyNumberFormat="1" applyFont="1" applyFill="1" applyBorder="1" applyAlignment="1">
      <alignment horizontal="center" vertical="center" wrapText="1"/>
    </xf>
    <xf numFmtId="165" fontId="8" fillId="2" borderId="2" xfId="2" applyNumberFormat="1" applyFont="1" applyFill="1" applyBorder="1" applyAlignment="1">
      <alignment horizontal="center" vertical="center" wrapText="1"/>
    </xf>
    <xf numFmtId="49" fontId="8" fillId="0" borderId="1" xfId="50" applyNumberFormat="1" applyFont="1" applyBorder="1" applyAlignment="1">
      <alignment horizontal="center" vertical="center" wrapText="1"/>
    </xf>
    <xf numFmtId="2" fontId="8" fillId="0" borderId="1" xfId="5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49" fontId="8" fillId="0" borderId="1" xfId="19" applyNumberFormat="1" applyFont="1" applyBorder="1" applyAlignment="1">
      <alignment horizontal="center" vertical="center" wrapText="1"/>
    </xf>
    <xf numFmtId="2" fontId="8" fillId="0" borderId="1" xfId="19" applyNumberFormat="1" applyFont="1" applyBorder="1" applyAlignment="1">
      <alignment horizontal="center" vertical="center" wrapText="1"/>
    </xf>
    <xf numFmtId="165" fontId="8" fillId="2" borderId="1" xfId="19" applyNumberFormat="1" applyFont="1" applyFill="1" applyBorder="1" applyAlignment="1">
      <alignment horizontal="center" vertical="center" wrapText="1"/>
    </xf>
    <xf numFmtId="49" fontId="8" fillId="0" borderId="5" xfId="19" applyNumberFormat="1" applyFont="1" applyBorder="1" applyAlignment="1">
      <alignment horizontal="center" vertical="center" wrapText="1"/>
    </xf>
    <xf numFmtId="49" fontId="8" fillId="5" borderId="1" xfId="2" applyNumberFormat="1" applyFont="1" applyFill="1" applyBorder="1" applyAlignment="1">
      <alignment horizontal="center"/>
    </xf>
    <xf numFmtId="49" fontId="7" fillId="0" borderId="1" xfId="2" applyNumberFormat="1" applyBorder="1" applyAlignment="1">
      <alignment horizontal="center"/>
    </xf>
    <xf numFmtId="49" fontId="1" fillId="2" borderId="1" xfId="2" applyNumberFormat="1" applyFont="1" applyFill="1" applyBorder="1" applyAlignment="1">
      <alignment horizontal="center"/>
    </xf>
    <xf numFmtId="0" fontId="1" fillId="0" borderId="0" xfId="2" applyFont="1"/>
    <xf numFmtId="4" fontId="4" fillId="3" borderId="1" xfId="2" applyNumberFormat="1" applyFont="1" applyFill="1" applyBorder="1" applyAlignment="1">
      <alignment horizontal="right" vertical="center" wrapText="1"/>
    </xf>
    <xf numFmtId="0" fontId="7" fillId="0" borderId="0" xfId="2" applyAlignment="1">
      <alignment horizontal="right"/>
    </xf>
    <xf numFmtId="43" fontId="13" fillId="0" borderId="1" xfId="3" applyNumberFormat="1" applyFont="1" applyBorder="1" applyAlignment="1">
      <alignment horizontal="right" vertical="center"/>
    </xf>
    <xf numFmtId="4" fontId="22" fillId="5" borderId="1" xfId="2" applyNumberFormat="1" applyFont="1" applyFill="1" applyBorder="1" applyAlignment="1">
      <alignment horizontal="right"/>
    </xf>
    <xf numFmtId="169" fontId="7" fillId="2" borderId="1" xfId="2" applyNumberFormat="1" applyFill="1" applyBorder="1" applyAlignment="1">
      <alignment horizontal="right"/>
    </xf>
    <xf numFmtId="169" fontId="7" fillId="2" borderId="2" xfId="2" applyNumberFormat="1" applyFill="1" applyBorder="1" applyAlignment="1">
      <alignment horizontal="right"/>
    </xf>
    <xf numFmtId="169" fontId="7" fillId="0" borderId="1" xfId="2" applyNumberFormat="1" applyBorder="1" applyAlignment="1">
      <alignment horizontal="right"/>
    </xf>
    <xf numFmtId="169" fontId="7" fillId="0" borderId="2" xfId="2" applyNumberFormat="1" applyBorder="1" applyAlignment="1">
      <alignment horizontal="right"/>
    </xf>
    <xf numFmtId="0" fontId="7" fillId="0" borderId="1" xfId="2" applyBorder="1" applyAlignment="1">
      <alignment horizontal="right"/>
    </xf>
    <xf numFmtId="169" fontId="9" fillId="0" borderId="1" xfId="2" applyNumberFormat="1" applyFont="1" applyBorder="1" applyAlignment="1">
      <alignment horizontal="right"/>
    </xf>
    <xf numFmtId="0" fontId="9" fillId="0" borderId="1" xfId="2" applyFont="1" applyBorder="1" applyAlignment="1">
      <alignment horizontal="right"/>
    </xf>
    <xf numFmtId="169" fontId="27" fillId="0" borderId="2" xfId="2" applyNumberFormat="1" applyFont="1" applyBorder="1" applyAlignment="1">
      <alignment horizontal="right"/>
    </xf>
    <xf numFmtId="169" fontId="0" fillId="0" borderId="1" xfId="3" applyNumberFormat="1" applyFont="1" applyBorder="1" applyAlignment="1">
      <alignment horizontal="right" vertical="center"/>
    </xf>
    <xf numFmtId="169" fontId="7" fillId="0" borderId="1" xfId="2" applyNumberFormat="1" applyBorder="1" applyAlignment="1">
      <alignment horizontal="right" vertical="center"/>
    </xf>
    <xf numFmtId="169" fontId="31" fillId="0" borderId="1" xfId="2" applyNumberFormat="1" applyFont="1" applyBorder="1" applyAlignment="1">
      <alignment horizontal="right"/>
    </xf>
    <xf numFmtId="4" fontId="8" fillId="0" borderId="3" xfId="50" applyNumberFormat="1" applyFont="1" applyBorder="1" applyAlignment="1">
      <alignment horizontal="right" vertical="center"/>
    </xf>
    <xf numFmtId="4" fontId="8" fillId="0" borderId="1" xfId="50" applyNumberFormat="1" applyFont="1" applyBorder="1" applyAlignment="1">
      <alignment horizontal="right" vertical="center"/>
    </xf>
    <xf numFmtId="4" fontId="8" fillId="2" borderId="5" xfId="50" applyNumberFormat="1" applyFont="1" applyFill="1" applyBorder="1" applyAlignment="1">
      <alignment horizontal="right" vertical="center" wrapText="1"/>
    </xf>
    <xf numFmtId="4" fontId="22" fillId="0" borderId="1" xfId="49" applyNumberFormat="1" applyFont="1" applyBorder="1" applyAlignment="1">
      <alignment horizontal="right" vertical="center"/>
    </xf>
    <xf numFmtId="4" fontId="22" fillId="0" borderId="1" xfId="49" applyNumberFormat="1" applyFont="1" applyBorder="1" applyAlignment="1">
      <alignment horizontal="right"/>
    </xf>
    <xf numFmtId="4" fontId="22" fillId="5" borderId="1" xfId="3" applyNumberFormat="1" applyFont="1" applyFill="1" applyBorder="1" applyAlignment="1">
      <alignment horizontal="right"/>
    </xf>
    <xf numFmtId="4" fontId="22" fillId="5" borderId="1" xfId="49" applyNumberFormat="1" applyFont="1" applyFill="1" applyBorder="1" applyAlignment="1">
      <alignment horizontal="right"/>
    </xf>
    <xf numFmtId="4" fontId="8" fillId="5" borderId="1" xfId="49" applyNumberFormat="1" applyFont="1" applyFill="1" applyBorder="1" applyAlignment="1">
      <alignment horizontal="right"/>
    </xf>
    <xf numFmtId="0" fontId="8" fillId="5" borderId="1" xfId="50" applyFont="1" applyFill="1" applyBorder="1" applyAlignment="1">
      <alignment horizontal="center" vertical="center" wrapText="1"/>
    </xf>
    <xf numFmtId="165" fontId="8" fillId="5" borderId="1" xfId="50" applyNumberFormat="1" applyFont="1" applyFill="1" applyBorder="1" applyAlignment="1">
      <alignment horizontal="center" vertical="center" wrapText="1"/>
    </xf>
    <xf numFmtId="0" fontId="8" fillId="5" borderId="1" xfId="19" applyFont="1" applyFill="1" applyBorder="1" applyAlignment="1">
      <alignment horizontal="center" vertical="center" wrapText="1"/>
    </xf>
    <xf numFmtId="165" fontId="8" fillId="5" borderId="1" xfId="19" applyNumberFormat="1" applyFont="1" applyFill="1" applyBorder="1" applyAlignment="1">
      <alignment horizontal="center" vertical="center" wrapText="1"/>
    </xf>
    <xf numFmtId="2" fontId="8" fillId="5" borderId="1" xfId="2" applyNumberFormat="1" applyFont="1" applyFill="1" applyBorder="1" applyAlignment="1">
      <alignment horizontal="center" vertical="center" wrapText="1"/>
    </xf>
    <xf numFmtId="43" fontId="22" fillId="5" borderId="1" xfId="3" applyNumberFormat="1" applyFont="1" applyFill="1" applyBorder="1" applyAlignment="1">
      <alignment horizontal="center" vertical="center"/>
    </xf>
    <xf numFmtId="4" fontId="22" fillId="5" borderId="1" xfId="3" applyNumberFormat="1" applyFont="1" applyFill="1" applyBorder="1" applyAlignment="1">
      <alignment horizontal="right" vertical="center"/>
    </xf>
    <xf numFmtId="4" fontId="22" fillId="0" borderId="1" xfId="3" applyNumberFormat="1" applyFont="1" applyBorder="1" applyAlignment="1">
      <alignment horizontal="right" vertical="center"/>
    </xf>
    <xf numFmtId="4" fontId="22" fillId="0" borderId="1" xfId="3" applyNumberFormat="1" applyFont="1" applyBorder="1" applyAlignment="1">
      <alignment horizontal="right"/>
    </xf>
    <xf numFmtId="4" fontId="22" fillId="5" borderId="1" xfId="50" applyNumberFormat="1" applyFont="1" applyFill="1" applyBorder="1" applyAlignment="1">
      <alignment horizontal="right" vertical="center"/>
    </xf>
    <xf numFmtId="4" fontId="22" fillId="0" borderId="3" xfId="51" applyNumberFormat="1" applyFont="1" applyBorder="1" applyAlignment="1">
      <alignment horizontal="right"/>
    </xf>
    <xf numFmtId="4" fontId="22" fillId="0" borderId="1" xfId="51" applyNumberFormat="1" applyFont="1" applyBorder="1" applyAlignment="1">
      <alignment horizontal="right"/>
    </xf>
    <xf numFmtId="4" fontId="22" fillId="0" borderId="1" xfId="51" applyNumberFormat="1" applyFont="1" applyFill="1" applyBorder="1" applyAlignment="1">
      <alignment horizontal="right"/>
    </xf>
    <xf numFmtId="4" fontId="22" fillId="5" borderId="1" xfId="0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center"/>
    </xf>
    <xf numFmtId="4" fontId="22" fillId="5" borderId="1" xfId="19" applyNumberFormat="1" applyFont="1" applyFill="1" applyBorder="1" applyAlignment="1">
      <alignment horizontal="right" vertical="center"/>
    </xf>
    <xf numFmtId="4" fontId="22" fillId="0" borderId="3" xfId="3" applyNumberFormat="1" applyFont="1" applyBorder="1" applyAlignment="1">
      <alignment horizontal="right"/>
    </xf>
    <xf numFmtId="0" fontId="13" fillId="5" borderId="1" xfId="2" applyFont="1" applyFill="1" applyBorder="1" applyAlignment="1">
      <alignment horizontal="center"/>
    </xf>
    <xf numFmtId="43" fontId="8" fillId="5" borderId="1" xfId="3" applyNumberFormat="1" applyFont="1" applyFill="1" applyBorder="1" applyAlignment="1">
      <alignment horizontal="center" vertical="center"/>
    </xf>
    <xf numFmtId="0" fontId="8" fillId="0" borderId="1" xfId="50" applyFont="1" applyBorder="1" applyAlignment="1">
      <alignment horizontal="left" vertical="center" wrapText="1"/>
    </xf>
    <xf numFmtId="0" fontId="8" fillId="0" borderId="1" xfId="50" applyFont="1" applyFill="1" applyBorder="1" applyAlignment="1">
      <alignment horizontal="left" vertical="center" wrapText="1"/>
    </xf>
    <xf numFmtId="0" fontId="8" fillId="8" borderId="3" xfId="2" applyFont="1" applyFill="1" applyBorder="1" applyAlignment="1">
      <alignment horizontal="left" vertical="center" wrapText="1"/>
    </xf>
    <xf numFmtId="2" fontId="8" fillId="8" borderId="3" xfId="2" applyNumberFormat="1" applyFont="1" applyFill="1" applyBorder="1" applyAlignment="1">
      <alignment horizontal="center" vertical="center" wrapText="1"/>
    </xf>
    <xf numFmtId="1" fontId="8" fillId="8" borderId="3" xfId="2" applyNumberFormat="1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left" vertical="center" wrapText="1"/>
    </xf>
    <xf numFmtId="2" fontId="8" fillId="0" borderId="3" xfId="2" applyNumberFormat="1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>
      <alignment vertical="center" wrapText="1"/>
    </xf>
    <xf numFmtId="168" fontId="8" fillId="0" borderId="1" xfId="2" applyNumberFormat="1" applyFont="1" applyFill="1" applyBorder="1" applyAlignment="1">
      <alignment horizontal="center" vertical="center" wrapText="1"/>
    </xf>
    <xf numFmtId="4" fontId="8" fillId="0" borderId="1" xfId="3" applyNumberFormat="1" applyFont="1" applyFill="1" applyBorder="1" applyAlignment="1">
      <alignment horizontal="right"/>
    </xf>
    <xf numFmtId="4" fontId="22" fillId="0" borderId="1" xfId="49" applyNumberFormat="1" applyFont="1" applyBorder="1" applyAlignment="1">
      <alignment horizontal="center" vertical="center"/>
    </xf>
    <xf numFmtId="49" fontId="81" fillId="0" borderId="1" xfId="0" applyNumberFormat="1" applyFont="1" applyBorder="1" applyAlignment="1">
      <alignment horizontal="center" vertical="top" wrapText="1"/>
    </xf>
    <xf numFmtId="0" fontId="81" fillId="0" borderId="1" xfId="0" applyFont="1" applyBorder="1" applyAlignment="1">
      <alignment horizontal="left" vertical="top" wrapText="1"/>
    </xf>
    <xf numFmtId="0" fontId="81" fillId="0" borderId="1" xfId="0" applyFont="1" applyBorder="1" applyAlignment="1">
      <alignment horizontal="center" vertical="center" wrapText="1"/>
    </xf>
    <xf numFmtId="4" fontId="81" fillId="0" borderId="1" xfId="0" applyNumberFormat="1" applyFont="1" applyBorder="1" applyAlignment="1">
      <alignment horizontal="center" vertical="center" wrapText="1"/>
    </xf>
    <xf numFmtId="4" fontId="81" fillId="0" borderId="1" xfId="0" applyNumberFormat="1" applyFont="1" applyBorder="1" applyAlignment="1">
      <alignment horizontal="right" vertical="center" wrapText="1"/>
    </xf>
    <xf numFmtId="4" fontId="22" fillId="0" borderId="1" xfId="0" applyNumberFormat="1" applyFont="1" applyBorder="1" applyAlignment="1">
      <alignment horizontal="right" vertical="center"/>
    </xf>
    <xf numFmtId="49" fontId="22" fillId="0" borderId="1" xfId="0" applyNumberFormat="1" applyFont="1" applyBorder="1" applyAlignment="1">
      <alignment horizontal="center"/>
    </xf>
    <xf numFmtId="0" fontId="22" fillId="0" borderId="1" xfId="0" applyFont="1" applyBorder="1"/>
    <xf numFmtId="0" fontId="22" fillId="0" borderId="1" xfId="0" applyFont="1" applyBorder="1" applyAlignment="1">
      <alignment horizontal="center" vertical="center"/>
    </xf>
    <xf numFmtId="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4" fontId="22" fillId="0" borderId="1" xfId="0" applyNumberFormat="1" applyFont="1" applyBorder="1" applyAlignment="1">
      <alignment horizontal="right" vertical="center" wrapText="1"/>
    </xf>
    <xf numFmtId="4" fontId="22" fillId="0" borderId="2" xfId="0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vertical="center" wrapText="1"/>
    </xf>
    <xf numFmtId="4" fontId="22" fillId="0" borderId="1" xfId="0" applyNumberFormat="1" applyFont="1" applyBorder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2" fillId="0" borderId="1" xfId="50" applyNumberFormat="1" applyFont="1" applyBorder="1" applyAlignment="1">
      <alignment horizontal="center" vertical="center"/>
    </xf>
    <xf numFmtId="0" fontId="22" fillId="0" borderId="1" xfId="100" applyFont="1" applyBorder="1" applyAlignment="1">
      <alignment vertical="center" wrapText="1"/>
    </xf>
    <xf numFmtId="0" fontId="22" fillId="0" borderId="1" xfId="100" applyFont="1" applyBorder="1" applyAlignment="1">
      <alignment horizontal="center" vertical="center" wrapText="1"/>
    </xf>
    <xf numFmtId="4" fontId="22" fillId="0" borderId="1" xfId="100" applyNumberFormat="1" applyFont="1" applyBorder="1" applyAlignment="1">
      <alignment horizontal="center" vertical="center" wrapText="1"/>
    </xf>
    <xf numFmtId="4" fontId="22" fillId="0" borderId="1" xfId="50" applyNumberFormat="1" applyFont="1" applyBorder="1" applyAlignment="1">
      <alignment horizontal="center" vertical="center"/>
    </xf>
    <xf numFmtId="4" fontId="22" fillId="0" borderId="1" xfId="50" applyNumberFormat="1" applyFont="1" applyBorder="1" applyAlignment="1">
      <alignment horizontal="right" vertical="center"/>
    </xf>
    <xf numFmtId="0" fontId="22" fillId="0" borderId="1" xfId="50" applyFont="1" applyBorder="1" applyAlignment="1">
      <alignment wrapText="1"/>
    </xf>
    <xf numFmtId="4" fontId="8" fillId="0" borderId="1" xfId="50" applyNumberFormat="1" applyFont="1" applyBorder="1" applyAlignment="1">
      <alignment horizontal="right" vertical="center" wrapText="1"/>
    </xf>
    <xf numFmtId="0" fontId="8" fillId="0" borderId="1" xfId="101" applyFont="1" applyBorder="1" applyAlignment="1">
      <alignment vertical="center" wrapText="1"/>
    </xf>
    <xf numFmtId="0" fontId="22" fillId="0" borderId="1" xfId="101" applyFont="1" applyBorder="1" applyAlignment="1">
      <alignment horizontal="center" vertical="center" wrapText="1"/>
    </xf>
    <xf numFmtId="0" fontId="22" fillId="0" borderId="1" xfId="50" applyFont="1" applyBorder="1"/>
    <xf numFmtId="0" fontId="22" fillId="0" borderId="1" xfId="50" applyFont="1" applyBorder="1" applyAlignment="1">
      <alignment horizontal="center" vertical="center"/>
    </xf>
    <xf numFmtId="4" fontId="22" fillId="0" borderId="0" xfId="50" applyNumberFormat="1" applyFont="1" applyAlignment="1">
      <alignment horizontal="right" vertical="center"/>
    </xf>
    <xf numFmtId="49" fontId="22" fillId="0" borderId="1" xfId="98" applyNumberFormat="1" applyFont="1" applyBorder="1" applyAlignment="1">
      <alignment horizontal="center"/>
    </xf>
    <xf numFmtId="0" fontId="22" fillId="0" borderId="1" xfId="98" applyFont="1" applyBorder="1"/>
    <xf numFmtId="0" fontId="22" fillId="0" borderId="1" xfId="98" applyFont="1" applyBorder="1" applyAlignment="1">
      <alignment horizontal="center" vertical="center"/>
    </xf>
    <xf numFmtId="4" fontId="22" fillId="0" borderId="1" xfId="98" applyNumberFormat="1" applyFont="1" applyBorder="1" applyAlignment="1">
      <alignment horizontal="center" vertical="center"/>
    </xf>
    <xf numFmtId="4" fontId="22" fillId="0" borderId="1" xfId="98" applyNumberFormat="1" applyFont="1" applyBorder="1" applyAlignment="1">
      <alignment horizontal="right" vertical="center"/>
    </xf>
    <xf numFmtId="166" fontId="8" fillId="2" borderId="1" xfId="2" applyNumberFormat="1" applyFont="1" applyFill="1" applyBorder="1" applyAlignment="1">
      <alignment vertical="center" wrapText="1"/>
    </xf>
    <xf numFmtId="4" fontId="22" fillId="0" borderId="1" xfId="2" applyNumberFormat="1" applyFont="1" applyFill="1" applyBorder="1" applyAlignment="1">
      <alignment horizontal="center"/>
    </xf>
    <xf numFmtId="43" fontId="22" fillId="0" borderId="0" xfId="3" applyNumberFormat="1" applyFont="1" applyAlignment="1">
      <alignment horizontal="center" vertical="center"/>
    </xf>
    <xf numFmtId="4" fontId="22" fillId="0" borderId="2" xfId="2" applyNumberFormat="1" applyFont="1" applyBorder="1" applyAlignment="1">
      <alignment horizontal="center"/>
    </xf>
    <xf numFmtId="4" fontId="8" fillId="0" borderId="2" xfId="2" applyNumberFormat="1" applyFont="1" applyFill="1" applyBorder="1" applyAlignment="1">
      <alignment horizontal="center" vertical="center" wrapText="1"/>
    </xf>
    <xf numFmtId="4" fontId="8" fillId="2" borderId="4" xfId="2" applyNumberFormat="1" applyFont="1" applyFill="1" applyBorder="1" applyAlignment="1">
      <alignment horizontal="center" vertical="center" wrapText="1"/>
    </xf>
    <xf numFmtId="4" fontId="8" fillId="2" borderId="2" xfId="2" applyNumberFormat="1" applyFont="1" applyFill="1" applyBorder="1" applyAlignment="1">
      <alignment horizontal="center" vertical="center" wrapText="1"/>
    </xf>
    <xf numFmtId="0" fontId="22" fillId="0" borderId="1" xfId="2" applyFont="1" applyBorder="1"/>
    <xf numFmtId="4" fontId="22" fillId="0" borderId="0" xfId="2" applyNumberFormat="1" applyFont="1" applyAlignment="1">
      <alignment horizontal="right"/>
    </xf>
    <xf numFmtId="0" fontId="82" fillId="2" borderId="1" xfId="2" applyFont="1" applyFill="1" applyBorder="1" applyAlignment="1">
      <alignment vertical="center" wrapText="1"/>
    </xf>
    <xf numFmtId="0" fontId="83" fillId="2" borderId="1" xfId="2" applyFont="1" applyFill="1" applyBorder="1" applyAlignment="1">
      <alignment horizontal="left" vertical="center" wrapText="1"/>
    </xf>
    <xf numFmtId="2" fontId="22" fillId="2" borderId="2" xfId="2" applyNumberFormat="1" applyFont="1" applyFill="1" applyBorder="1" applyAlignment="1">
      <alignment horizontal="center" vertical="center"/>
    </xf>
    <xf numFmtId="43" fontId="8" fillId="2" borderId="1" xfId="3" applyNumberFormat="1" applyFont="1" applyFill="1" applyBorder="1" applyAlignment="1">
      <alignment horizontal="center" vertical="center" wrapText="1"/>
    </xf>
    <xf numFmtId="2" fontId="22" fillId="2" borderId="2" xfId="2" applyNumberFormat="1" applyFont="1" applyFill="1" applyBorder="1" applyAlignment="1">
      <alignment horizontal="center"/>
    </xf>
    <xf numFmtId="0" fontId="8" fillId="2" borderId="3" xfId="2" applyFont="1" applyFill="1" applyBorder="1" applyAlignment="1">
      <alignment vertical="center" wrapText="1"/>
    </xf>
    <xf numFmtId="165" fontId="8" fillId="2" borderId="4" xfId="2" applyNumberFormat="1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77" fillId="2" borderId="3" xfId="2" applyFont="1" applyFill="1" applyBorder="1" applyAlignment="1">
      <alignment horizontal="left" vertical="center" wrapText="1"/>
    </xf>
    <xf numFmtId="0" fontId="77" fillId="2" borderId="1" xfId="2" applyFont="1" applyFill="1" applyBorder="1" applyAlignment="1">
      <alignment horizontal="left" vertical="center" wrapText="1"/>
    </xf>
    <xf numFmtId="4" fontId="8" fillId="2" borderId="2" xfId="2" applyNumberFormat="1" applyFont="1" applyFill="1" applyBorder="1" applyAlignment="1">
      <alignment horizontal="left" vertical="center" wrapText="1"/>
    </xf>
    <xf numFmtId="4" fontId="8" fillId="0" borderId="1" xfId="2" applyNumberFormat="1" applyFont="1" applyBorder="1" applyAlignment="1">
      <alignment horizontal="center" vertical="center" wrapText="1"/>
    </xf>
    <xf numFmtId="0" fontId="77" fillId="2" borderId="1" xfId="2" applyFont="1" applyFill="1" applyBorder="1" applyAlignment="1">
      <alignment vertical="center" wrapText="1"/>
    </xf>
    <xf numFmtId="2" fontId="8" fillId="2" borderId="2" xfId="2" applyNumberFormat="1" applyFont="1" applyFill="1" applyBorder="1" applyAlignment="1">
      <alignment horizontal="center" vertical="center"/>
    </xf>
    <xf numFmtId="2" fontId="8" fillId="0" borderId="2" xfId="2" applyNumberFormat="1" applyFont="1" applyBorder="1" applyAlignment="1">
      <alignment horizontal="center" vertical="center" wrapText="1"/>
    </xf>
    <xf numFmtId="4" fontId="8" fillId="2" borderId="1" xfId="2" applyNumberFormat="1" applyFont="1" applyFill="1" applyBorder="1" applyAlignment="1">
      <alignment horizontal="left" vertical="center" wrapText="1"/>
    </xf>
    <xf numFmtId="0" fontId="82" fillId="2" borderId="1" xfId="2" applyFont="1" applyFill="1" applyBorder="1" applyAlignment="1">
      <alignment horizontal="left" vertical="center" wrapText="1"/>
    </xf>
    <xf numFmtId="2" fontId="21" fillId="2" borderId="1" xfId="2" applyNumberFormat="1" applyFont="1" applyFill="1" applyBorder="1" applyAlignment="1">
      <alignment horizontal="center" vertical="center" wrapText="1"/>
    </xf>
    <xf numFmtId="165" fontId="21" fillId="2" borderId="1" xfId="2" applyNumberFormat="1" applyFont="1" applyFill="1" applyBorder="1" applyAlignment="1">
      <alignment horizontal="center" vertical="center" wrapText="1"/>
    </xf>
    <xf numFmtId="43" fontId="21" fillId="0" borderId="1" xfId="3" applyNumberFormat="1" applyFont="1" applyBorder="1" applyAlignment="1">
      <alignment horizontal="center" vertical="center"/>
    </xf>
    <xf numFmtId="0" fontId="82" fillId="0" borderId="1" xfId="2" applyFont="1" applyBorder="1" applyAlignment="1">
      <alignment vertical="center" wrapText="1"/>
    </xf>
    <xf numFmtId="0" fontId="82" fillId="0" borderId="1" xfId="2" applyFont="1" applyBorder="1" applyAlignment="1">
      <alignment horizontal="left" vertical="center" wrapText="1"/>
    </xf>
    <xf numFmtId="4" fontId="22" fillId="0" borderId="1" xfId="3" applyNumberFormat="1" applyFont="1" applyFill="1" applyBorder="1" applyAlignment="1">
      <alignment horizontal="right" vertical="center"/>
    </xf>
    <xf numFmtId="1" fontId="8" fillId="0" borderId="1" xfId="7" applyNumberFormat="1" applyFont="1" applyBorder="1" applyAlignment="1">
      <alignment horizontal="center" vertical="center" wrapText="1"/>
    </xf>
    <xf numFmtId="4" fontId="22" fillId="0" borderId="2" xfId="2" applyNumberFormat="1" applyFont="1" applyBorder="1" applyAlignment="1">
      <alignment horizontal="center" vertical="center"/>
    </xf>
    <xf numFmtId="1" fontId="22" fillId="2" borderId="1" xfId="2" applyNumberFormat="1" applyFont="1" applyFill="1" applyBorder="1" applyAlignment="1">
      <alignment horizontal="center" vertical="center" wrapText="1"/>
    </xf>
    <xf numFmtId="164" fontId="22" fillId="0" borderId="1" xfId="2" applyNumberFormat="1" applyFont="1" applyBorder="1" applyAlignment="1">
      <alignment horizontal="center" vertical="center"/>
    </xf>
    <xf numFmtId="164" fontId="22" fillId="0" borderId="2" xfId="2" applyNumberFormat="1" applyFont="1" applyBorder="1" applyAlignment="1">
      <alignment horizontal="center" vertical="center"/>
    </xf>
    <xf numFmtId="4" fontId="22" fillId="0" borderId="5" xfId="3" applyNumberFormat="1" applyFont="1" applyBorder="1" applyAlignment="1">
      <alignment horizontal="right" vertical="center"/>
    </xf>
    <xf numFmtId="4" fontId="22" fillId="0" borderId="5" xfId="49" applyNumberFormat="1" applyFont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 vertical="center" wrapText="1"/>
    </xf>
    <xf numFmtId="43" fontId="22" fillId="0" borderId="5" xfId="49" applyNumberFormat="1" applyFont="1" applyBorder="1" applyAlignment="1">
      <alignment horizontal="center" vertical="center"/>
    </xf>
    <xf numFmtId="4" fontId="84" fillId="2" borderId="1" xfId="2" applyNumberFormat="1" applyFont="1" applyFill="1" applyBorder="1" applyAlignment="1">
      <alignment horizontal="center" vertical="center" wrapText="1"/>
    </xf>
    <xf numFmtId="4" fontId="8" fillId="2" borderId="1" xfId="2" applyNumberFormat="1" applyFont="1" applyFill="1" applyBorder="1" applyAlignment="1">
      <alignment horizontal="right" vertical="center"/>
    </xf>
    <xf numFmtId="0" fontId="22" fillId="0" borderId="1" xfId="2" applyFont="1" applyBorder="1" applyAlignment="1">
      <alignment vertical="top" wrapText="1"/>
    </xf>
    <xf numFmtId="0" fontId="22" fillId="0" borderId="1" xfId="2" applyFont="1" applyBorder="1" applyAlignment="1">
      <alignment horizontal="center" vertical="top" wrapText="1"/>
    </xf>
    <xf numFmtId="4" fontId="22" fillId="0" borderId="1" xfId="2" applyNumberFormat="1" applyFont="1" applyBorder="1" applyAlignment="1">
      <alignment horizontal="center" vertical="top" wrapText="1"/>
    </xf>
    <xf numFmtId="0" fontId="85" fillId="0" borderId="1" xfId="2" applyFont="1" applyBorder="1"/>
    <xf numFmtId="43" fontId="22" fillId="5" borderId="1" xfId="51" applyNumberFormat="1" applyFont="1" applyFill="1" applyBorder="1" applyAlignment="1">
      <alignment horizontal="center" vertical="center"/>
    </xf>
    <xf numFmtId="43" fontId="22" fillId="5" borderId="2" xfId="51" applyNumberFormat="1" applyFont="1" applyFill="1" applyBorder="1" applyAlignment="1">
      <alignment horizontal="center" vertical="center"/>
    </xf>
    <xf numFmtId="0" fontId="8" fillId="0" borderId="1" xfId="7" applyFont="1" applyFill="1" applyBorder="1"/>
    <xf numFmtId="43" fontId="8" fillId="0" borderId="1" xfId="51" applyNumberFormat="1" applyFont="1" applyFill="1" applyBorder="1" applyAlignment="1">
      <alignment horizontal="center" vertical="center" wrapText="1"/>
    </xf>
    <xf numFmtId="0" fontId="22" fillId="0" borderId="1" xfId="50" applyFont="1" applyBorder="1" applyAlignment="1">
      <alignment horizontal="center"/>
    </xf>
    <xf numFmtId="0" fontId="8" fillId="0" borderId="16" xfId="50" applyFont="1" applyFill="1" applyBorder="1"/>
    <xf numFmtId="4" fontId="22" fillId="0" borderId="1" xfId="51" applyNumberFormat="1" applyFont="1" applyFill="1" applyBorder="1" applyAlignment="1">
      <alignment horizontal="right" vertical="center"/>
    </xf>
    <xf numFmtId="2" fontId="8" fillId="0" borderId="2" xfId="50" applyNumberFormat="1" applyFont="1" applyBorder="1" applyAlignment="1">
      <alignment horizontal="center" vertical="center" wrapText="1"/>
    </xf>
    <xf numFmtId="3" fontId="8" fillId="0" borderId="5" xfId="50" applyNumberFormat="1" applyFont="1" applyBorder="1" applyAlignment="1">
      <alignment horizontal="center" vertical="center" wrapText="1"/>
    </xf>
    <xf numFmtId="169" fontId="8" fillId="0" borderId="2" xfId="50" applyNumberFormat="1" applyFont="1" applyBorder="1" applyAlignment="1">
      <alignment horizontal="center" vertical="center"/>
    </xf>
    <xf numFmtId="43" fontId="21" fillId="0" borderId="1" xfId="51" applyNumberFormat="1" applyFont="1" applyFill="1" applyBorder="1" applyAlignment="1">
      <alignment horizontal="center" vertical="center" wrapText="1"/>
    </xf>
    <xf numFmtId="0" fontId="8" fillId="2" borderId="1" xfId="7" applyFont="1" applyFill="1" applyBorder="1"/>
    <xf numFmtId="4" fontId="8" fillId="2" borderId="1" xfId="50" applyNumberFormat="1" applyFont="1" applyFill="1" applyBorder="1" applyAlignment="1">
      <alignment horizontal="right" vertical="center" wrapText="1"/>
    </xf>
    <xf numFmtId="166" fontId="83" fillId="2" borderId="1" xfId="2" applyNumberFormat="1" applyFont="1" applyFill="1" applyBorder="1" applyAlignment="1">
      <alignment horizontal="left" vertical="center" wrapText="1"/>
    </xf>
    <xf numFmtId="0" fontId="22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43" fontId="22" fillId="0" borderId="2" xfId="49" applyNumberFormat="1" applyFont="1" applyFill="1" applyBorder="1" applyAlignment="1">
      <alignment horizontal="center" vertical="center" wrapText="1"/>
    </xf>
    <xf numFmtId="43" fontId="22" fillId="0" borderId="1" xfId="49" applyNumberFormat="1" applyFont="1" applyFill="1" applyBorder="1" applyAlignment="1">
      <alignment horizontal="center" vertical="center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43" fontId="22" fillId="0" borderId="2" xfId="49" applyNumberFormat="1" applyFont="1" applyFill="1" applyBorder="1" applyAlignment="1">
      <alignment horizontal="center" wrapText="1"/>
    </xf>
    <xf numFmtId="3" fontId="22" fillId="0" borderId="1" xfId="0" applyNumberFormat="1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51" fillId="0" borderId="0" xfId="0" applyFont="1" applyAlignment="1">
      <alignment vertical="center" wrapText="1"/>
    </xf>
    <xf numFmtId="43" fontId="22" fillId="5" borderId="1" xfId="3" applyNumberFormat="1" applyFont="1" applyFill="1" applyBorder="1" applyAlignment="1">
      <alignment vertical="center"/>
    </xf>
    <xf numFmtId="0" fontId="8" fillId="2" borderId="1" xfId="50" applyFont="1" applyFill="1" applyBorder="1" applyAlignment="1">
      <alignment horizontal="center" vertical="center" wrapText="1"/>
    </xf>
    <xf numFmtId="1" fontId="8" fillId="2" borderId="1" xfId="50" applyNumberFormat="1" applyFont="1" applyFill="1" applyBorder="1" applyAlignment="1">
      <alignment horizontal="center" vertical="center" wrapText="1"/>
    </xf>
    <xf numFmtId="43" fontId="86" fillId="0" borderId="1" xfId="80" applyNumberFormat="1" applyFont="1" applyBorder="1" applyAlignment="1">
      <alignment vertical="center"/>
    </xf>
    <xf numFmtId="43" fontId="22" fillId="0" borderId="1" xfId="80" applyNumberFormat="1" applyFont="1" applyBorder="1" applyAlignment="1">
      <alignment horizontal="center" vertical="center"/>
    </xf>
    <xf numFmtId="4" fontId="22" fillId="0" borderId="1" xfId="80" applyNumberFormat="1" applyFont="1" applyBorder="1" applyAlignment="1">
      <alignment horizontal="right" vertical="center"/>
    </xf>
    <xf numFmtId="43" fontId="8" fillId="0" borderId="1" xfId="80" applyNumberFormat="1" applyFont="1" applyFill="1" applyBorder="1" applyAlignment="1">
      <alignment horizontal="center" vertical="center" wrapText="1"/>
    </xf>
    <xf numFmtId="43" fontId="8" fillId="0" borderId="1" xfId="80" applyNumberFormat="1" applyFont="1" applyFill="1" applyBorder="1" applyAlignment="1">
      <alignment vertical="center" wrapText="1"/>
    </xf>
    <xf numFmtId="4" fontId="8" fillId="2" borderId="2" xfId="50" applyNumberFormat="1" applyFont="1" applyFill="1" applyBorder="1" applyAlignment="1">
      <alignment horizontal="center" vertical="center" wrapText="1"/>
    </xf>
    <xf numFmtId="43" fontId="8" fillId="0" borderId="1" xfId="80" applyNumberFormat="1" applyFont="1" applyFill="1" applyBorder="1" applyAlignment="1">
      <alignment vertical="center"/>
    </xf>
    <xf numFmtId="43" fontId="8" fillId="0" borderId="1" xfId="80" applyNumberFormat="1" applyFont="1" applyFill="1" applyBorder="1" applyAlignment="1">
      <alignment horizontal="center" vertical="center"/>
    </xf>
    <xf numFmtId="43" fontId="8" fillId="0" borderId="1" xfId="80" applyNumberFormat="1" applyFont="1" applyBorder="1" applyAlignment="1">
      <alignment vertical="center"/>
    </xf>
    <xf numFmtId="43" fontId="8" fillId="0" borderId="1" xfId="80" applyNumberFormat="1" applyFont="1" applyBorder="1" applyAlignment="1">
      <alignment horizontal="center" vertical="center"/>
    </xf>
    <xf numFmtId="4" fontId="21" fillId="2" borderId="2" xfId="50" applyNumberFormat="1" applyFont="1" applyFill="1" applyBorder="1" applyAlignment="1">
      <alignment horizontal="center" vertical="center" wrapText="1"/>
    </xf>
    <xf numFmtId="0" fontId="22" fillId="0" borderId="1" xfId="50" applyFont="1" applyBorder="1" applyAlignment="1">
      <alignment vertical="center"/>
    </xf>
    <xf numFmtId="165" fontId="8" fillId="8" borderId="3" xfId="2" applyNumberFormat="1" applyFont="1" applyFill="1" applyBorder="1" applyAlignment="1">
      <alignment horizontal="center" vertical="center" wrapText="1"/>
    </xf>
    <xf numFmtId="2" fontId="83" fillId="2" borderId="1" xfId="2" applyNumberFormat="1" applyFont="1" applyFill="1" applyBorder="1" applyAlignment="1">
      <alignment horizontal="center" vertical="center" wrapText="1"/>
    </xf>
    <xf numFmtId="43" fontId="22" fillId="5" borderId="2" xfId="3" applyNumberFormat="1" applyFont="1" applyFill="1" applyBorder="1" applyAlignment="1">
      <alignment horizontal="center" vertical="center"/>
    </xf>
    <xf numFmtId="0" fontId="82" fillId="0" borderId="1" xfId="19" applyFont="1" applyBorder="1" applyAlignment="1">
      <alignment horizontal="left" vertical="center" wrapText="1"/>
    </xf>
    <xf numFmtId="0" fontId="82" fillId="2" borderId="1" xfId="19" applyFont="1" applyFill="1" applyBorder="1" applyAlignment="1">
      <alignment horizontal="left" vertical="center" wrapText="1"/>
    </xf>
    <xf numFmtId="0" fontId="83" fillId="2" borderId="1" xfId="19" applyFont="1" applyFill="1" applyBorder="1" applyAlignment="1">
      <alignment horizontal="left" vertical="center" wrapText="1"/>
    </xf>
    <xf numFmtId="49" fontId="8" fillId="0" borderId="2" xfId="19" applyNumberFormat="1" applyFont="1" applyBorder="1" applyAlignment="1">
      <alignment horizontal="center" vertical="center" wrapText="1"/>
    </xf>
    <xf numFmtId="0" fontId="22" fillId="0" borderId="1" xfId="19" applyFont="1" applyBorder="1"/>
    <xf numFmtId="43" fontId="22" fillId="0" borderId="8" xfId="3" applyNumberFormat="1" applyFont="1" applyBorder="1" applyAlignment="1">
      <alignment horizontal="center" vertical="center"/>
    </xf>
    <xf numFmtId="0" fontId="22" fillId="0" borderId="1" xfId="19" applyFont="1" applyBorder="1" applyAlignment="1">
      <alignment horizontal="center"/>
    </xf>
    <xf numFmtId="0" fontId="8" fillId="0" borderId="1" xfId="19" applyFont="1" applyBorder="1" applyAlignment="1">
      <alignment horizontal="center"/>
    </xf>
    <xf numFmtId="2" fontId="8" fillId="2" borderId="3" xfId="19" applyNumberFormat="1" applyFont="1" applyFill="1" applyBorder="1" applyAlignment="1">
      <alignment horizontal="center" vertical="center" wrapText="1"/>
    </xf>
    <xf numFmtId="165" fontId="8" fillId="2" borderId="3" xfId="19" applyNumberFormat="1" applyFont="1" applyFill="1" applyBorder="1" applyAlignment="1">
      <alignment horizontal="center" vertical="center" wrapText="1"/>
    </xf>
    <xf numFmtId="2" fontId="21" fillId="2" borderId="1" xfId="19" applyNumberFormat="1" applyFont="1" applyFill="1" applyBorder="1" applyAlignment="1">
      <alignment horizontal="center" vertical="center" wrapText="1"/>
    </xf>
    <xf numFmtId="165" fontId="21" fillId="2" borderId="1" xfId="19" applyNumberFormat="1" applyFont="1" applyFill="1" applyBorder="1" applyAlignment="1">
      <alignment horizontal="center" vertical="center" wrapText="1"/>
    </xf>
    <xf numFmtId="0" fontId="8" fillId="2" borderId="1" xfId="19" applyFont="1" applyFill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center" vertical="top" wrapText="1"/>
    </xf>
    <xf numFmtId="43" fontId="8" fillId="2" borderId="1" xfId="49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 wrapText="1"/>
    </xf>
    <xf numFmtId="43" fontId="8" fillId="0" borderId="8" xfId="49" applyNumberFormat="1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center" vertical="center"/>
    </xf>
    <xf numFmtId="4" fontId="8" fillId="0" borderId="1" xfId="49" applyNumberFormat="1" applyFont="1" applyBorder="1" applyAlignment="1">
      <alignment horizontal="right"/>
    </xf>
    <xf numFmtId="0" fontId="22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/>
    <xf numFmtId="2" fontId="22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vertical="center"/>
    </xf>
    <xf numFmtId="43" fontId="8" fillId="2" borderId="1" xfId="49" applyNumberFormat="1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7" applyFont="1" applyBorder="1" applyAlignment="1">
      <alignment horizontal="left" vertical="center" wrapText="1"/>
    </xf>
    <xf numFmtId="0" fontId="22" fillId="0" borderId="1" xfId="7" applyFont="1" applyBorder="1" applyAlignment="1">
      <alignment horizontal="center" vertical="center" wrapText="1"/>
    </xf>
    <xf numFmtId="169" fontId="22" fillId="0" borderId="1" xfId="0" applyNumberFormat="1" applyFont="1" applyBorder="1" applyAlignment="1">
      <alignment vertical="center" wrapText="1"/>
    </xf>
    <xf numFmtId="164" fontId="22" fillId="0" borderId="1" xfId="0" applyNumberFormat="1" applyFont="1" applyBorder="1" applyAlignment="1">
      <alignment horizontal="center" vertical="center"/>
    </xf>
    <xf numFmtId="2" fontId="22" fillId="0" borderId="1" xfId="7" applyNumberFormat="1" applyFont="1" applyBorder="1" applyAlignment="1">
      <alignment horizontal="center" vertical="center" wrapText="1"/>
    </xf>
    <xf numFmtId="43" fontId="22" fillId="2" borderId="1" xfId="49" applyNumberFormat="1" applyFont="1" applyFill="1" applyBorder="1" applyAlignment="1">
      <alignment horizontal="center" vertical="center"/>
    </xf>
    <xf numFmtId="43" fontId="8" fillId="2" borderId="1" xfId="49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22" fillId="2" borderId="1" xfId="7" applyFont="1" applyFill="1" applyBorder="1" applyAlignment="1">
      <alignment horizontal="center" vertical="center" wrapText="1"/>
    </xf>
    <xf numFmtId="43" fontId="8" fillId="0" borderId="1" xfId="3" applyNumberFormat="1" applyFont="1" applyBorder="1" applyAlignment="1">
      <alignment horizontal="center" vertical="center" wrapText="1"/>
    </xf>
    <xf numFmtId="0" fontId="22" fillId="0" borderId="1" xfId="2" applyFont="1" applyBorder="1" applyAlignment="1">
      <alignment wrapText="1"/>
    </xf>
    <xf numFmtId="0" fontId="51" fillId="0" borderId="1" xfId="2" applyFont="1" applyBorder="1" applyAlignment="1">
      <alignment wrapText="1"/>
    </xf>
    <xf numFmtId="4" fontId="22" fillId="0" borderId="1" xfId="8" applyNumberFormat="1" applyFont="1" applyBorder="1" applyAlignment="1">
      <alignment horizontal="center" vertical="center" wrapText="1"/>
    </xf>
    <xf numFmtId="4" fontId="22" fillId="0" borderId="1" xfId="9" applyNumberFormat="1" applyFont="1" applyBorder="1" applyAlignment="1">
      <alignment horizontal="center" vertical="center" wrapText="1"/>
    </xf>
    <xf numFmtId="4" fontId="22" fillId="0" borderId="1" xfId="10" applyNumberFormat="1" applyFont="1" applyBorder="1" applyAlignment="1">
      <alignment horizontal="center" vertical="center" wrapText="1"/>
    </xf>
    <xf numFmtId="4" fontId="22" fillId="0" borderId="1" xfId="11" applyNumberFormat="1" applyFont="1" applyBorder="1" applyAlignment="1">
      <alignment horizontal="center" vertical="center" wrapText="1"/>
    </xf>
    <xf numFmtId="4" fontId="22" fillId="0" borderId="1" xfId="12" applyNumberFormat="1" applyFont="1" applyBorder="1" applyAlignment="1">
      <alignment horizontal="center" vertical="center" wrapText="1"/>
    </xf>
    <xf numFmtId="4" fontId="22" fillId="0" borderId="1" xfId="13" applyNumberFormat="1" applyFont="1" applyBorder="1" applyAlignment="1">
      <alignment horizontal="center" vertical="center" wrapText="1"/>
    </xf>
    <xf numFmtId="4" fontId="22" fillId="0" borderId="1" xfId="14" applyNumberFormat="1" applyFont="1" applyBorder="1" applyAlignment="1">
      <alignment horizontal="center" vertical="center" wrapText="1"/>
    </xf>
    <xf numFmtId="4" fontId="22" fillId="0" borderId="1" xfId="15" applyNumberFormat="1" applyFont="1" applyBorder="1" applyAlignment="1">
      <alignment horizontal="center" vertical="center" wrapText="1"/>
    </xf>
    <xf numFmtId="4" fontId="22" fillId="0" borderId="1" xfId="16" applyNumberFormat="1" applyFont="1" applyBorder="1" applyAlignment="1">
      <alignment horizontal="center" vertical="center" wrapText="1"/>
    </xf>
    <xf numFmtId="0" fontId="22" fillId="0" borderId="1" xfId="2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81" fillId="0" borderId="1" xfId="0" applyFont="1" applyBorder="1" applyAlignment="1">
      <alignment wrapText="1"/>
    </xf>
    <xf numFmtId="4" fontId="22" fillId="0" borderId="1" xfId="17" applyNumberFormat="1" applyFont="1" applyBorder="1" applyAlignment="1">
      <alignment horizontal="center" vertical="center" wrapText="1"/>
    </xf>
    <xf numFmtId="49" fontId="8" fillId="0" borderId="1" xfId="18" applyNumberFormat="1" applyFont="1" applyBorder="1" applyAlignment="1">
      <alignment vertical="center" wrapText="1"/>
    </xf>
    <xf numFmtId="4" fontId="22" fillId="0" borderId="1" xfId="19" applyNumberFormat="1" applyFont="1" applyBorder="1" applyAlignment="1">
      <alignment horizontal="center" vertical="center" wrapText="1"/>
    </xf>
    <xf numFmtId="49" fontId="8" fillId="0" borderId="1" xfId="20" applyNumberFormat="1" applyFont="1" applyBorder="1" applyAlignment="1">
      <alignment vertical="center" wrapText="1"/>
    </xf>
    <xf numFmtId="49" fontId="8" fillId="0" borderId="1" xfId="21" applyNumberFormat="1" applyFont="1" applyBorder="1" applyAlignment="1">
      <alignment vertical="center" wrapText="1"/>
    </xf>
    <xf numFmtId="4" fontId="22" fillId="0" borderId="1" xfId="22" applyNumberFormat="1" applyFont="1" applyBorder="1" applyAlignment="1">
      <alignment horizontal="center" vertical="center" wrapText="1"/>
    </xf>
    <xf numFmtId="173" fontId="8" fillId="0" borderId="1" xfId="0" applyNumberFormat="1" applyFont="1" applyBorder="1" applyAlignment="1">
      <alignment horizontal="center" vertical="center" wrapText="1"/>
    </xf>
    <xf numFmtId="0" fontId="22" fillId="0" borderId="1" xfId="23" applyFont="1" applyBorder="1"/>
    <xf numFmtId="0" fontId="22" fillId="0" borderId="1" xfId="23" applyFont="1" applyBorder="1" applyAlignment="1">
      <alignment horizontal="center" vertical="center"/>
    </xf>
    <xf numFmtId="4" fontId="22" fillId="0" borderId="1" xfId="23" applyNumberFormat="1" applyFont="1" applyBorder="1" applyAlignment="1">
      <alignment horizontal="center" vertical="center"/>
    </xf>
    <xf numFmtId="0" fontId="22" fillId="0" borderId="1" xfId="0" applyFont="1" applyBorder="1" applyAlignment="1">
      <alignment wrapText="1"/>
    </xf>
    <xf numFmtId="49" fontId="8" fillId="0" borderId="1" xfId="24" applyNumberFormat="1" applyFont="1" applyBorder="1" applyAlignment="1">
      <alignment vertical="center" wrapText="1"/>
    </xf>
    <xf numFmtId="0" fontId="22" fillId="0" borderId="1" xfId="25" applyFont="1" applyBorder="1" applyAlignment="1">
      <alignment vertical="center" wrapText="1"/>
    </xf>
    <xf numFmtId="4" fontId="22" fillId="0" borderId="1" xfId="26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/>
    </xf>
    <xf numFmtId="4" fontId="22" fillId="0" borderId="1" xfId="27" applyNumberFormat="1" applyFont="1" applyBorder="1" applyAlignment="1">
      <alignment horizontal="center" vertical="center" wrapText="1"/>
    </xf>
    <xf numFmtId="4" fontId="22" fillId="0" borderId="1" xfId="28" applyNumberFormat="1" applyFont="1" applyBorder="1" applyAlignment="1">
      <alignment horizontal="center" vertical="center" wrapText="1"/>
    </xf>
    <xf numFmtId="4" fontId="22" fillId="0" borderId="1" xfId="29" applyNumberFormat="1" applyFont="1" applyBorder="1" applyAlignment="1">
      <alignment horizontal="center" vertical="center" wrapText="1"/>
    </xf>
    <xf numFmtId="4" fontId="22" fillId="0" borderId="1" xfId="30" applyNumberFormat="1" applyFont="1" applyBorder="1" applyAlignment="1">
      <alignment horizontal="center" vertical="center" wrapText="1"/>
    </xf>
    <xf numFmtId="4" fontId="22" fillId="0" borderId="1" xfId="31" applyNumberFormat="1" applyFont="1" applyBorder="1" applyAlignment="1">
      <alignment horizontal="center" vertical="center" wrapText="1"/>
    </xf>
    <xf numFmtId="4" fontId="22" fillId="0" borderId="1" xfId="32" applyNumberFormat="1" applyFont="1" applyBorder="1" applyAlignment="1">
      <alignment horizontal="center" vertical="center" wrapText="1"/>
    </xf>
    <xf numFmtId="4" fontId="22" fillId="0" borderId="1" xfId="33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left" vertical="center" wrapText="1"/>
    </xf>
    <xf numFmtId="0" fontId="8" fillId="0" borderId="1" xfId="34" applyFont="1" applyBorder="1" applyAlignment="1">
      <alignment horizontal="center" vertical="center" wrapText="1"/>
    </xf>
    <xf numFmtId="1" fontId="81" fillId="0" borderId="1" xfId="34" applyNumberFormat="1" applyFont="1" applyBorder="1" applyAlignment="1">
      <alignment horizontal="center" vertical="center" shrinkToFit="1"/>
    </xf>
    <xf numFmtId="4" fontId="8" fillId="0" borderId="1" xfId="35" applyNumberFormat="1" applyFont="1" applyBorder="1" applyAlignment="1">
      <alignment horizontal="center" vertical="center" wrapText="1"/>
    </xf>
    <xf numFmtId="4" fontId="81" fillId="0" borderId="15" xfId="0" applyNumberFormat="1" applyFont="1" applyBorder="1" applyAlignment="1">
      <alignment horizontal="center" vertical="center" shrinkToFit="1"/>
    </xf>
    <xf numFmtId="0" fontId="8" fillId="0" borderId="1" xfId="36" applyFont="1" applyBorder="1" applyAlignment="1">
      <alignment horizontal="center" vertical="center" wrapText="1"/>
    </xf>
    <xf numFmtId="1" fontId="81" fillId="0" borderId="1" xfId="36" applyNumberFormat="1" applyFont="1" applyBorder="1" applyAlignment="1">
      <alignment horizontal="center" vertical="center" shrinkToFit="1"/>
    </xf>
    <xf numFmtId="4" fontId="8" fillId="0" borderId="1" xfId="37" applyNumberFormat="1" applyFont="1" applyBorder="1" applyAlignment="1">
      <alignment horizontal="center" vertical="center"/>
    </xf>
    <xf numFmtId="4" fontId="8" fillId="0" borderId="1" xfId="38" applyNumberFormat="1" applyFont="1" applyBorder="1" applyAlignment="1">
      <alignment horizontal="center" vertical="center"/>
    </xf>
    <xf numFmtId="4" fontId="8" fillId="0" borderId="1" xfId="39" applyNumberFormat="1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22" fillId="0" borderId="1" xfId="40" applyFont="1" applyBorder="1" applyAlignment="1">
      <alignment vertical="center" wrapText="1"/>
    </xf>
    <xf numFmtId="0" fontId="22" fillId="0" borderId="1" xfId="41" applyFont="1" applyBorder="1" applyAlignment="1">
      <alignment vertical="center" wrapText="1"/>
    </xf>
    <xf numFmtId="0" fontId="22" fillId="0" borderId="1" xfId="41" applyFont="1" applyBorder="1" applyAlignment="1">
      <alignment horizontal="center" vertical="center" wrapText="1"/>
    </xf>
    <xf numFmtId="4" fontId="22" fillId="0" borderId="1" xfId="41" applyNumberFormat="1" applyFont="1" applyBorder="1" applyAlignment="1">
      <alignment horizontal="center" vertical="center" wrapText="1"/>
    </xf>
    <xf numFmtId="4" fontId="22" fillId="0" borderId="1" xfId="41" applyNumberFormat="1" applyFont="1" applyBorder="1" applyAlignment="1">
      <alignment horizontal="right" vertical="center" wrapText="1"/>
    </xf>
    <xf numFmtId="0" fontId="22" fillId="0" borderId="1" xfId="42" applyFont="1" applyBorder="1" applyAlignment="1">
      <alignment vertical="center" wrapText="1"/>
    </xf>
    <xf numFmtId="0" fontId="22" fillId="0" borderId="1" xfId="42" applyFont="1" applyBorder="1" applyAlignment="1">
      <alignment horizontal="center" vertical="center" wrapText="1"/>
    </xf>
    <xf numFmtId="4" fontId="22" fillId="0" borderId="1" xfId="43" applyNumberFormat="1" applyFont="1" applyBorder="1" applyAlignment="1">
      <alignment horizontal="center" vertical="center" wrapText="1"/>
    </xf>
    <xf numFmtId="4" fontId="22" fillId="0" borderId="1" xfId="44" applyNumberFormat="1" applyFont="1" applyBorder="1" applyAlignment="1">
      <alignment horizontal="center" vertical="center" wrapText="1"/>
    </xf>
    <xf numFmtId="0" fontId="22" fillId="0" borderId="1" xfId="45" applyFont="1" applyBorder="1" applyAlignment="1">
      <alignment vertical="center" wrapText="1"/>
    </xf>
    <xf numFmtId="4" fontId="22" fillId="0" borderId="1" xfId="46" applyNumberFormat="1" applyFont="1" applyBorder="1" applyAlignment="1">
      <alignment horizontal="center" vertical="center" wrapText="1"/>
    </xf>
    <xf numFmtId="0" fontId="22" fillId="0" borderId="1" xfId="47" applyFont="1" applyBorder="1" applyAlignment="1">
      <alignment vertical="center" wrapText="1"/>
    </xf>
    <xf numFmtId="4" fontId="22" fillId="0" borderId="1" xfId="48" applyNumberFormat="1" applyFont="1" applyBorder="1" applyAlignment="1">
      <alignment horizontal="center" vertical="center" wrapText="1"/>
    </xf>
    <xf numFmtId="0" fontId="22" fillId="0" borderId="1" xfId="100" applyFont="1" applyBorder="1" applyAlignment="1">
      <alignment vertical="top" wrapText="1"/>
    </xf>
    <xf numFmtId="0" fontId="8" fillId="0" borderId="1" xfId="100" applyFont="1" applyBorder="1" applyAlignment="1">
      <alignment horizontal="left" vertical="center" wrapText="1"/>
    </xf>
    <xf numFmtId="0" fontId="22" fillId="0" borderId="1" xfId="101" applyFont="1" applyBorder="1" applyAlignment="1">
      <alignment vertical="center" wrapText="1"/>
    </xf>
    <xf numFmtId="0" fontId="8" fillId="0" borderId="1" xfId="100" applyFont="1" applyBorder="1" applyAlignment="1">
      <alignment horizontal="center" vertical="center" wrapText="1"/>
    </xf>
    <xf numFmtId="0" fontId="8" fillId="0" borderId="31" xfId="50" applyFont="1" applyBorder="1" applyAlignment="1">
      <alignment horizontal="left" vertical="top" wrapText="1"/>
    </xf>
    <xf numFmtId="1" fontId="22" fillId="0" borderId="31" xfId="50" applyNumberFormat="1" applyFont="1" applyBorder="1" applyAlignment="1">
      <alignment horizontal="center" vertical="center" shrinkToFit="1"/>
    </xf>
    <xf numFmtId="1" fontId="81" fillId="0" borderId="31" xfId="50" applyNumberFormat="1" applyFont="1" applyBorder="1" applyAlignment="1">
      <alignment horizontal="center" vertical="center" shrinkToFit="1"/>
    </xf>
    <xf numFmtId="0" fontId="8" fillId="0" borderId="1" xfId="50" applyFont="1" applyBorder="1" applyAlignment="1">
      <alignment horizontal="left" vertical="top" wrapText="1"/>
    </xf>
    <xf numFmtId="0" fontId="8" fillId="0" borderId="1" xfId="100" applyFont="1" applyBorder="1" applyAlignment="1">
      <alignment vertical="center" wrapText="1"/>
    </xf>
    <xf numFmtId="0" fontId="8" fillId="0" borderId="1" xfId="101" applyFont="1" applyBorder="1" applyAlignment="1">
      <alignment horizontal="center" vertical="center" wrapText="1"/>
    </xf>
    <xf numFmtId="49" fontId="8" fillId="0" borderId="1" xfId="102" applyNumberFormat="1" applyFont="1" applyBorder="1" applyAlignment="1">
      <alignment vertical="center" wrapText="1"/>
    </xf>
    <xf numFmtId="49" fontId="8" fillId="0" borderId="1" xfId="99" applyNumberFormat="1" applyFont="1" applyBorder="1" applyAlignment="1">
      <alignment vertical="center" wrapText="1"/>
    </xf>
    <xf numFmtId="4" fontId="22" fillId="0" borderId="1" xfId="89" applyNumberFormat="1" applyFont="1" applyBorder="1" applyAlignment="1">
      <alignment horizontal="center" vertical="center" wrapText="1"/>
    </xf>
    <xf numFmtId="4" fontId="22" fillId="0" borderId="1" xfId="50" applyNumberFormat="1" applyFont="1" applyBorder="1" applyAlignment="1">
      <alignment horizontal="left"/>
    </xf>
    <xf numFmtId="0" fontId="22" fillId="0" borderId="1" xfId="101" applyFont="1" applyBorder="1" applyAlignment="1">
      <alignment horizontal="center" wrapText="1"/>
    </xf>
    <xf numFmtId="4" fontId="22" fillId="0" borderId="1" xfId="0" applyNumberFormat="1" applyFont="1" applyBorder="1" applyAlignment="1">
      <alignment horizontal="center" wrapText="1"/>
    </xf>
    <xf numFmtId="4" fontId="22" fillId="0" borderId="1" xfId="0" applyNumberFormat="1" applyFont="1" applyBorder="1" applyAlignment="1">
      <alignment horizontal="right" wrapText="1"/>
    </xf>
    <xf numFmtId="0" fontId="22" fillId="0" borderId="1" xfId="101" applyFont="1" applyBorder="1" applyAlignment="1">
      <alignment horizontal="left" vertical="center" wrapText="1"/>
    </xf>
    <xf numFmtId="0" fontId="22" fillId="0" borderId="1" xfId="103" applyFont="1" applyBorder="1" applyAlignment="1">
      <alignment vertical="center" wrapText="1"/>
    </xf>
    <xf numFmtId="0" fontId="8" fillId="0" borderId="1" xfId="101" applyFont="1" applyBorder="1" applyAlignment="1">
      <alignment horizontal="left" vertical="center" wrapText="1"/>
    </xf>
    <xf numFmtId="0" fontId="22" fillId="0" borderId="0" xfId="50" applyFont="1"/>
    <xf numFmtId="0" fontId="22" fillId="0" borderId="5" xfId="100" applyFont="1" applyBorder="1" applyAlignment="1">
      <alignment horizontal="center" vertical="center" wrapText="1"/>
    </xf>
    <xf numFmtId="4" fontId="22" fillId="0" borderId="5" xfId="50" applyNumberFormat="1" applyFont="1" applyBorder="1" applyAlignment="1">
      <alignment horizontal="center" vertical="center"/>
    </xf>
    <xf numFmtId="4" fontId="22" fillId="0" borderId="5" xfId="50" applyNumberFormat="1" applyFont="1" applyBorder="1" applyAlignment="1">
      <alignment horizontal="right" vertical="center"/>
    </xf>
    <xf numFmtId="0" fontId="22" fillId="0" borderId="0" xfId="98" applyFont="1"/>
    <xf numFmtId="4" fontId="22" fillId="0" borderId="1" xfId="98" applyNumberFormat="1" applyFont="1" applyBorder="1"/>
    <xf numFmtId="4" fontId="22" fillId="0" borderId="1" xfId="0" applyNumberFormat="1" applyFont="1" applyBorder="1" applyAlignment="1">
      <alignment horizontal="center"/>
    </xf>
    <xf numFmtId="49" fontId="8" fillId="42" borderId="1" xfId="2" applyNumberFormat="1" applyFont="1" applyFill="1" applyBorder="1" applyAlignment="1">
      <alignment horizontal="center"/>
    </xf>
    <xf numFmtId="0" fontId="13" fillId="42" borderId="1" xfId="2" applyFont="1" applyFill="1" applyBorder="1" applyAlignment="1">
      <alignment horizontal="center"/>
    </xf>
    <xf numFmtId="0" fontId="13" fillId="42" borderId="1" xfId="2" applyFont="1" applyFill="1" applyBorder="1" applyAlignment="1">
      <alignment horizontal="center" vertical="center"/>
    </xf>
    <xf numFmtId="4" fontId="22" fillId="42" borderId="1" xfId="2" applyNumberFormat="1" applyFont="1" applyFill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42" borderId="1" xfId="2" applyFont="1" applyFill="1" applyBorder="1" applyAlignment="1">
      <alignment horizontal="right"/>
    </xf>
    <xf numFmtId="2" fontId="22" fillId="42" borderId="1" xfId="2" applyNumberFormat="1" applyFont="1" applyFill="1" applyBorder="1" applyAlignment="1">
      <alignment horizontal="right"/>
    </xf>
    <xf numFmtId="0" fontId="13" fillId="42" borderId="1" xfId="2" applyFont="1" applyFill="1" applyBorder="1" applyAlignment="1">
      <alignment horizontal="right" vertical="center"/>
    </xf>
    <xf numFmtId="2" fontId="22" fillId="42" borderId="1" xfId="2" applyNumberFormat="1" applyFont="1" applyFill="1" applyBorder="1" applyAlignment="1">
      <alignment horizontal="right" vertical="center"/>
    </xf>
    <xf numFmtId="2" fontId="13" fillId="0" borderId="1" xfId="0" applyNumberFormat="1" applyFont="1" applyBorder="1" applyAlignment="1">
      <alignment horizontal="right"/>
    </xf>
    <xf numFmtId="165" fontId="22" fillId="5" borderId="1" xfId="2" applyNumberFormat="1" applyFont="1" applyFill="1" applyBorder="1" applyAlignment="1">
      <alignment horizontal="center"/>
    </xf>
    <xf numFmtId="170" fontId="22" fillId="5" borderId="1" xfId="2" applyNumberFormat="1" applyFont="1" applyFill="1" applyBorder="1" applyAlignment="1">
      <alignment horizontal="right" vertical="center"/>
    </xf>
    <xf numFmtId="43" fontId="22" fillId="0" borderId="1" xfId="3" applyNumberFormat="1" applyFont="1" applyBorder="1" applyAlignment="1">
      <alignment horizontal="right" vertical="center"/>
    </xf>
    <xf numFmtId="43" fontId="22" fillId="5" borderId="1" xfId="2" applyNumberFormat="1" applyFont="1" applyFill="1" applyBorder="1" applyAlignment="1">
      <alignment horizontal="right" vertical="center"/>
    </xf>
    <xf numFmtId="2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horizontal="right" vertical="center"/>
    </xf>
    <xf numFmtId="2" fontId="8" fillId="0" borderId="3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7" fillId="0" borderId="0" xfId="0" applyFont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49" fontId="10" fillId="0" borderId="1" xfId="6" applyNumberFormat="1" applyFont="1" applyBorder="1" applyAlignment="1">
      <alignment horizontal="center" vertical="center" wrapText="1"/>
    </xf>
    <xf numFmtId="0" fontId="10" fillId="0" borderId="1" xfId="6" applyFont="1" applyBorder="1" applyAlignment="1">
      <alignment horizontal="left" vertical="center" wrapText="1"/>
    </xf>
    <xf numFmtId="2" fontId="10" fillId="0" borderId="1" xfId="6" applyNumberFormat="1" applyFont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2" fontId="10" fillId="0" borderId="1" xfId="6" applyNumberFormat="1" applyFont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 wrapText="1"/>
    </xf>
    <xf numFmtId="2" fontId="10" fillId="0" borderId="1" xfId="6" applyNumberFormat="1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  <xf numFmtId="49" fontId="10" fillId="0" borderId="1" xfId="6" applyNumberFormat="1" applyFont="1" applyBorder="1" applyAlignment="1">
      <alignment horizontal="center" vertical="center"/>
    </xf>
    <xf numFmtId="43" fontId="9" fillId="0" borderId="0" xfId="2" applyNumberFormat="1" applyFont="1" applyAlignment="1">
      <alignment horizontal="right"/>
    </xf>
    <xf numFmtId="0" fontId="22" fillId="3" borderId="1" xfId="2" applyFont="1" applyFill="1" applyBorder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2" fontId="8" fillId="0" borderId="1" xfId="2" applyNumberFormat="1" applyFont="1" applyBorder="1" applyAlignment="1">
      <alignment horizontal="center" vertical="center" wrapText="1"/>
    </xf>
    <xf numFmtId="165" fontId="8" fillId="2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6" fillId="0" borderId="5" xfId="1" applyNumberFormat="1" applyFont="1" applyFill="1" applyBorder="1" applyAlignment="1">
      <alignment horizontal="right" vertical="center"/>
    </xf>
    <xf numFmtId="164" fontId="6" fillId="0" borderId="9" xfId="1" applyNumberFormat="1" applyFont="1" applyFill="1" applyBorder="1" applyAlignment="1">
      <alignment horizontal="right" vertical="center"/>
    </xf>
    <xf numFmtId="164" fontId="6" fillId="0" borderId="3" xfId="1" applyNumberFormat="1" applyFont="1" applyFill="1" applyBorder="1" applyAlignment="1">
      <alignment horizontal="right" vertical="center"/>
    </xf>
    <xf numFmtId="164" fontId="6" fillId="5" borderId="5" xfId="1" applyNumberFormat="1" applyFont="1" applyFill="1" applyBorder="1" applyAlignment="1">
      <alignment horizontal="right" vertical="center"/>
    </xf>
    <xf numFmtId="164" fontId="6" fillId="5" borderId="3" xfId="1" applyNumberFormat="1" applyFont="1" applyFill="1" applyBorder="1" applyAlignment="1">
      <alignment horizontal="right" vertical="center"/>
    </xf>
    <xf numFmtId="164" fontId="6" fillId="5" borderId="9" xfId="1" applyNumberFormat="1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4" fontId="6" fillId="0" borderId="5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/>
    </xf>
    <xf numFmtId="164" fontId="6" fillId="0" borderId="5" xfId="1" applyNumberFormat="1" applyFont="1" applyFill="1" applyBorder="1" applyAlignment="1">
      <alignment vertical="center"/>
    </xf>
    <xf numFmtId="164" fontId="6" fillId="0" borderId="3" xfId="1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164" fontId="6" fillId="0" borderId="5" xfId="1" applyNumberFormat="1" applyFont="1" applyBorder="1" applyAlignment="1">
      <alignment horizontal="right"/>
    </xf>
    <xf numFmtId="164" fontId="6" fillId="0" borderId="3" xfId="1" applyNumberFormat="1" applyFont="1" applyBorder="1" applyAlignment="1">
      <alignment horizontal="right"/>
    </xf>
    <xf numFmtId="0" fontId="8" fillId="0" borderId="1" xfId="6" applyFont="1" applyBorder="1" applyAlignment="1">
      <alignment horizontal="center" vertical="center"/>
    </xf>
    <xf numFmtId="49" fontId="14" fillId="2" borderId="0" xfId="0" applyNumberFormat="1" applyFont="1" applyFill="1" applyAlignment="1">
      <alignment horizontal="left" wrapText="1"/>
    </xf>
    <xf numFmtId="0" fontId="29" fillId="0" borderId="1" xfId="4" applyNumberFormat="1" applyFont="1" applyFill="1" applyBorder="1" applyAlignment="1" applyProtection="1">
      <alignment horizontal="left" vertical="center" indent="15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right" vertical="center" wrapText="1"/>
    </xf>
    <xf numFmtId="4" fontId="22" fillId="0" borderId="26" xfId="98" applyNumberFormat="1" applyFont="1" applyBorder="1" applyAlignment="1">
      <alignment horizontal="center" vertical="center"/>
    </xf>
    <xf numFmtId="4" fontId="22" fillId="0" borderId="27" xfId="98" applyNumberFormat="1" applyFont="1" applyBorder="1" applyAlignment="1">
      <alignment horizontal="center" vertical="center"/>
    </xf>
    <xf numFmtId="4" fontId="22" fillId="0" borderId="28" xfId="98" applyNumberFormat="1" applyFont="1" applyBorder="1" applyAlignment="1">
      <alignment horizontal="center" vertical="center"/>
    </xf>
    <xf numFmtId="4" fontId="22" fillId="0" borderId="4" xfId="98" applyNumberFormat="1" applyFont="1" applyBorder="1" applyAlignment="1">
      <alignment horizontal="center" vertical="center"/>
    </xf>
    <xf numFmtId="4" fontId="22" fillId="0" borderId="29" xfId="98" applyNumberFormat="1" applyFont="1" applyBorder="1" applyAlignment="1">
      <alignment horizontal="center" vertical="center"/>
    </xf>
    <xf numFmtId="4" fontId="22" fillId="0" borderId="30" xfId="98" applyNumberFormat="1" applyFont="1" applyBorder="1" applyAlignment="1">
      <alignment horizontal="center" vertical="center"/>
    </xf>
    <xf numFmtId="0" fontId="27" fillId="0" borderId="2" xfId="2" applyFont="1" applyBorder="1" applyAlignment="1">
      <alignment horizontal="center" vertical="center"/>
    </xf>
    <xf numFmtId="0" fontId="27" fillId="0" borderId="7" xfId="2" applyFont="1" applyBorder="1" applyAlignment="1">
      <alignment horizontal="center" vertical="center"/>
    </xf>
    <xf numFmtId="0" fontId="27" fillId="0" borderId="8" xfId="2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2" fontId="8" fillId="0" borderId="5" xfId="2" applyNumberFormat="1" applyFont="1" applyBorder="1" applyAlignment="1">
      <alignment horizontal="center" vertical="center" wrapText="1"/>
    </xf>
    <xf numFmtId="2" fontId="8" fillId="0" borderId="3" xfId="2" applyNumberFormat="1" applyFont="1" applyBorder="1" applyAlignment="1">
      <alignment horizontal="center" vertical="center" wrapText="1"/>
    </xf>
    <xf numFmtId="165" fontId="8" fillId="2" borderId="5" xfId="2" applyNumberFormat="1" applyFont="1" applyFill="1" applyBorder="1" applyAlignment="1">
      <alignment horizontal="center" vertical="center" wrapText="1"/>
    </xf>
    <xf numFmtId="165" fontId="8" fillId="2" borderId="3" xfId="2" applyNumberFormat="1" applyFont="1" applyFill="1" applyBorder="1" applyAlignment="1">
      <alignment horizontal="center" vertical="center" wrapText="1"/>
    </xf>
    <xf numFmtId="165" fontId="8" fillId="2" borderId="2" xfId="2" applyNumberFormat="1" applyFont="1" applyFill="1" applyBorder="1" applyAlignment="1">
      <alignment horizontal="center" vertical="center" wrapText="1"/>
    </xf>
    <xf numFmtId="0" fontId="4" fillId="3" borderId="5" xfId="50" applyFont="1" applyFill="1" applyBorder="1" applyAlignment="1">
      <alignment horizontal="center" vertical="center" wrapText="1"/>
    </xf>
    <xf numFmtId="0" fontId="4" fillId="3" borderId="3" xfId="50" applyFont="1" applyFill="1" applyBorder="1" applyAlignment="1">
      <alignment horizontal="center" vertical="center" wrapText="1"/>
    </xf>
    <xf numFmtId="49" fontId="8" fillId="0" borderId="1" xfId="50" applyNumberFormat="1" applyFont="1" applyBorder="1" applyAlignment="1">
      <alignment horizontal="center" vertical="center" wrapText="1"/>
    </xf>
    <xf numFmtId="0" fontId="8" fillId="0" borderId="1" xfId="50" applyFont="1" applyBorder="1" applyAlignment="1">
      <alignment horizontal="center" vertical="center" wrapText="1"/>
    </xf>
    <xf numFmtId="2" fontId="8" fillId="0" borderId="1" xfId="50" applyNumberFormat="1" applyFont="1" applyBorder="1" applyAlignment="1">
      <alignment horizontal="center" vertical="center" wrapText="1"/>
    </xf>
    <xf numFmtId="165" fontId="8" fillId="2" borderId="1" xfId="50" applyNumberFormat="1" applyFont="1" applyFill="1" applyBorder="1" applyAlignment="1">
      <alignment horizontal="center" vertical="center" wrapText="1"/>
    </xf>
    <xf numFmtId="0" fontId="22" fillId="3" borderId="1" xfId="50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4" fillId="3" borderId="5" xfId="89" applyFont="1" applyFill="1" applyBorder="1" applyAlignment="1">
      <alignment horizontal="center" vertical="center" wrapText="1"/>
    </xf>
    <xf numFmtId="0" fontId="4" fillId="3" borderId="3" xfId="89" applyFont="1" applyFill="1" applyBorder="1" applyAlignment="1">
      <alignment horizontal="center" vertical="center" wrapText="1"/>
    </xf>
    <xf numFmtId="49" fontId="8" fillId="0" borderId="1" xfId="89" applyNumberFormat="1" applyFont="1" applyBorder="1" applyAlignment="1">
      <alignment horizontal="center" vertical="center" wrapText="1"/>
    </xf>
    <xf numFmtId="0" fontId="8" fillId="0" borderId="1" xfId="89" applyFont="1" applyBorder="1" applyAlignment="1">
      <alignment horizontal="center" vertical="center" wrapText="1"/>
    </xf>
    <xf numFmtId="2" fontId="8" fillId="0" borderId="1" xfId="89" applyNumberFormat="1" applyFont="1" applyBorder="1" applyAlignment="1">
      <alignment horizontal="center" vertical="center" wrapText="1"/>
    </xf>
    <xf numFmtId="165" fontId="8" fillId="2" borderId="1" xfId="89" applyNumberFormat="1" applyFont="1" applyFill="1" applyBorder="1" applyAlignment="1">
      <alignment horizontal="center" vertical="center" wrapText="1"/>
    </xf>
    <xf numFmtId="0" fontId="22" fillId="3" borderId="1" xfId="89" applyFont="1" applyFill="1" applyBorder="1" applyAlignment="1">
      <alignment horizontal="center" vertical="center" wrapText="1"/>
    </xf>
    <xf numFmtId="0" fontId="4" fillId="3" borderId="1" xfId="89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20" fillId="0" borderId="1" xfId="2" applyNumberFormat="1" applyFont="1" applyBorder="1" applyAlignment="1">
      <alignment horizontal="center" vertical="center" wrapText="1"/>
    </xf>
    <xf numFmtId="0" fontId="20" fillId="0" borderId="1" xfId="2" applyFont="1" applyBorder="1" applyAlignment="1">
      <alignment horizontal="center" vertical="center" wrapText="1"/>
    </xf>
    <xf numFmtId="2" fontId="20" fillId="0" borderId="1" xfId="2" applyNumberFormat="1" applyFont="1" applyBorder="1" applyAlignment="1">
      <alignment horizontal="center" vertical="center" wrapText="1"/>
    </xf>
    <xf numFmtId="165" fontId="20" fillId="2" borderId="1" xfId="2" applyNumberFormat="1" applyFont="1" applyFill="1" applyBorder="1" applyAlignment="1">
      <alignment horizontal="center" vertical="center" wrapText="1"/>
    </xf>
    <xf numFmtId="0" fontId="4" fillId="0" borderId="2" xfId="50" applyFont="1" applyBorder="1" applyAlignment="1">
      <alignment horizontal="right"/>
    </xf>
    <xf numFmtId="0" fontId="4" fillId="0" borderId="7" xfId="50" applyFont="1" applyBorder="1" applyAlignment="1">
      <alignment horizontal="right"/>
    </xf>
    <xf numFmtId="0" fontId="4" fillId="0" borderId="8" xfId="50" applyFont="1" applyBorder="1" applyAlignment="1">
      <alignment horizontal="right"/>
    </xf>
    <xf numFmtId="4" fontId="53" fillId="0" borderId="1" xfId="50" applyNumberFormat="1" applyFont="1" applyBorder="1" applyAlignment="1">
      <alignment horizontal="center" vertical="center" wrapText="1"/>
    </xf>
    <xf numFmtId="1" fontId="53" fillId="0" borderId="1" xfId="50" applyNumberFormat="1" applyFont="1" applyBorder="1" applyAlignment="1">
      <alignment horizontal="center" vertical="center" wrapText="1"/>
    </xf>
    <xf numFmtId="0" fontId="53" fillId="0" borderId="1" xfId="50" applyFont="1" applyBorder="1" applyAlignment="1">
      <alignment horizontal="center" vertical="top" wrapText="1"/>
    </xf>
    <xf numFmtId="0" fontId="53" fillId="0" borderId="1" xfId="50" applyFont="1" applyBorder="1" applyAlignment="1">
      <alignment horizontal="center" vertical="center" wrapText="1"/>
    </xf>
    <xf numFmtId="4" fontId="4" fillId="0" borderId="26" xfId="98" applyNumberFormat="1" applyFont="1" applyBorder="1" applyAlignment="1">
      <alignment horizontal="center" vertical="center"/>
    </xf>
    <xf numFmtId="4" fontId="4" fillId="0" borderId="27" xfId="98" applyNumberFormat="1" applyFont="1" applyBorder="1" applyAlignment="1">
      <alignment horizontal="center" vertical="center"/>
    </xf>
    <xf numFmtId="4" fontId="4" fillId="0" borderId="28" xfId="98" applyNumberFormat="1" applyFont="1" applyBorder="1" applyAlignment="1">
      <alignment horizontal="center" vertical="center"/>
    </xf>
    <xf numFmtId="4" fontId="4" fillId="0" borderId="4" xfId="98" applyNumberFormat="1" applyFont="1" applyBorder="1" applyAlignment="1">
      <alignment horizontal="center" vertical="center"/>
    </xf>
    <xf numFmtId="4" fontId="4" fillId="0" borderId="29" xfId="98" applyNumberFormat="1" applyFont="1" applyBorder="1" applyAlignment="1">
      <alignment horizontal="center" vertical="center"/>
    </xf>
    <xf numFmtId="4" fontId="4" fillId="0" borderId="30" xfId="98" applyNumberFormat="1" applyFont="1" applyBorder="1" applyAlignment="1">
      <alignment horizontal="center" vertical="center"/>
    </xf>
    <xf numFmtId="0" fontId="4" fillId="0" borderId="1" xfId="98" applyFont="1" applyBorder="1" applyAlignment="1">
      <alignment horizontal="center"/>
    </xf>
    <xf numFmtId="4" fontId="53" fillId="0" borderId="1" xfId="98" applyNumberFormat="1" applyFont="1" applyBorder="1" applyAlignment="1">
      <alignment horizontal="center" vertical="center" wrapText="1"/>
    </xf>
    <xf numFmtId="1" fontId="53" fillId="0" borderId="1" xfId="98" applyNumberFormat="1" applyFont="1" applyBorder="1" applyAlignment="1">
      <alignment horizontal="center" vertical="top" wrapText="1"/>
    </xf>
    <xf numFmtId="0" fontId="53" fillId="0" borderId="1" xfId="98" applyFont="1" applyBorder="1" applyAlignment="1">
      <alignment horizontal="center" vertical="top" wrapText="1"/>
    </xf>
    <xf numFmtId="0" fontId="53" fillId="0" borderId="1" xfId="98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center" vertical="center" wrapText="1"/>
    </xf>
    <xf numFmtId="1" fontId="53" fillId="0" borderId="1" xfId="0" applyNumberFormat="1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top" wrapText="1"/>
    </xf>
    <xf numFmtId="0" fontId="53" fillId="0" borderId="1" xfId="0" applyFont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33" fillId="0" borderId="1" xfId="0" applyFont="1" applyBorder="1" applyAlignment="1">
      <alignment horizontal="right" vertical="center"/>
    </xf>
    <xf numFmtId="169" fontId="28" fillId="5" borderId="5" xfId="0" applyNumberFormat="1" applyFont="1" applyFill="1" applyBorder="1" applyAlignment="1">
      <alignment horizontal="center" vertical="center"/>
    </xf>
    <xf numFmtId="169" fontId="28" fillId="5" borderId="9" xfId="0" applyNumberFormat="1" applyFont="1" applyFill="1" applyBorder="1" applyAlignment="1">
      <alignment horizontal="center" vertical="center"/>
    </xf>
    <xf numFmtId="169" fontId="28" fillId="5" borderId="3" xfId="0" applyNumberFormat="1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 wrapText="1"/>
    </xf>
    <xf numFmtId="49" fontId="8" fillId="0" borderId="1" xfId="19" applyNumberFormat="1" applyFont="1" applyBorder="1" applyAlignment="1">
      <alignment horizontal="center" vertical="center" wrapText="1"/>
    </xf>
    <xf numFmtId="0" fontId="8" fillId="0" borderId="1" xfId="19" applyFont="1" applyBorder="1" applyAlignment="1">
      <alignment horizontal="center" vertical="center" wrapText="1"/>
    </xf>
    <xf numFmtId="2" fontId="8" fillId="0" borderId="1" xfId="19" applyNumberFormat="1" applyFont="1" applyBorder="1" applyAlignment="1">
      <alignment horizontal="center" vertical="center" wrapText="1"/>
    </xf>
    <xf numFmtId="165" fontId="8" fillId="2" borderId="1" xfId="19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0" xfId="6" applyFont="1" applyBorder="1" applyAlignment="1">
      <alignment horizontal="center" vertical="center"/>
    </xf>
    <xf numFmtId="0" fontId="34" fillId="0" borderId="0" xfId="6" applyFont="1" applyBorder="1" applyAlignment="1">
      <alignment horizontal="left" vertical="center"/>
    </xf>
    <xf numFmtId="0" fontId="33" fillId="0" borderId="2" xfId="6" applyFont="1" applyBorder="1" applyAlignment="1">
      <alignment horizontal="center" vertical="center"/>
    </xf>
    <xf numFmtId="0" fontId="33" fillId="0" borderId="7" xfId="6" applyFont="1" applyBorder="1" applyAlignment="1">
      <alignment horizontal="center" vertical="center"/>
    </xf>
    <xf numFmtId="0" fontId="33" fillId="0" borderId="8" xfId="6" applyFont="1" applyBorder="1" applyAlignment="1">
      <alignment horizontal="center" vertical="center"/>
    </xf>
  </cellXfs>
  <cellStyles count="104">
    <cellStyle name="20% — акцент1 2" xfId="53"/>
    <cellStyle name="20% — акцент2 2" xfId="54"/>
    <cellStyle name="20% — акцент3 2" xfId="55"/>
    <cellStyle name="20% — акцент4 2" xfId="56"/>
    <cellStyle name="20% — акцент5 2" xfId="57"/>
    <cellStyle name="20% — акцент6 2" xfId="58"/>
    <cellStyle name="40% — акцент1 2" xfId="59"/>
    <cellStyle name="40% — акцент2 2" xfId="60"/>
    <cellStyle name="40% — акцент3 2" xfId="61"/>
    <cellStyle name="40% — акцент4 2" xfId="62"/>
    <cellStyle name="40% — акцент5 2" xfId="63"/>
    <cellStyle name="40% — акцент6 2" xfId="64"/>
    <cellStyle name="60% — акцент1 2" xfId="65"/>
    <cellStyle name="60% — акцент2 2" xfId="66"/>
    <cellStyle name="60% — акцент3 2" xfId="67"/>
    <cellStyle name="60% — акцент4 2" xfId="68"/>
    <cellStyle name="60% — акцент5 2" xfId="69"/>
    <cellStyle name="60% — акцент6 2" xfId="70"/>
    <cellStyle name="Акцент1 2" xfId="71"/>
    <cellStyle name="Акцент2 2" xfId="72"/>
    <cellStyle name="Акцент3 2" xfId="73"/>
    <cellStyle name="Акцент4 2" xfId="74"/>
    <cellStyle name="Акцент5 2" xfId="75"/>
    <cellStyle name="Акцент6 2" xfId="76"/>
    <cellStyle name="Ввод  2" xfId="77"/>
    <cellStyle name="Вывод 2" xfId="78"/>
    <cellStyle name="Вычисление 2" xfId="79"/>
    <cellStyle name="Гиперссылка" xfId="1" builtinId="8"/>
    <cellStyle name="Денежный" xfId="49" builtinId="4"/>
    <cellStyle name="Денежный 2" xfId="3"/>
    <cellStyle name="Денежный 2 2" xfId="81"/>
    <cellStyle name="Денежный 3" xfId="51"/>
    <cellStyle name="Денежный 4" xfId="80"/>
    <cellStyle name="Заголовок 1 2" xfId="82"/>
    <cellStyle name="Заголовок 2 2" xfId="83"/>
    <cellStyle name="Заголовок 3 2" xfId="84"/>
    <cellStyle name="Заголовок 4 2" xfId="85"/>
    <cellStyle name="Итог 2" xfId="86"/>
    <cellStyle name="Контрольная ячейка 2" xfId="87"/>
    <cellStyle name="Название" xfId="52" builtinId="15" customBuiltin="1"/>
    <cellStyle name="Нейтральный 2" xfId="88"/>
    <cellStyle name="Обычный" xfId="0" builtinId="0"/>
    <cellStyle name="Обычный 12" xfId="19"/>
    <cellStyle name="Обычный 12 2" xfId="89"/>
    <cellStyle name="Обычный 144" xfId="34"/>
    <cellStyle name="Обычный 149" xfId="36"/>
    <cellStyle name="Обычный 185" xfId="35"/>
    <cellStyle name="Обычный 2" xfId="2"/>
    <cellStyle name="Обычный 2 10" xfId="24"/>
    <cellStyle name="Обычный 2 2" xfId="7"/>
    <cellStyle name="Обычный 2 2 2" xfId="90"/>
    <cellStyle name="Обычный 2 3" xfId="103"/>
    <cellStyle name="Обычный 217" xfId="47"/>
    <cellStyle name="Обычный 218" xfId="48"/>
    <cellStyle name="Обычный 221" xfId="44"/>
    <cellStyle name="Обычный 224" xfId="41"/>
    <cellStyle name="Обычный 225" xfId="42"/>
    <cellStyle name="Обычный 226" xfId="43"/>
    <cellStyle name="Обычный 227" xfId="40"/>
    <cellStyle name="Обычный 24" xfId="17"/>
    <cellStyle name="Обычный 3" xfId="6"/>
    <cellStyle name="Обычный 3 2" xfId="100"/>
    <cellStyle name="Обычный 3 3" xfId="101"/>
    <cellStyle name="Обычный 32" xfId="21"/>
    <cellStyle name="Обычный 32 2" xfId="102"/>
    <cellStyle name="Обычный 33" xfId="22"/>
    <cellStyle name="Обычный 34 32" xfId="37"/>
    <cellStyle name="Обычный 35" xfId="25"/>
    <cellStyle name="Обычный 36" xfId="8"/>
    <cellStyle name="Обычный 36 33" xfId="38"/>
    <cellStyle name="Обычный 37" xfId="9"/>
    <cellStyle name="Обычный 38" xfId="10"/>
    <cellStyle name="Обычный 39" xfId="11"/>
    <cellStyle name="Обычный 4" xfId="5"/>
    <cellStyle name="Обычный 4 10" xfId="23"/>
    <cellStyle name="Обычный 4 2" xfId="91"/>
    <cellStyle name="Обычный 4 3" xfId="98"/>
    <cellStyle name="Обычный 40" xfId="12"/>
    <cellStyle name="Обычный 41" xfId="13"/>
    <cellStyle name="Обычный 42" xfId="14"/>
    <cellStyle name="Обычный 43" xfId="15"/>
    <cellStyle name="Обычный 44" xfId="16"/>
    <cellStyle name="Обычный 45" xfId="26"/>
    <cellStyle name="Обычный 46" xfId="27"/>
    <cellStyle name="Обычный 47" xfId="28"/>
    <cellStyle name="Обычный 48" xfId="29"/>
    <cellStyle name="Обычный 48 40" xfId="39"/>
    <cellStyle name="Обычный 49" xfId="30"/>
    <cellStyle name="Обычный 5" xfId="50"/>
    <cellStyle name="Обычный 50" xfId="31"/>
    <cellStyle name="Обычный 51" xfId="32"/>
    <cellStyle name="Обычный 52" xfId="33"/>
    <cellStyle name="Обычный 53" xfId="45"/>
    <cellStyle name="Обычный 54" xfId="46"/>
    <cellStyle name="Обычный 7" xfId="18"/>
    <cellStyle name="Обычный 7 2" xfId="99"/>
    <cellStyle name="Обычный 9" xfId="20"/>
    <cellStyle name="Обычный_Лист1" xfId="4"/>
    <cellStyle name="Плохой 2" xfId="92"/>
    <cellStyle name="Пояснение 2" xfId="93"/>
    <cellStyle name="Примечание 2" xfId="94"/>
    <cellStyle name="Связанная ячейка 2" xfId="95"/>
    <cellStyle name="Текст предупреждения 2" xfId="96"/>
    <cellStyle name="Хороший 2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Bitrix24/&#1046;&#1050;%20_&#1040;&#1082;&#1074;&#1072;&#1084;&#1072;&#1088;&#1080;&#1085;_/&#1046;&#1050;%20&#1040;&#1082;&#1074;&#1072;&#1084;&#1072;&#1088;&#1080;&#1085;-&#1057;&#1077;&#1073;&#1077;&#1089;&#1090;&#1086;&#1080;&#1084;&#1086;&#1089;&#1090;&#1080;/&#1044;&#1086;&#1084;%206/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Bitrix24/&#1046;&#1050;%20_&#1040;&#1082;&#1074;&#1072;&#1084;&#1072;&#1088;&#1080;&#1085;_/&#1046;&#1050;%20&#1040;&#1082;&#1074;&#1072;&#1084;&#1072;&#1088;&#1080;&#1085;-&#1057;&#1077;&#1073;&#1077;&#1089;&#1090;&#1086;&#1080;&#1084;&#1086;&#1089;&#1090;&#1080;/&#1044;&#1086;&#1084;%206/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врика"/>
      <sheetName val="Мур-II-2 от 17.07.2019"/>
      <sheetName val="Мур-II-22 от 12.08.2019 "/>
      <sheetName val="Общая-357 804 796 с КС6"/>
      <sheetName val="Общая-Смета-357 804 796 "/>
      <sheetName val="Смета-335 804 796 упр"/>
      <sheetName val="по Орган-Смета на комплекс рабо"/>
    </sheetNames>
    <sheetDataSet>
      <sheetData sheetId="0"/>
      <sheetData sheetId="1"/>
      <sheetData sheetId="2"/>
      <sheetData sheetId="3"/>
      <sheetData sheetId="4"/>
      <sheetData sheetId="5">
        <row r="25">
          <cell r="I25">
            <v>1861957</v>
          </cell>
        </row>
        <row r="34">
          <cell r="I34">
            <v>22708288</v>
          </cell>
        </row>
        <row r="58">
          <cell r="I58">
            <v>18430401</v>
          </cell>
        </row>
        <row r="97">
          <cell r="I97">
            <v>91601963</v>
          </cell>
        </row>
        <row r="114">
          <cell r="I114">
            <v>1980908</v>
          </cell>
        </row>
        <row r="132">
          <cell r="I132">
            <v>9746840</v>
          </cell>
        </row>
        <row r="148">
          <cell r="I148">
            <v>19050404</v>
          </cell>
        </row>
        <row r="158">
          <cell r="I158">
            <v>26363741</v>
          </cell>
        </row>
        <row r="168">
          <cell r="I168">
            <v>33906730</v>
          </cell>
        </row>
        <row r="194">
          <cell r="I194">
            <v>2973776</v>
          </cell>
        </row>
        <row r="207">
          <cell r="I207">
            <v>3355506</v>
          </cell>
        </row>
        <row r="212">
          <cell r="I212">
            <v>46650</v>
          </cell>
        </row>
        <row r="220">
          <cell r="I220">
            <v>145597</v>
          </cell>
        </row>
        <row r="259">
          <cell r="I259">
            <v>22606635</v>
          </cell>
        </row>
        <row r="263">
          <cell r="I263">
            <v>771000</v>
          </cell>
        </row>
        <row r="267">
          <cell r="I267">
            <v>10838000</v>
          </cell>
        </row>
        <row r="274">
          <cell r="I274">
            <v>59916000</v>
          </cell>
        </row>
        <row r="277">
          <cell r="I277">
            <v>9500400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рина испр-"/>
      <sheetName val="Себест с испр Объемами и ценами"/>
      <sheetName val="СЕБЕСТОИМОСТЬ В ОБМЕННИКЕ ОТ ЭР"/>
      <sheetName val="Э.Р.Себестоимость 6 дом коррект"/>
      <sheetName val="7,8 дома"/>
      <sheetName val="Устинова"/>
      <sheetName val="Дейст смета"/>
    </sheetNames>
    <sheetDataSet>
      <sheetData sheetId="0" refreshError="1"/>
      <sheetData sheetId="1" refreshError="1"/>
      <sheetData sheetId="2">
        <row r="20">
          <cell r="J20">
            <v>738774</v>
          </cell>
        </row>
        <row r="31">
          <cell r="J31">
            <v>20508600</v>
          </cell>
        </row>
        <row r="149">
          <cell r="J149">
            <v>80810980.599999994</v>
          </cell>
        </row>
        <row r="208">
          <cell r="J208">
            <v>4373272</v>
          </cell>
        </row>
        <row r="254">
          <cell r="J254">
            <v>8621540.4055000003</v>
          </cell>
        </row>
        <row r="277">
          <cell r="J277">
            <v>10399787</v>
          </cell>
        </row>
        <row r="294">
          <cell r="J294">
            <v>26004215.88766</v>
          </cell>
        </row>
        <row r="303">
          <cell r="J303">
            <v>27700744</v>
          </cell>
        </row>
        <row r="329">
          <cell r="J329">
            <v>7772748.0700000003</v>
          </cell>
        </row>
        <row r="410">
          <cell r="J410">
            <v>2675529.8770741769</v>
          </cell>
        </row>
        <row r="417">
          <cell r="J417">
            <v>49970</v>
          </cell>
        </row>
        <row r="439">
          <cell r="J439">
            <v>163972</v>
          </cell>
        </row>
        <row r="514">
          <cell r="J514">
            <v>15661329.816999998</v>
          </cell>
        </row>
        <row r="518">
          <cell r="J518">
            <v>156750</v>
          </cell>
        </row>
        <row r="522">
          <cell r="J522">
            <v>10396000</v>
          </cell>
        </row>
        <row r="524">
          <cell r="J524">
            <v>8640786</v>
          </cell>
        </row>
        <row r="525">
          <cell r="J525">
            <v>13812000</v>
          </cell>
        </row>
        <row r="526">
          <cell r="J526">
            <v>11000000</v>
          </cell>
        </row>
        <row r="527">
          <cell r="J527">
            <v>5215528</v>
          </cell>
        </row>
        <row r="528">
          <cell r="J528">
            <v>8918279</v>
          </cell>
        </row>
        <row r="531">
          <cell r="J531">
            <v>9500000</v>
          </cell>
        </row>
        <row r="535">
          <cell r="J535">
            <v>4550000</v>
          </cell>
        </row>
        <row r="537">
          <cell r="J537">
            <v>165000</v>
          </cell>
        </row>
        <row r="538">
          <cell r="J538">
            <v>120000</v>
          </cell>
        </row>
        <row r="539">
          <cell r="J539">
            <v>3700000</v>
          </cell>
        </row>
        <row r="540">
          <cell r="J540">
            <v>400000</v>
          </cell>
        </row>
        <row r="541">
          <cell r="J541">
            <v>4260000</v>
          </cell>
        </row>
        <row r="542">
          <cell r="J542">
            <v>1448400</v>
          </cell>
        </row>
        <row r="543">
          <cell r="J543">
            <v>1890000</v>
          </cell>
        </row>
        <row r="544">
          <cell r="J544">
            <v>567000</v>
          </cell>
        </row>
        <row r="545">
          <cell r="J545">
            <v>9000000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Сергей Раськин" id="{3CF45653-9802-4C2E-9485-0B4F4E9F12FA}" userId="05436dbb413e089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0-05-18T04:20:06.05" personId="{3CF45653-9802-4C2E-9485-0B4F4E9F12FA}" id="{060AA9A8-3DE8-4D86-897E-3863AAED0F9D}">
    <text>Данные Геодезии</text>
  </threadedComment>
  <threadedComment ref="E5" dT="2020-05-18T04:31:59.74" personId="{3CF45653-9802-4C2E-9485-0B4F4E9F12FA}" id="{B7BBF3F7-28F7-49E9-AF39-055C25970EB0}">
    <text>Данные Львова Ю.Е.</text>
  </threadedComment>
  <threadedComment ref="D6" dT="2020-05-18T04:20:26.01" personId="{3CF45653-9802-4C2E-9485-0B4F4E9F12FA}" id="{72DE1684-2682-4737-A24F-4CA12C45E56B}">
    <text>Данные Геодезии</text>
  </threadedComment>
  <threadedComment ref="E6" dT="2020-05-18T04:31:52.29" personId="{3CF45653-9802-4C2E-9485-0B4F4E9F12FA}" id="{F0498F7E-E42E-4D6E-85E4-81CE76FA6AA0}">
    <text>Данные Львова Ю.Е.</text>
  </threadedComment>
  <threadedComment ref="D7" dT="2020-05-18T04:20:35.98" personId="{3CF45653-9802-4C2E-9485-0B4F4E9F12FA}" id="{EC340869-7DDE-4691-A697-B3AB09C6EF9E}">
    <text>Данные геодезии</text>
  </threadedComment>
  <threadedComment ref="E7" dT="2020-05-18T04:26:26.18" personId="{3CF45653-9802-4C2E-9485-0B4F4E9F12FA}" id="{47601B9D-85B8-4803-8404-5388DDEC06AA}">
    <text>Данные Егоров В.Д.</text>
  </threadedComment>
  <threadedComment ref="E8" dT="2020-05-18T04:32:06.31" personId="{3CF45653-9802-4C2E-9485-0B4F4E9F12FA}" id="{33DB57AF-F636-469E-9F70-8DB0ADFF6C7D}">
    <text>Данные Львова Ю.Е.</text>
  </threadedComment>
  <threadedComment ref="D9" dT="2020-05-18T04:32:32.73" personId="{3CF45653-9802-4C2E-9485-0B4F4E9F12FA}" id="{3CE0BD54-D094-4476-AEC1-F48DCF66EED5}">
    <text>Данные Казакова Ю.М.</text>
  </threadedComment>
  <threadedComment ref="E9" dT="2020-05-18T04:32:09.93" personId="{3CF45653-9802-4C2E-9485-0B4F4E9F12FA}" id="{73792048-6FA7-488D-ADA1-6DEA95DF735D}">
    <text>Данные Львова Ю.Е.</text>
  </threadedComment>
  <threadedComment ref="D10" dT="2020-05-18T04:32:41.15" personId="{3CF45653-9802-4C2E-9485-0B4F4E9F12FA}" id="{F438FC40-E6C9-4D28-A3D9-69E2AD7CCE61}">
    <text>Данные Казакова Ю.М.</text>
  </threadedComment>
  <threadedComment ref="E10" dT="2020-05-18T04:32:12.86" personId="{3CF45653-9802-4C2E-9485-0B4F4E9F12FA}" id="{0CDE85E7-17D1-44BF-B723-40B573A0C97F}">
    <text>Данные Львова Ю.Е.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0-05-18T04:20:06.05" personId="{3CF45653-9802-4C2E-9485-0B4F4E9F12FA}" id="{CAF62CB1-B4CD-4DA6-9DF5-24B8BEAE68DC}">
    <text>Данные Геодезии</text>
  </threadedComment>
  <threadedComment ref="E6" dT="2020-05-18T04:31:59.74" personId="{3CF45653-9802-4C2E-9485-0B4F4E9F12FA}" id="{1E2E6478-3CF4-40F2-A24E-654359CAB106}">
    <text>Данные Львова Ю.Е.</text>
  </threadedComment>
  <threadedComment ref="D7" dT="2020-05-18T04:20:26.01" personId="{3CF45653-9802-4C2E-9485-0B4F4E9F12FA}" id="{D25F3900-781B-415D-B1AB-4950788A3A70}">
    <text>Данные Геодезии</text>
  </threadedComment>
  <threadedComment ref="E7" dT="2020-05-18T04:31:52.29" personId="{3CF45653-9802-4C2E-9485-0B4F4E9F12FA}" id="{558AE663-5267-4BBD-8BAF-58F143663BE7}">
    <text>Данные Львова Ю.Е.</text>
  </threadedComment>
  <threadedComment ref="D8" dT="2020-05-18T04:20:35.98" personId="{3CF45653-9802-4C2E-9485-0B4F4E9F12FA}" id="{7EA255A4-1865-4E56-A2C2-8F7CBD2810E7}">
    <text>Данные геодезии</text>
  </threadedComment>
  <threadedComment ref="E8" dT="2020-05-18T04:26:26.18" personId="{3CF45653-9802-4C2E-9485-0B4F4E9F12FA}" id="{6EABCF68-D779-4222-B0B4-56FE6D2A6226}">
    <text>Данные Егоров В.Д.</text>
  </threadedComment>
  <threadedComment ref="E9" dT="2020-05-18T04:32:06.31" personId="{3CF45653-9802-4C2E-9485-0B4F4E9F12FA}" id="{DF6B662E-67BD-4064-A35C-169C498A2E04}">
    <text>Данные Львова Ю.Е.</text>
  </threadedComment>
  <threadedComment ref="D10" dT="2020-05-18T04:32:32.73" personId="{3CF45653-9802-4C2E-9485-0B4F4E9F12FA}" id="{EF70D6E5-EFAA-460A-8300-5388BF3DB3B0}">
    <text>Данные Казакова Ю.М.</text>
  </threadedComment>
  <threadedComment ref="E10" dT="2020-05-18T04:32:09.93" personId="{3CF45653-9802-4C2E-9485-0B4F4E9F12FA}" id="{4D16A040-105D-434B-BFC1-E43A81E2636A}">
    <text>Данные Львова Ю.Е.</text>
  </threadedComment>
  <threadedComment ref="D11" dT="2020-05-18T04:32:41.15" personId="{3CF45653-9802-4C2E-9485-0B4F4E9F12FA}" id="{B3B23A4D-38AA-4FA6-A3E2-4713FC0E9589}">
    <text>Данные Казакова Ю.М.</text>
  </threadedComment>
  <threadedComment ref="E11" dT="2020-05-18T04:32:12.86" personId="{3CF45653-9802-4C2E-9485-0B4F4E9F12FA}" id="{E380364A-9BC2-40F7-BD56-9F74F2644BEA}">
    <text>Данные Львова Ю.Е.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3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8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26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9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3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1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4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7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2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7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5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3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8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2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6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0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29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6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1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4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2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7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40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5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5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3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28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6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10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9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1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4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9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14" Type="http://schemas.openxmlformats.org/officeDocument/2006/relationships/hyperlink" Target="&#1087;&#1086;%20&#1054;&#1088;&#1075;&#1072;&#1085;-&#1057;&#1084;&#1077;&#1090;&#1072;%20&#1085;&#1072;%20&#1082;&#1086;&#1084;&#1087;&#1083;&#1077;&#1082;&#1089;%20&#1088;&#1072;&#1073;&#1086;&#1090;%20&#1087;&#1086;%20&#1078;&#1076;%20&#8470;%206%20&#1076;&#1083;&#1103;%20&#1082;&#1086;&#1085;&#1090;&#1088;&#1072;&#1082;&#1090;&#1072;%20&#1080;%20&#1091;&#1087;&#1088;%20(17.12.19)%20(2).xls" TargetMode="External"/><Relationship Id="rId22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27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0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Relationship Id="rId35" Type="http://schemas.openxmlformats.org/officeDocument/2006/relationships/hyperlink" Target="&#1054;&#1082;&#1086;&#1085;&#1095;&#1072;&#1090;&#1077;&#1083;&#1100;&#1085;&#1072;&#1103;%20&#1089;&#1077;&#1073;&#1077;&#1089;&#1090;&#1086;&#1080;&#1084;&#1086;&#1089;&#1090;&#1100;%2016.12.2019(&#1089;%20&#1082;&#1077;&#1088;&#1072;&#1084;&#1079;&#1080;&#1090;&#1086;&#1084;,&#1089;&#1090;&#1103;&#1078;&#1082;&#1086;&#1081;,&#1073;&#1077;&#1079;%20&#1089;&#1090;&#1077;&#1085;).x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B18" sqref="B18"/>
    </sheetView>
  </sheetViews>
  <sheetFormatPr defaultRowHeight="15.05" x14ac:dyDescent="0.3"/>
  <cols>
    <col min="1" max="1" width="6.88671875" style="35" bestFit="1" customWidth="1"/>
    <col min="2" max="2" width="140.5546875" style="9" bestFit="1" customWidth="1"/>
    <col min="3" max="3" width="8.88671875" style="36" bestFit="1" customWidth="1"/>
    <col min="4" max="4" width="11.6640625" style="36" customWidth="1"/>
    <col min="5" max="5" width="11.44140625" style="154" bestFit="1" customWidth="1"/>
    <col min="6" max="6" width="16.5546875" style="155" customWidth="1"/>
    <col min="7" max="7" width="15.5546875" style="9" bestFit="1" customWidth="1"/>
    <col min="8" max="9" width="16.6640625" style="9" bestFit="1" customWidth="1"/>
    <col min="10" max="10" width="12.44140625" style="9" bestFit="1" customWidth="1"/>
    <col min="11" max="11" width="19.33203125" style="9" bestFit="1" customWidth="1"/>
    <col min="12" max="12" width="36.5546875" style="9" customWidth="1"/>
    <col min="13" max="256" width="210.33203125" style="9" customWidth="1"/>
    <col min="257" max="257" width="6.88671875" style="9" bestFit="1" customWidth="1"/>
    <col min="258" max="258" width="140.5546875" style="9" bestFit="1" customWidth="1"/>
    <col min="259" max="259" width="8.88671875" style="9" bestFit="1" customWidth="1"/>
    <col min="260" max="260" width="9.5546875" style="9" bestFit="1" customWidth="1"/>
    <col min="261" max="261" width="11.44140625" style="9" bestFit="1" customWidth="1"/>
    <col min="262" max="262" width="13.33203125" style="9" bestFit="1" customWidth="1"/>
    <col min="263" max="263" width="15.5546875" style="9" bestFit="1" customWidth="1"/>
    <col min="264" max="265" width="16.6640625" style="9" bestFit="1" customWidth="1"/>
    <col min="266" max="512" width="210.33203125" style="9" customWidth="1"/>
    <col min="513" max="513" width="6.88671875" style="9" bestFit="1" customWidth="1"/>
    <col min="514" max="514" width="140.5546875" style="9" bestFit="1" customWidth="1"/>
    <col min="515" max="515" width="8.88671875" style="9" bestFit="1" customWidth="1"/>
    <col min="516" max="516" width="9.5546875" style="9" bestFit="1" customWidth="1"/>
    <col min="517" max="517" width="11.44140625" style="9" bestFit="1" customWidth="1"/>
    <col min="518" max="518" width="13.33203125" style="9" bestFit="1" customWidth="1"/>
    <col min="519" max="519" width="15.5546875" style="9" bestFit="1" customWidth="1"/>
    <col min="520" max="521" width="16.6640625" style="9" bestFit="1" customWidth="1"/>
    <col min="522" max="768" width="210.33203125" style="9" customWidth="1"/>
    <col min="769" max="769" width="6.88671875" style="9" bestFit="1" customWidth="1"/>
    <col min="770" max="770" width="140.5546875" style="9" bestFit="1" customWidth="1"/>
    <col min="771" max="771" width="8.88671875" style="9" bestFit="1" customWidth="1"/>
    <col min="772" max="772" width="9.5546875" style="9" bestFit="1" customWidth="1"/>
    <col min="773" max="773" width="11.44140625" style="9" bestFit="1" customWidth="1"/>
    <col min="774" max="774" width="13.33203125" style="9" bestFit="1" customWidth="1"/>
    <col min="775" max="775" width="15.5546875" style="9" bestFit="1" customWidth="1"/>
    <col min="776" max="777" width="16.6640625" style="9" bestFit="1" customWidth="1"/>
    <col min="778" max="1024" width="210.33203125" style="9" customWidth="1"/>
    <col min="1025" max="1025" width="6.88671875" style="9" bestFit="1" customWidth="1"/>
    <col min="1026" max="1026" width="140.5546875" style="9" bestFit="1" customWidth="1"/>
    <col min="1027" max="1027" width="8.88671875" style="9" bestFit="1" customWidth="1"/>
    <col min="1028" max="1028" width="9.5546875" style="9" bestFit="1" customWidth="1"/>
    <col min="1029" max="1029" width="11.44140625" style="9" bestFit="1" customWidth="1"/>
    <col min="1030" max="1030" width="13.33203125" style="9" bestFit="1" customWidth="1"/>
    <col min="1031" max="1031" width="15.5546875" style="9" bestFit="1" customWidth="1"/>
    <col min="1032" max="1033" width="16.6640625" style="9" bestFit="1" customWidth="1"/>
    <col min="1034" max="1280" width="210.33203125" style="9" customWidth="1"/>
    <col min="1281" max="1281" width="6.88671875" style="9" bestFit="1" customWidth="1"/>
    <col min="1282" max="1282" width="140.5546875" style="9" bestFit="1" customWidth="1"/>
    <col min="1283" max="1283" width="8.88671875" style="9" bestFit="1" customWidth="1"/>
    <col min="1284" max="1284" width="9.5546875" style="9" bestFit="1" customWidth="1"/>
    <col min="1285" max="1285" width="11.44140625" style="9" bestFit="1" customWidth="1"/>
    <col min="1286" max="1286" width="13.33203125" style="9" bestFit="1" customWidth="1"/>
    <col min="1287" max="1287" width="15.5546875" style="9" bestFit="1" customWidth="1"/>
    <col min="1288" max="1289" width="16.6640625" style="9" bestFit="1" customWidth="1"/>
    <col min="1290" max="1536" width="210.33203125" style="9" customWidth="1"/>
    <col min="1537" max="1537" width="6.88671875" style="9" bestFit="1" customWidth="1"/>
    <col min="1538" max="1538" width="140.5546875" style="9" bestFit="1" customWidth="1"/>
    <col min="1539" max="1539" width="8.88671875" style="9" bestFit="1" customWidth="1"/>
    <col min="1540" max="1540" width="9.5546875" style="9" bestFit="1" customWidth="1"/>
    <col min="1541" max="1541" width="11.44140625" style="9" bestFit="1" customWidth="1"/>
    <col min="1542" max="1542" width="13.33203125" style="9" bestFit="1" customWidth="1"/>
    <col min="1543" max="1543" width="15.5546875" style="9" bestFit="1" customWidth="1"/>
    <col min="1544" max="1545" width="16.6640625" style="9" bestFit="1" customWidth="1"/>
    <col min="1546" max="1792" width="210.33203125" style="9" customWidth="1"/>
    <col min="1793" max="1793" width="6.88671875" style="9" bestFit="1" customWidth="1"/>
    <col min="1794" max="1794" width="140.5546875" style="9" bestFit="1" customWidth="1"/>
    <col min="1795" max="1795" width="8.88671875" style="9" bestFit="1" customWidth="1"/>
    <col min="1796" max="1796" width="9.5546875" style="9" bestFit="1" customWidth="1"/>
    <col min="1797" max="1797" width="11.44140625" style="9" bestFit="1" customWidth="1"/>
    <col min="1798" max="1798" width="13.33203125" style="9" bestFit="1" customWidth="1"/>
    <col min="1799" max="1799" width="15.5546875" style="9" bestFit="1" customWidth="1"/>
    <col min="1800" max="1801" width="16.6640625" style="9" bestFit="1" customWidth="1"/>
    <col min="1802" max="2048" width="210.33203125" style="9" customWidth="1"/>
    <col min="2049" max="2049" width="6.88671875" style="9" bestFit="1" customWidth="1"/>
    <col min="2050" max="2050" width="140.5546875" style="9" bestFit="1" customWidth="1"/>
    <col min="2051" max="2051" width="8.88671875" style="9" bestFit="1" customWidth="1"/>
    <col min="2052" max="2052" width="9.5546875" style="9" bestFit="1" customWidth="1"/>
    <col min="2053" max="2053" width="11.44140625" style="9" bestFit="1" customWidth="1"/>
    <col min="2054" max="2054" width="13.33203125" style="9" bestFit="1" customWidth="1"/>
    <col min="2055" max="2055" width="15.5546875" style="9" bestFit="1" customWidth="1"/>
    <col min="2056" max="2057" width="16.6640625" style="9" bestFit="1" customWidth="1"/>
    <col min="2058" max="2304" width="210.33203125" style="9" customWidth="1"/>
    <col min="2305" max="2305" width="6.88671875" style="9" bestFit="1" customWidth="1"/>
    <col min="2306" max="2306" width="140.5546875" style="9" bestFit="1" customWidth="1"/>
    <col min="2307" max="2307" width="8.88671875" style="9" bestFit="1" customWidth="1"/>
    <col min="2308" max="2308" width="9.5546875" style="9" bestFit="1" customWidth="1"/>
    <col min="2309" max="2309" width="11.44140625" style="9" bestFit="1" customWidth="1"/>
    <col min="2310" max="2310" width="13.33203125" style="9" bestFit="1" customWidth="1"/>
    <col min="2311" max="2311" width="15.5546875" style="9" bestFit="1" customWidth="1"/>
    <col min="2312" max="2313" width="16.6640625" style="9" bestFit="1" customWidth="1"/>
    <col min="2314" max="2560" width="210.33203125" style="9" customWidth="1"/>
    <col min="2561" max="2561" width="6.88671875" style="9" bestFit="1" customWidth="1"/>
    <col min="2562" max="2562" width="140.5546875" style="9" bestFit="1" customWidth="1"/>
    <col min="2563" max="2563" width="8.88671875" style="9" bestFit="1" customWidth="1"/>
    <col min="2564" max="2564" width="9.5546875" style="9" bestFit="1" customWidth="1"/>
    <col min="2565" max="2565" width="11.44140625" style="9" bestFit="1" customWidth="1"/>
    <col min="2566" max="2566" width="13.33203125" style="9" bestFit="1" customWidth="1"/>
    <col min="2567" max="2567" width="15.5546875" style="9" bestFit="1" customWidth="1"/>
    <col min="2568" max="2569" width="16.6640625" style="9" bestFit="1" customWidth="1"/>
    <col min="2570" max="2816" width="210.33203125" style="9" customWidth="1"/>
    <col min="2817" max="2817" width="6.88671875" style="9" bestFit="1" customWidth="1"/>
    <col min="2818" max="2818" width="140.5546875" style="9" bestFit="1" customWidth="1"/>
    <col min="2819" max="2819" width="8.88671875" style="9" bestFit="1" customWidth="1"/>
    <col min="2820" max="2820" width="9.5546875" style="9" bestFit="1" customWidth="1"/>
    <col min="2821" max="2821" width="11.44140625" style="9" bestFit="1" customWidth="1"/>
    <col min="2822" max="2822" width="13.33203125" style="9" bestFit="1" customWidth="1"/>
    <col min="2823" max="2823" width="15.5546875" style="9" bestFit="1" customWidth="1"/>
    <col min="2824" max="2825" width="16.6640625" style="9" bestFit="1" customWidth="1"/>
    <col min="2826" max="3072" width="210.33203125" style="9" customWidth="1"/>
    <col min="3073" max="3073" width="6.88671875" style="9" bestFit="1" customWidth="1"/>
    <col min="3074" max="3074" width="140.5546875" style="9" bestFit="1" customWidth="1"/>
    <col min="3075" max="3075" width="8.88671875" style="9" bestFit="1" customWidth="1"/>
    <col min="3076" max="3076" width="9.5546875" style="9" bestFit="1" customWidth="1"/>
    <col min="3077" max="3077" width="11.44140625" style="9" bestFit="1" customWidth="1"/>
    <col min="3078" max="3078" width="13.33203125" style="9" bestFit="1" customWidth="1"/>
    <col min="3079" max="3079" width="15.5546875" style="9" bestFit="1" customWidth="1"/>
    <col min="3080" max="3081" width="16.6640625" style="9" bestFit="1" customWidth="1"/>
    <col min="3082" max="3328" width="210.33203125" style="9" customWidth="1"/>
    <col min="3329" max="3329" width="6.88671875" style="9" bestFit="1" customWidth="1"/>
    <col min="3330" max="3330" width="140.5546875" style="9" bestFit="1" customWidth="1"/>
    <col min="3331" max="3331" width="8.88671875" style="9" bestFit="1" customWidth="1"/>
    <col min="3332" max="3332" width="9.5546875" style="9" bestFit="1" customWidth="1"/>
    <col min="3333" max="3333" width="11.44140625" style="9" bestFit="1" customWidth="1"/>
    <col min="3334" max="3334" width="13.33203125" style="9" bestFit="1" customWidth="1"/>
    <col min="3335" max="3335" width="15.5546875" style="9" bestFit="1" customWidth="1"/>
    <col min="3336" max="3337" width="16.6640625" style="9" bestFit="1" customWidth="1"/>
    <col min="3338" max="3584" width="210.33203125" style="9" customWidth="1"/>
    <col min="3585" max="3585" width="6.88671875" style="9" bestFit="1" customWidth="1"/>
    <col min="3586" max="3586" width="140.5546875" style="9" bestFit="1" customWidth="1"/>
    <col min="3587" max="3587" width="8.88671875" style="9" bestFit="1" customWidth="1"/>
    <col min="3588" max="3588" width="9.5546875" style="9" bestFit="1" customWidth="1"/>
    <col min="3589" max="3589" width="11.44140625" style="9" bestFit="1" customWidth="1"/>
    <col min="3590" max="3590" width="13.33203125" style="9" bestFit="1" customWidth="1"/>
    <col min="3591" max="3591" width="15.5546875" style="9" bestFit="1" customWidth="1"/>
    <col min="3592" max="3593" width="16.6640625" style="9" bestFit="1" customWidth="1"/>
    <col min="3594" max="3840" width="210.33203125" style="9" customWidth="1"/>
    <col min="3841" max="3841" width="6.88671875" style="9" bestFit="1" customWidth="1"/>
    <col min="3842" max="3842" width="140.5546875" style="9" bestFit="1" customWidth="1"/>
    <col min="3843" max="3843" width="8.88671875" style="9" bestFit="1" customWidth="1"/>
    <col min="3844" max="3844" width="9.5546875" style="9" bestFit="1" customWidth="1"/>
    <col min="3845" max="3845" width="11.44140625" style="9" bestFit="1" customWidth="1"/>
    <col min="3846" max="3846" width="13.33203125" style="9" bestFit="1" customWidth="1"/>
    <col min="3847" max="3847" width="15.5546875" style="9" bestFit="1" customWidth="1"/>
    <col min="3848" max="3849" width="16.6640625" style="9" bestFit="1" customWidth="1"/>
    <col min="3850" max="4096" width="210.33203125" style="9" customWidth="1"/>
    <col min="4097" max="4097" width="6.88671875" style="9" bestFit="1" customWidth="1"/>
    <col min="4098" max="4098" width="140.5546875" style="9" bestFit="1" customWidth="1"/>
    <col min="4099" max="4099" width="8.88671875" style="9" bestFit="1" customWidth="1"/>
    <col min="4100" max="4100" width="9.5546875" style="9" bestFit="1" customWidth="1"/>
    <col min="4101" max="4101" width="11.44140625" style="9" bestFit="1" customWidth="1"/>
    <col min="4102" max="4102" width="13.33203125" style="9" bestFit="1" customWidth="1"/>
    <col min="4103" max="4103" width="15.5546875" style="9" bestFit="1" customWidth="1"/>
    <col min="4104" max="4105" width="16.6640625" style="9" bestFit="1" customWidth="1"/>
    <col min="4106" max="4352" width="210.33203125" style="9" customWidth="1"/>
    <col min="4353" max="4353" width="6.88671875" style="9" bestFit="1" customWidth="1"/>
    <col min="4354" max="4354" width="140.5546875" style="9" bestFit="1" customWidth="1"/>
    <col min="4355" max="4355" width="8.88671875" style="9" bestFit="1" customWidth="1"/>
    <col min="4356" max="4356" width="9.5546875" style="9" bestFit="1" customWidth="1"/>
    <col min="4357" max="4357" width="11.44140625" style="9" bestFit="1" customWidth="1"/>
    <col min="4358" max="4358" width="13.33203125" style="9" bestFit="1" customWidth="1"/>
    <col min="4359" max="4359" width="15.5546875" style="9" bestFit="1" customWidth="1"/>
    <col min="4360" max="4361" width="16.6640625" style="9" bestFit="1" customWidth="1"/>
    <col min="4362" max="4608" width="210.33203125" style="9" customWidth="1"/>
    <col min="4609" max="4609" width="6.88671875" style="9" bestFit="1" customWidth="1"/>
    <col min="4610" max="4610" width="140.5546875" style="9" bestFit="1" customWidth="1"/>
    <col min="4611" max="4611" width="8.88671875" style="9" bestFit="1" customWidth="1"/>
    <col min="4612" max="4612" width="9.5546875" style="9" bestFit="1" customWidth="1"/>
    <col min="4613" max="4613" width="11.44140625" style="9" bestFit="1" customWidth="1"/>
    <col min="4614" max="4614" width="13.33203125" style="9" bestFit="1" customWidth="1"/>
    <col min="4615" max="4615" width="15.5546875" style="9" bestFit="1" customWidth="1"/>
    <col min="4616" max="4617" width="16.6640625" style="9" bestFit="1" customWidth="1"/>
    <col min="4618" max="4864" width="210.33203125" style="9" customWidth="1"/>
    <col min="4865" max="4865" width="6.88671875" style="9" bestFit="1" customWidth="1"/>
    <col min="4866" max="4866" width="140.5546875" style="9" bestFit="1" customWidth="1"/>
    <col min="4867" max="4867" width="8.88671875" style="9" bestFit="1" customWidth="1"/>
    <col min="4868" max="4868" width="9.5546875" style="9" bestFit="1" customWidth="1"/>
    <col min="4869" max="4869" width="11.44140625" style="9" bestFit="1" customWidth="1"/>
    <col min="4870" max="4870" width="13.33203125" style="9" bestFit="1" customWidth="1"/>
    <col min="4871" max="4871" width="15.5546875" style="9" bestFit="1" customWidth="1"/>
    <col min="4872" max="4873" width="16.6640625" style="9" bestFit="1" customWidth="1"/>
    <col min="4874" max="5120" width="210.33203125" style="9" customWidth="1"/>
    <col min="5121" max="5121" width="6.88671875" style="9" bestFit="1" customWidth="1"/>
    <col min="5122" max="5122" width="140.5546875" style="9" bestFit="1" customWidth="1"/>
    <col min="5123" max="5123" width="8.88671875" style="9" bestFit="1" customWidth="1"/>
    <col min="5124" max="5124" width="9.5546875" style="9" bestFit="1" customWidth="1"/>
    <col min="5125" max="5125" width="11.44140625" style="9" bestFit="1" customWidth="1"/>
    <col min="5126" max="5126" width="13.33203125" style="9" bestFit="1" customWidth="1"/>
    <col min="5127" max="5127" width="15.5546875" style="9" bestFit="1" customWidth="1"/>
    <col min="5128" max="5129" width="16.6640625" style="9" bestFit="1" customWidth="1"/>
    <col min="5130" max="5376" width="210.33203125" style="9" customWidth="1"/>
    <col min="5377" max="5377" width="6.88671875" style="9" bestFit="1" customWidth="1"/>
    <col min="5378" max="5378" width="140.5546875" style="9" bestFit="1" customWidth="1"/>
    <col min="5379" max="5379" width="8.88671875" style="9" bestFit="1" customWidth="1"/>
    <col min="5380" max="5380" width="9.5546875" style="9" bestFit="1" customWidth="1"/>
    <col min="5381" max="5381" width="11.44140625" style="9" bestFit="1" customWidth="1"/>
    <col min="5382" max="5382" width="13.33203125" style="9" bestFit="1" customWidth="1"/>
    <col min="5383" max="5383" width="15.5546875" style="9" bestFit="1" customWidth="1"/>
    <col min="5384" max="5385" width="16.6640625" style="9" bestFit="1" customWidth="1"/>
    <col min="5386" max="5632" width="210.33203125" style="9" customWidth="1"/>
    <col min="5633" max="5633" width="6.88671875" style="9" bestFit="1" customWidth="1"/>
    <col min="5634" max="5634" width="140.5546875" style="9" bestFit="1" customWidth="1"/>
    <col min="5635" max="5635" width="8.88671875" style="9" bestFit="1" customWidth="1"/>
    <col min="5636" max="5636" width="9.5546875" style="9" bestFit="1" customWidth="1"/>
    <col min="5637" max="5637" width="11.44140625" style="9" bestFit="1" customWidth="1"/>
    <col min="5638" max="5638" width="13.33203125" style="9" bestFit="1" customWidth="1"/>
    <col min="5639" max="5639" width="15.5546875" style="9" bestFit="1" customWidth="1"/>
    <col min="5640" max="5641" width="16.6640625" style="9" bestFit="1" customWidth="1"/>
    <col min="5642" max="5888" width="210.33203125" style="9" customWidth="1"/>
    <col min="5889" max="5889" width="6.88671875" style="9" bestFit="1" customWidth="1"/>
    <col min="5890" max="5890" width="140.5546875" style="9" bestFit="1" customWidth="1"/>
    <col min="5891" max="5891" width="8.88671875" style="9" bestFit="1" customWidth="1"/>
    <col min="5892" max="5892" width="9.5546875" style="9" bestFit="1" customWidth="1"/>
    <col min="5893" max="5893" width="11.44140625" style="9" bestFit="1" customWidth="1"/>
    <col min="5894" max="5894" width="13.33203125" style="9" bestFit="1" customWidth="1"/>
    <col min="5895" max="5895" width="15.5546875" style="9" bestFit="1" customWidth="1"/>
    <col min="5896" max="5897" width="16.6640625" style="9" bestFit="1" customWidth="1"/>
    <col min="5898" max="6144" width="210.33203125" style="9" customWidth="1"/>
    <col min="6145" max="6145" width="6.88671875" style="9" bestFit="1" customWidth="1"/>
    <col min="6146" max="6146" width="140.5546875" style="9" bestFit="1" customWidth="1"/>
    <col min="6147" max="6147" width="8.88671875" style="9" bestFit="1" customWidth="1"/>
    <col min="6148" max="6148" width="9.5546875" style="9" bestFit="1" customWidth="1"/>
    <col min="6149" max="6149" width="11.44140625" style="9" bestFit="1" customWidth="1"/>
    <col min="6150" max="6150" width="13.33203125" style="9" bestFit="1" customWidth="1"/>
    <col min="6151" max="6151" width="15.5546875" style="9" bestFit="1" customWidth="1"/>
    <col min="6152" max="6153" width="16.6640625" style="9" bestFit="1" customWidth="1"/>
    <col min="6154" max="6400" width="210.33203125" style="9" customWidth="1"/>
    <col min="6401" max="6401" width="6.88671875" style="9" bestFit="1" customWidth="1"/>
    <col min="6402" max="6402" width="140.5546875" style="9" bestFit="1" customWidth="1"/>
    <col min="6403" max="6403" width="8.88671875" style="9" bestFit="1" customWidth="1"/>
    <col min="6404" max="6404" width="9.5546875" style="9" bestFit="1" customWidth="1"/>
    <col min="6405" max="6405" width="11.44140625" style="9" bestFit="1" customWidth="1"/>
    <col min="6406" max="6406" width="13.33203125" style="9" bestFit="1" customWidth="1"/>
    <col min="6407" max="6407" width="15.5546875" style="9" bestFit="1" customWidth="1"/>
    <col min="6408" max="6409" width="16.6640625" style="9" bestFit="1" customWidth="1"/>
    <col min="6410" max="6656" width="210.33203125" style="9" customWidth="1"/>
    <col min="6657" max="6657" width="6.88671875" style="9" bestFit="1" customWidth="1"/>
    <col min="6658" max="6658" width="140.5546875" style="9" bestFit="1" customWidth="1"/>
    <col min="6659" max="6659" width="8.88671875" style="9" bestFit="1" customWidth="1"/>
    <col min="6660" max="6660" width="9.5546875" style="9" bestFit="1" customWidth="1"/>
    <col min="6661" max="6661" width="11.44140625" style="9" bestFit="1" customWidth="1"/>
    <col min="6662" max="6662" width="13.33203125" style="9" bestFit="1" customWidth="1"/>
    <col min="6663" max="6663" width="15.5546875" style="9" bestFit="1" customWidth="1"/>
    <col min="6664" max="6665" width="16.6640625" style="9" bestFit="1" customWidth="1"/>
    <col min="6666" max="6912" width="210.33203125" style="9" customWidth="1"/>
    <col min="6913" max="6913" width="6.88671875" style="9" bestFit="1" customWidth="1"/>
    <col min="6914" max="6914" width="140.5546875" style="9" bestFit="1" customWidth="1"/>
    <col min="6915" max="6915" width="8.88671875" style="9" bestFit="1" customWidth="1"/>
    <col min="6916" max="6916" width="9.5546875" style="9" bestFit="1" customWidth="1"/>
    <col min="6917" max="6917" width="11.44140625" style="9" bestFit="1" customWidth="1"/>
    <col min="6918" max="6918" width="13.33203125" style="9" bestFit="1" customWidth="1"/>
    <col min="6919" max="6919" width="15.5546875" style="9" bestFit="1" customWidth="1"/>
    <col min="6920" max="6921" width="16.6640625" style="9" bestFit="1" customWidth="1"/>
    <col min="6922" max="7168" width="210.33203125" style="9" customWidth="1"/>
    <col min="7169" max="7169" width="6.88671875" style="9" bestFit="1" customWidth="1"/>
    <col min="7170" max="7170" width="140.5546875" style="9" bestFit="1" customWidth="1"/>
    <col min="7171" max="7171" width="8.88671875" style="9" bestFit="1" customWidth="1"/>
    <col min="7172" max="7172" width="9.5546875" style="9" bestFit="1" customWidth="1"/>
    <col min="7173" max="7173" width="11.44140625" style="9" bestFit="1" customWidth="1"/>
    <col min="7174" max="7174" width="13.33203125" style="9" bestFit="1" customWidth="1"/>
    <col min="7175" max="7175" width="15.5546875" style="9" bestFit="1" customWidth="1"/>
    <col min="7176" max="7177" width="16.6640625" style="9" bestFit="1" customWidth="1"/>
    <col min="7178" max="7424" width="210.33203125" style="9" customWidth="1"/>
    <col min="7425" max="7425" width="6.88671875" style="9" bestFit="1" customWidth="1"/>
    <col min="7426" max="7426" width="140.5546875" style="9" bestFit="1" customWidth="1"/>
    <col min="7427" max="7427" width="8.88671875" style="9" bestFit="1" customWidth="1"/>
    <col min="7428" max="7428" width="9.5546875" style="9" bestFit="1" customWidth="1"/>
    <col min="7429" max="7429" width="11.44140625" style="9" bestFit="1" customWidth="1"/>
    <col min="7430" max="7430" width="13.33203125" style="9" bestFit="1" customWidth="1"/>
    <col min="7431" max="7431" width="15.5546875" style="9" bestFit="1" customWidth="1"/>
    <col min="7432" max="7433" width="16.6640625" style="9" bestFit="1" customWidth="1"/>
    <col min="7434" max="7680" width="210.33203125" style="9" customWidth="1"/>
    <col min="7681" max="7681" width="6.88671875" style="9" bestFit="1" customWidth="1"/>
    <col min="7682" max="7682" width="140.5546875" style="9" bestFit="1" customWidth="1"/>
    <col min="7683" max="7683" width="8.88671875" style="9" bestFit="1" customWidth="1"/>
    <col min="7684" max="7684" width="9.5546875" style="9" bestFit="1" customWidth="1"/>
    <col min="7685" max="7685" width="11.44140625" style="9" bestFit="1" customWidth="1"/>
    <col min="7686" max="7686" width="13.33203125" style="9" bestFit="1" customWidth="1"/>
    <col min="7687" max="7687" width="15.5546875" style="9" bestFit="1" customWidth="1"/>
    <col min="7688" max="7689" width="16.6640625" style="9" bestFit="1" customWidth="1"/>
    <col min="7690" max="7936" width="210.33203125" style="9" customWidth="1"/>
    <col min="7937" max="7937" width="6.88671875" style="9" bestFit="1" customWidth="1"/>
    <col min="7938" max="7938" width="140.5546875" style="9" bestFit="1" customWidth="1"/>
    <col min="7939" max="7939" width="8.88671875" style="9" bestFit="1" customWidth="1"/>
    <col min="7940" max="7940" width="9.5546875" style="9" bestFit="1" customWidth="1"/>
    <col min="7941" max="7941" width="11.44140625" style="9" bestFit="1" customWidth="1"/>
    <col min="7942" max="7942" width="13.33203125" style="9" bestFit="1" customWidth="1"/>
    <col min="7943" max="7943" width="15.5546875" style="9" bestFit="1" customWidth="1"/>
    <col min="7944" max="7945" width="16.6640625" style="9" bestFit="1" customWidth="1"/>
    <col min="7946" max="8192" width="210.33203125" style="9" customWidth="1"/>
    <col min="8193" max="8193" width="6.88671875" style="9" bestFit="1" customWidth="1"/>
    <col min="8194" max="8194" width="140.5546875" style="9" bestFit="1" customWidth="1"/>
    <col min="8195" max="8195" width="8.88671875" style="9" bestFit="1" customWidth="1"/>
    <col min="8196" max="8196" width="9.5546875" style="9" bestFit="1" customWidth="1"/>
    <col min="8197" max="8197" width="11.44140625" style="9" bestFit="1" customWidth="1"/>
    <col min="8198" max="8198" width="13.33203125" style="9" bestFit="1" customWidth="1"/>
    <col min="8199" max="8199" width="15.5546875" style="9" bestFit="1" customWidth="1"/>
    <col min="8200" max="8201" width="16.6640625" style="9" bestFit="1" customWidth="1"/>
    <col min="8202" max="8448" width="210.33203125" style="9" customWidth="1"/>
    <col min="8449" max="8449" width="6.88671875" style="9" bestFit="1" customWidth="1"/>
    <col min="8450" max="8450" width="140.5546875" style="9" bestFit="1" customWidth="1"/>
    <col min="8451" max="8451" width="8.88671875" style="9" bestFit="1" customWidth="1"/>
    <col min="8452" max="8452" width="9.5546875" style="9" bestFit="1" customWidth="1"/>
    <col min="8453" max="8453" width="11.44140625" style="9" bestFit="1" customWidth="1"/>
    <col min="8454" max="8454" width="13.33203125" style="9" bestFit="1" customWidth="1"/>
    <col min="8455" max="8455" width="15.5546875" style="9" bestFit="1" customWidth="1"/>
    <col min="8456" max="8457" width="16.6640625" style="9" bestFit="1" customWidth="1"/>
    <col min="8458" max="8704" width="210.33203125" style="9" customWidth="1"/>
    <col min="8705" max="8705" width="6.88671875" style="9" bestFit="1" customWidth="1"/>
    <col min="8706" max="8706" width="140.5546875" style="9" bestFit="1" customWidth="1"/>
    <col min="8707" max="8707" width="8.88671875" style="9" bestFit="1" customWidth="1"/>
    <col min="8708" max="8708" width="9.5546875" style="9" bestFit="1" customWidth="1"/>
    <col min="8709" max="8709" width="11.44140625" style="9" bestFit="1" customWidth="1"/>
    <col min="8710" max="8710" width="13.33203125" style="9" bestFit="1" customWidth="1"/>
    <col min="8711" max="8711" width="15.5546875" style="9" bestFit="1" customWidth="1"/>
    <col min="8712" max="8713" width="16.6640625" style="9" bestFit="1" customWidth="1"/>
    <col min="8714" max="8960" width="210.33203125" style="9" customWidth="1"/>
    <col min="8961" max="8961" width="6.88671875" style="9" bestFit="1" customWidth="1"/>
    <col min="8962" max="8962" width="140.5546875" style="9" bestFit="1" customWidth="1"/>
    <col min="8963" max="8963" width="8.88671875" style="9" bestFit="1" customWidth="1"/>
    <col min="8964" max="8964" width="9.5546875" style="9" bestFit="1" customWidth="1"/>
    <col min="8965" max="8965" width="11.44140625" style="9" bestFit="1" customWidth="1"/>
    <col min="8966" max="8966" width="13.33203125" style="9" bestFit="1" customWidth="1"/>
    <col min="8967" max="8967" width="15.5546875" style="9" bestFit="1" customWidth="1"/>
    <col min="8968" max="8969" width="16.6640625" style="9" bestFit="1" customWidth="1"/>
    <col min="8970" max="9216" width="210.33203125" style="9" customWidth="1"/>
    <col min="9217" max="9217" width="6.88671875" style="9" bestFit="1" customWidth="1"/>
    <col min="9218" max="9218" width="140.5546875" style="9" bestFit="1" customWidth="1"/>
    <col min="9219" max="9219" width="8.88671875" style="9" bestFit="1" customWidth="1"/>
    <col min="9220" max="9220" width="9.5546875" style="9" bestFit="1" customWidth="1"/>
    <col min="9221" max="9221" width="11.44140625" style="9" bestFit="1" customWidth="1"/>
    <col min="9222" max="9222" width="13.33203125" style="9" bestFit="1" customWidth="1"/>
    <col min="9223" max="9223" width="15.5546875" style="9" bestFit="1" customWidth="1"/>
    <col min="9224" max="9225" width="16.6640625" style="9" bestFit="1" customWidth="1"/>
    <col min="9226" max="9472" width="210.33203125" style="9" customWidth="1"/>
    <col min="9473" max="9473" width="6.88671875" style="9" bestFit="1" customWidth="1"/>
    <col min="9474" max="9474" width="140.5546875" style="9" bestFit="1" customWidth="1"/>
    <col min="9475" max="9475" width="8.88671875" style="9" bestFit="1" customWidth="1"/>
    <col min="9476" max="9476" width="9.5546875" style="9" bestFit="1" customWidth="1"/>
    <col min="9477" max="9477" width="11.44140625" style="9" bestFit="1" customWidth="1"/>
    <col min="9478" max="9478" width="13.33203125" style="9" bestFit="1" customWidth="1"/>
    <col min="9479" max="9479" width="15.5546875" style="9" bestFit="1" customWidth="1"/>
    <col min="9480" max="9481" width="16.6640625" style="9" bestFit="1" customWidth="1"/>
    <col min="9482" max="9728" width="210.33203125" style="9" customWidth="1"/>
    <col min="9729" max="9729" width="6.88671875" style="9" bestFit="1" customWidth="1"/>
    <col min="9730" max="9730" width="140.5546875" style="9" bestFit="1" customWidth="1"/>
    <col min="9731" max="9731" width="8.88671875" style="9" bestFit="1" customWidth="1"/>
    <col min="9732" max="9732" width="9.5546875" style="9" bestFit="1" customWidth="1"/>
    <col min="9733" max="9733" width="11.44140625" style="9" bestFit="1" customWidth="1"/>
    <col min="9734" max="9734" width="13.33203125" style="9" bestFit="1" customWidth="1"/>
    <col min="9735" max="9735" width="15.5546875" style="9" bestFit="1" customWidth="1"/>
    <col min="9736" max="9737" width="16.6640625" style="9" bestFit="1" customWidth="1"/>
    <col min="9738" max="9984" width="210.33203125" style="9" customWidth="1"/>
    <col min="9985" max="9985" width="6.88671875" style="9" bestFit="1" customWidth="1"/>
    <col min="9986" max="9986" width="140.5546875" style="9" bestFit="1" customWidth="1"/>
    <col min="9987" max="9987" width="8.88671875" style="9" bestFit="1" customWidth="1"/>
    <col min="9988" max="9988" width="9.5546875" style="9" bestFit="1" customWidth="1"/>
    <col min="9989" max="9989" width="11.44140625" style="9" bestFit="1" customWidth="1"/>
    <col min="9990" max="9990" width="13.33203125" style="9" bestFit="1" customWidth="1"/>
    <col min="9991" max="9991" width="15.5546875" style="9" bestFit="1" customWidth="1"/>
    <col min="9992" max="9993" width="16.6640625" style="9" bestFit="1" customWidth="1"/>
    <col min="9994" max="10240" width="210.33203125" style="9" customWidth="1"/>
    <col min="10241" max="10241" width="6.88671875" style="9" bestFit="1" customWidth="1"/>
    <col min="10242" max="10242" width="140.5546875" style="9" bestFit="1" customWidth="1"/>
    <col min="10243" max="10243" width="8.88671875" style="9" bestFit="1" customWidth="1"/>
    <col min="10244" max="10244" width="9.5546875" style="9" bestFit="1" customWidth="1"/>
    <col min="10245" max="10245" width="11.44140625" style="9" bestFit="1" customWidth="1"/>
    <col min="10246" max="10246" width="13.33203125" style="9" bestFit="1" customWidth="1"/>
    <col min="10247" max="10247" width="15.5546875" style="9" bestFit="1" customWidth="1"/>
    <col min="10248" max="10249" width="16.6640625" style="9" bestFit="1" customWidth="1"/>
    <col min="10250" max="10496" width="210.33203125" style="9" customWidth="1"/>
    <col min="10497" max="10497" width="6.88671875" style="9" bestFit="1" customWidth="1"/>
    <col min="10498" max="10498" width="140.5546875" style="9" bestFit="1" customWidth="1"/>
    <col min="10499" max="10499" width="8.88671875" style="9" bestFit="1" customWidth="1"/>
    <col min="10500" max="10500" width="9.5546875" style="9" bestFit="1" customWidth="1"/>
    <col min="10501" max="10501" width="11.44140625" style="9" bestFit="1" customWidth="1"/>
    <col min="10502" max="10502" width="13.33203125" style="9" bestFit="1" customWidth="1"/>
    <col min="10503" max="10503" width="15.5546875" style="9" bestFit="1" customWidth="1"/>
    <col min="10504" max="10505" width="16.6640625" style="9" bestFit="1" customWidth="1"/>
    <col min="10506" max="10752" width="210.33203125" style="9" customWidth="1"/>
    <col min="10753" max="10753" width="6.88671875" style="9" bestFit="1" customWidth="1"/>
    <col min="10754" max="10754" width="140.5546875" style="9" bestFit="1" customWidth="1"/>
    <col min="10755" max="10755" width="8.88671875" style="9" bestFit="1" customWidth="1"/>
    <col min="10756" max="10756" width="9.5546875" style="9" bestFit="1" customWidth="1"/>
    <col min="10757" max="10757" width="11.44140625" style="9" bestFit="1" customWidth="1"/>
    <col min="10758" max="10758" width="13.33203125" style="9" bestFit="1" customWidth="1"/>
    <col min="10759" max="10759" width="15.5546875" style="9" bestFit="1" customWidth="1"/>
    <col min="10760" max="10761" width="16.6640625" style="9" bestFit="1" customWidth="1"/>
    <col min="10762" max="11008" width="210.33203125" style="9" customWidth="1"/>
    <col min="11009" max="11009" width="6.88671875" style="9" bestFit="1" customWidth="1"/>
    <col min="11010" max="11010" width="140.5546875" style="9" bestFit="1" customWidth="1"/>
    <col min="11011" max="11011" width="8.88671875" style="9" bestFit="1" customWidth="1"/>
    <col min="11012" max="11012" width="9.5546875" style="9" bestFit="1" customWidth="1"/>
    <col min="11013" max="11013" width="11.44140625" style="9" bestFit="1" customWidth="1"/>
    <col min="11014" max="11014" width="13.33203125" style="9" bestFit="1" customWidth="1"/>
    <col min="11015" max="11015" width="15.5546875" style="9" bestFit="1" customWidth="1"/>
    <col min="11016" max="11017" width="16.6640625" style="9" bestFit="1" customWidth="1"/>
    <col min="11018" max="11264" width="210.33203125" style="9" customWidth="1"/>
    <col min="11265" max="11265" width="6.88671875" style="9" bestFit="1" customWidth="1"/>
    <col min="11266" max="11266" width="140.5546875" style="9" bestFit="1" customWidth="1"/>
    <col min="11267" max="11267" width="8.88671875" style="9" bestFit="1" customWidth="1"/>
    <col min="11268" max="11268" width="9.5546875" style="9" bestFit="1" customWidth="1"/>
    <col min="11269" max="11269" width="11.44140625" style="9" bestFit="1" customWidth="1"/>
    <col min="11270" max="11270" width="13.33203125" style="9" bestFit="1" customWidth="1"/>
    <col min="11271" max="11271" width="15.5546875" style="9" bestFit="1" customWidth="1"/>
    <col min="11272" max="11273" width="16.6640625" style="9" bestFit="1" customWidth="1"/>
    <col min="11274" max="11520" width="210.33203125" style="9" customWidth="1"/>
    <col min="11521" max="11521" width="6.88671875" style="9" bestFit="1" customWidth="1"/>
    <col min="11522" max="11522" width="140.5546875" style="9" bestFit="1" customWidth="1"/>
    <col min="11523" max="11523" width="8.88671875" style="9" bestFit="1" customWidth="1"/>
    <col min="11524" max="11524" width="9.5546875" style="9" bestFit="1" customWidth="1"/>
    <col min="11525" max="11525" width="11.44140625" style="9" bestFit="1" customWidth="1"/>
    <col min="11526" max="11526" width="13.33203125" style="9" bestFit="1" customWidth="1"/>
    <col min="11527" max="11527" width="15.5546875" style="9" bestFit="1" customWidth="1"/>
    <col min="11528" max="11529" width="16.6640625" style="9" bestFit="1" customWidth="1"/>
    <col min="11530" max="11776" width="210.33203125" style="9" customWidth="1"/>
    <col min="11777" max="11777" width="6.88671875" style="9" bestFit="1" customWidth="1"/>
    <col min="11778" max="11778" width="140.5546875" style="9" bestFit="1" customWidth="1"/>
    <col min="11779" max="11779" width="8.88671875" style="9" bestFit="1" customWidth="1"/>
    <col min="11780" max="11780" width="9.5546875" style="9" bestFit="1" customWidth="1"/>
    <col min="11781" max="11781" width="11.44140625" style="9" bestFit="1" customWidth="1"/>
    <col min="11782" max="11782" width="13.33203125" style="9" bestFit="1" customWidth="1"/>
    <col min="11783" max="11783" width="15.5546875" style="9" bestFit="1" customWidth="1"/>
    <col min="11784" max="11785" width="16.6640625" style="9" bestFit="1" customWidth="1"/>
    <col min="11786" max="12032" width="210.33203125" style="9" customWidth="1"/>
    <col min="12033" max="12033" width="6.88671875" style="9" bestFit="1" customWidth="1"/>
    <col min="12034" max="12034" width="140.5546875" style="9" bestFit="1" customWidth="1"/>
    <col min="12035" max="12035" width="8.88671875" style="9" bestFit="1" customWidth="1"/>
    <col min="12036" max="12036" width="9.5546875" style="9" bestFit="1" customWidth="1"/>
    <col min="12037" max="12037" width="11.44140625" style="9" bestFit="1" customWidth="1"/>
    <col min="12038" max="12038" width="13.33203125" style="9" bestFit="1" customWidth="1"/>
    <col min="12039" max="12039" width="15.5546875" style="9" bestFit="1" customWidth="1"/>
    <col min="12040" max="12041" width="16.6640625" style="9" bestFit="1" customWidth="1"/>
    <col min="12042" max="12288" width="210.33203125" style="9" customWidth="1"/>
    <col min="12289" max="12289" width="6.88671875" style="9" bestFit="1" customWidth="1"/>
    <col min="12290" max="12290" width="140.5546875" style="9" bestFit="1" customWidth="1"/>
    <col min="12291" max="12291" width="8.88671875" style="9" bestFit="1" customWidth="1"/>
    <col min="12292" max="12292" width="9.5546875" style="9" bestFit="1" customWidth="1"/>
    <col min="12293" max="12293" width="11.44140625" style="9" bestFit="1" customWidth="1"/>
    <col min="12294" max="12294" width="13.33203125" style="9" bestFit="1" customWidth="1"/>
    <col min="12295" max="12295" width="15.5546875" style="9" bestFit="1" customWidth="1"/>
    <col min="12296" max="12297" width="16.6640625" style="9" bestFit="1" customWidth="1"/>
    <col min="12298" max="12544" width="210.33203125" style="9" customWidth="1"/>
    <col min="12545" max="12545" width="6.88671875" style="9" bestFit="1" customWidth="1"/>
    <col min="12546" max="12546" width="140.5546875" style="9" bestFit="1" customWidth="1"/>
    <col min="12547" max="12547" width="8.88671875" style="9" bestFit="1" customWidth="1"/>
    <col min="12548" max="12548" width="9.5546875" style="9" bestFit="1" customWidth="1"/>
    <col min="12549" max="12549" width="11.44140625" style="9" bestFit="1" customWidth="1"/>
    <col min="12550" max="12550" width="13.33203125" style="9" bestFit="1" customWidth="1"/>
    <col min="12551" max="12551" width="15.5546875" style="9" bestFit="1" customWidth="1"/>
    <col min="12552" max="12553" width="16.6640625" style="9" bestFit="1" customWidth="1"/>
    <col min="12554" max="12800" width="210.33203125" style="9" customWidth="1"/>
    <col min="12801" max="12801" width="6.88671875" style="9" bestFit="1" customWidth="1"/>
    <col min="12802" max="12802" width="140.5546875" style="9" bestFit="1" customWidth="1"/>
    <col min="12803" max="12803" width="8.88671875" style="9" bestFit="1" customWidth="1"/>
    <col min="12804" max="12804" width="9.5546875" style="9" bestFit="1" customWidth="1"/>
    <col min="12805" max="12805" width="11.44140625" style="9" bestFit="1" customWidth="1"/>
    <col min="12806" max="12806" width="13.33203125" style="9" bestFit="1" customWidth="1"/>
    <col min="12807" max="12807" width="15.5546875" style="9" bestFit="1" customWidth="1"/>
    <col min="12808" max="12809" width="16.6640625" style="9" bestFit="1" customWidth="1"/>
    <col min="12810" max="13056" width="210.33203125" style="9" customWidth="1"/>
    <col min="13057" max="13057" width="6.88671875" style="9" bestFit="1" customWidth="1"/>
    <col min="13058" max="13058" width="140.5546875" style="9" bestFit="1" customWidth="1"/>
    <col min="13059" max="13059" width="8.88671875" style="9" bestFit="1" customWidth="1"/>
    <col min="13060" max="13060" width="9.5546875" style="9" bestFit="1" customWidth="1"/>
    <col min="13061" max="13061" width="11.44140625" style="9" bestFit="1" customWidth="1"/>
    <col min="13062" max="13062" width="13.33203125" style="9" bestFit="1" customWidth="1"/>
    <col min="13063" max="13063" width="15.5546875" style="9" bestFit="1" customWidth="1"/>
    <col min="13064" max="13065" width="16.6640625" style="9" bestFit="1" customWidth="1"/>
    <col min="13066" max="13312" width="210.33203125" style="9" customWidth="1"/>
    <col min="13313" max="13313" width="6.88671875" style="9" bestFit="1" customWidth="1"/>
    <col min="13314" max="13314" width="140.5546875" style="9" bestFit="1" customWidth="1"/>
    <col min="13315" max="13315" width="8.88671875" style="9" bestFit="1" customWidth="1"/>
    <col min="13316" max="13316" width="9.5546875" style="9" bestFit="1" customWidth="1"/>
    <col min="13317" max="13317" width="11.44140625" style="9" bestFit="1" customWidth="1"/>
    <col min="13318" max="13318" width="13.33203125" style="9" bestFit="1" customWidth="1"/>
    <col min="13319" max="13319" width="15.5546875" style="9" bestFit="1" customWidth="1"/>
    <col min="13320" max="13321" width="16.6640625" style="9" bestFit="1" customWidth="1"/>
    <col min="13322" max="13568" width="210.33203125" style="9" customWidth="1"/>
    <col min="13569" max="13569" width="6.88671875" style="9" bestFit="1" customWidth="1"/>
    <col min="13570" max="13570" width="140.5546875" style="9" bestFit="1" customWidth="1"/>
    <col min="13571" max="13571" width="8.88671875" style="9" bestFit="1" customWidth="1"/>
    <col min="13572" max="13572" width="9.5546875" style="9" bestFit="1" customWidth="1"/>
    <col min="13573" max="13573" width="11.44140625" style="9" bestFit="1" customWidth="1"/>
    <col min="13574" max="13574" width="13.33203125" style="9" bestFit="1" customWidth="1"/>
    <col min="13575" max="13575" width="15.5546875" style="9" bestFit="1" customWidth="1"/>
    <col min="13576" max="13577" width="16.6640625" style="9" bestFit="1" customWidth="1"/>
    <col min="13578" max="13824" width="210.33203125" style="9" customWidth="1"/>
    <col min="13825" max="13825" width="6.88671875" style="9" bestFit="1" customWidth="1"/>
    <col min="13826" max="13826" width="140.5546875" style="9" bestFit="1" customWidth="1"/>
    <col min="13827" max="13827" width="8.88671875" style="9" bestFit="1" customWidth="1"/>
    <col min="13828" max="13828" width="9.5546875" style="9" bestFit="1" customWidth="1"/>
    <col min="13829" max="13829" width="11.44140625" style="9" bestFit="1" customWidth="1"/>
    <col min="13830" max="13830" width="13.33203125" style="9" bestFit="1" customWidth="1"/>
    <col min="13831" max="13831" width="15.5546875" style="9" bestFit="1" customWidth="1"/>
    <col min="13832" max="13833" width="16.6640625" style="9" bestFit="1" customWidth="1"/>
    <col min="13834" max="14080" width="210.33203125" style="9" customWidth="1"/>
    <col min="14081" max="14081" width="6.88671875" style="9" bestFit="1" customWidth="1"/>
    <col min="14082" max="14082" width="140.5546875" style="9" bestFit="1" customWidth="1"/>
    <col min="14083" max="14083" width="8.88671875" style="9" bestFit="1" customWidth="1"/>
    <col min="14084" max="14084" width="9.5546875" style="9" bestFit="1" customWidth="1"/>
    <col min="14085" max="14085" width="11.44140625" style="9" bestFit="1" customWidth="1"/>
    <col min="14086" max="14086" width="13.33203125" style="9" bestFit="1" customWidth="1"/>
    <col min="14087" max="14087" width="15.5546875" style="9" bestFit="1" customWidth="1"/>
    <col min="14088" max="14089" width="16.6640625" style="9" bestFit="1" customWidth="1"/>
    <col min="14090" max="14336" width="210.33203125" style="9" customWidth="1"/>
    <col min="14337" max="14337" width="6.88671875" style="9" bestFit="1" customWidth="1"/>
    <col min="14338" max="14338" width="140.5546875" style="9" bestFit="1" customWidth="1"/>
    <col min="14339" max="14339" width="8.88671875" style="9" bestFit="1" customWidth="1"/>
    <col min="14340" max="14340" width="9.5546875" style="9" bestFit="1" customWidth="1"/>
    <col min="14341" max="14341" width="11.44140625" style="9" bestFit="1" customWidth="1"/>
    <col min="14342" max="14342" width="13.33203125" style="9" bestFit="1" customWidth="1"/>
    <col min="14343" max="14343" width="15.5546875" style="9" bestFit="1" customWidth="1"/>
    <col min="14344" max="14345" width="16.6640625" style="9" bestFit="1" customWidth="1"/>
    <col min="14346" max="14592" width="210.33203125" style="9" customWidth="1"/>
    <col min="14593" max="14593" width="6.88671875" style="9" bestFit="1" customWidth="1"/>
    <col min="14594" max="14594" width="140.5546875" style="9" bestFit="1" customWidth="1"/>
    <col min="14595" max="14595" width="8.88671875" style="9" bestFit="1" customWidth="1"/>
    <col min="14596" max="14596" width="9.5546875" style="9" bestFit="1" customWidth="1"/>
    <col min="14597" max="14597" width="11.44140625" style="9" bestFit="1" customWidth="1"/>
    <col min="14598" max="14598" width="13.33203125" style="9" bestFit="1" customWidth="1"/>
    <col min="14599" max="14599" width="15.5546875" style="9" bestFit="1" customWidth="1"/>
    <col min="14600" max="14601" width="16.6640625" style="9" bestFit="1" customWidth="1"/>
    <col min="14602" max="14848" width="210.33203125" style="9" customWidth="1"/>
    <col min="14849" max="14849" width="6.88671875" style="9" bestFit="1" customWidth="1"/>
    <col min="14850" max="14850" width="140.5546875" style="9" bestFit="1" customWidth="1"/>
    <col min="14851" max="14851" width="8.88671875" style="9" bestFit="1" customWidth="1"/>
    <col min="14852" max="14852" width="9.5546875" style="9" bestFit="1" customWidth="1"/>
    <col min="14853" max="14853" width="11.44140625" style="9" bestFit="1" customWidth="1"/>
    <col min="14854" max="14854" width="13.33203125" style="9" bestFit="1" customWidth="1"/>
    <col min="14855" max="14855" width="15.5546875" style="9" bestFit="1" customWidth="1"/>
    <col min="14856" max="14857" width="16.6640625" style="9" bestFit="1" customWidth="1"/>
    <col min="14858" max="15104" width="210.33203125" style="9" customWidth="1"/>
    <col min="15105" max="15105" width="6.88671875" style="9" bestFit="1" customWidth="1"/>
    <col min="15106" max="15106" width="140.5546875" style="9" bestFit="1" customWidth="1"/>
    <col min="15107" max="15107" width="8.88671875" style="9" bestFit="1" customWidth="1"/>
    <col min="15108" max="15108" width="9.5546875" style="9" bestFit="1" customWidth="1"/>
    <col min="15109" max="15109" width="11.44140625" style="9" bestFit="1" customWidth="1"/>
    <col min="15110" max="15110" width="13.33203125" style="9" bestFit="1" customWidth="1"/>
    <col min="15111" max="15111" width="15.5546875" style="9" bestFit="1" customWidth="1"/>
    <col min="15112" max="15113" width="16.6640625" style="9" bestFit="1" customWidth="1"/>
    <col min="15114" max="15360" width="210.33203125" style="9" customWidth="1"/>
    <col min="15361" max="15361" width="6.88671875" style="9" bestFit="1" customWidth="1"/>
    <col min="15362" max="15362" width="140.5546875" style="9" bestFit="1" customWidth="1"/>
    <col min="15363" max="15363" width="8.88671875" style="9" bestFit="1" customWidth="1"/>
    <col min="15364" max="15364" width="9.5546875" style="9" bestFit="1" customWidth="1"/>
    <col min="15365" max="15365" width="11.44140625" style="9" bestFit="1" customWidth="1"/>
    <col min="15366" max="15366" width="13.33203125" style="9" bestFit="1" customWidth="1"/>
    <col min="15367" max="15367" width="15.5546875" style="9" bestFit="1" customWidth="1"/>
    <col min="15368" max="15369" width="16.6640625" style="9" bestFit="1" customWidth="1"/>
    <col min="15370" max="15616" width="210.33203125" style="9" customWidth="1"/>
    <col min="15617" max="15617" width="6.88671875" style="9" bestFit="1" customWidth="1"/>
    <col min="15618" max="15618" width="140.5546875" style="9" bestFit="1" customWidth="1"/>
    <col min="15619" max="15619" width="8.88671875" style="9" bestFit="1" customWidth="1"/>
    <col min="15620" max="15620" width="9.5546875" style="9" bestFit="1" customWidth="1"/>
    <col min="15621" max="15621" width="11.44140625" style="9" bestFit="1" customWidth="1"/>
    <col min="15622" max="15622" width="13.33203125" style="9" bestFit="1" customWidth="1"/>
    <col min="15623" max="15623" width="15.5546875" style="9" bestFit="1" customWidth="1"/>
    <col min="15624" max="15625" width="16.6640625" style="9" bestFit="1" customWidth="1"/>
    <col min="15626" max="15872" width="210.33203125" style="9" customWidth="1"/>
    <col min="15873" max="15873" width="6.88671875" style="9" bestFit="1" customWidth="1"/>
    <col min="15874" max="15874" width="140.5546875" style="9" bestFit="1" customWidth="1"/>
    <col min="15875" max="15875" width="8.88671875" style="9" bestFit="1" customWidth="1"/>
    <col min="15876" max="15876" width="9.5546875" style="9" bestFit="1" customWidth="1"/>
    <col min="15877" max="15877" width="11.44140625" style="9" bestFit="1" customWidth="1"/>
    <col min="15878" max="15878" width="13.33203125" style="9" bestFit="1" customWidth="1"/>
    <col min="15879" max="15879" width="15.5546875" style="9" bestFit="1" customWidth="1"/>
    <col min="15880" max="15881" width="16.6640625" style="9" bestFit="1" customWidth="1"/>
    <col min="15882" max="16128" width="210.33203125" style="9" customWidth="1"/>
    <col min="16129" max="16129" width="6.88671875" style="9" bestFit="1" customWidth="1"/>
    <col min="16130" max="16130" width="140.5546875" style="9" bestFit="1" customWidth="1"/>
    <col min="16131" max="16131" width="8.88671875" style="9" bestFit="1" customWidth="1"/>
    <col min="16132" max="16132" width="9.5546875" style="9" bestFit="1" customWidth="1"/>
    <col min="16133" max="16133" width="11.44140625" style="9" bestFit="1" customWidth="1"/>
    <col min="16134" max="16134" width="13.33203125" style="9" bestFit="1" customWidth="1"/>
    <col min="16135" max="16135" width="15.5546875" style="9" bestFit="1" customWidth="1"/>
    <col min="16136" max="16137" width="16.6640625" style="9" bestFit="1" customWidth="1"/>
    <col min="16138" max="16384" width="210.33203125" style="9" customWidth="1"/>
  </cols>
  <sheetData>
    <row r="1" spans="1:9" x14ac:dyDescent="0.3">
      <c r="A1" s="1388" t="s">
        <v>22</v>
      </c>
      <c r="B1" s="1389" t="s">
        <v>1</v>
      </c>
      <c r="C1" s="1390" t="s">
        <v>23</v>
      </c>
      <c r="D1" s="1391" t="s">
        <v>24</v>
      </c>
      <c r="E1" s="1392" t="s">
        <v>25</v>
      </c>
      <c r="F1" s="1392"/>
      <c r="G1" s="1387" t="s">
        <v>26</v>
      </c>
      <c r="H1" s="1387"/>
      <c r="I1" s="1387" t="s">
        <v>27</v>
      </c>
    </row>
    <row r="2" spans="1:9" x14ac:dyDescent="0.3">
      <c r="A2" s="1388"/>
      <c r="B2" s="1389"/>
      <c r="C2" s="1390"/>
      <c r="D2" s="1391"/>
      <c r="E2" s="10" t="s">
        <v>28</v>
      </c>
      <c r="F2" s="104" t="s">
        <v>29</v>
      </c>
      <c r="G2" s="104" t="s">
        <v>28</v>
      </c>
      <c r="H2" s="104" t="s">
        <v>30</v>
      </c>
      <c r="I2" s="1387"/>
    </row>
    <row r="3" spans="1:9" x14ac:dyDescent="0.3">
      <c r="A3" s="17" t="s">
        <v>249</v>
      </c>
      <c r="B3" s="18" t="s">
        <v>7</v>
      </c>
      <c r="C3" s="101"/>
      <c r="D3" s="113"/>
      <c r="E3" s="90"/>
      <c r="F3" s="114"/>
      <c r="G3" s="40"/>
      <c r="H3" s="40"/>
      <c r="I3" s="40"/>
    </row>
    <row r="4" spans="1:9" s="22" customFormat="1" x14ac:dyDescent="0.3">
      <c r="A4" s="430" t="s">
        <v>415</v>
      </c>
      <c r="B4" s="152" t="s">
        <v>1199</v>
      </c>
      <c r="C4" s="123" t="s">
        <v>74</v>
      </c>
      <c r="D4" s="144">
        <f>5450.33</f>
        <v>5450.33</v>
      </c>
      <c r="E4" s="125">
        <v>350</v>
      </c>
      <c r="F4" s="151"/>
      <c r="G4" s="44">
        <f t="shared" ref="G4:G14" si="0">D4*E4</f>
        <v>1907615.5</v>
      </c>
      <c r="H4" s="44">
        <f t="shared" ref="H4:H14" si="1">D4*F4</f>
        <v>0</v>
      </c>
      <c r="I4" s="44">
        <f t="shared" ref="I4:I14" si="2">G4+H4</f>
        <v>1907615.5</v>
      </c>
    </row>
    <row r="5" spans="1:9" x14ac:dyDescent="0.3">
      <c r="A5" s="23" t="s">
        <v>416</v>
      </c>
      <c r="B5" s="45" t="s">
        <v>1200</v>
      </c>
      <c r="C5" s="55" t="s">
        <v>44</v>
      </c>
      <c r="D5" s="96">
        <f>D4*13</f>
        <v>70854.289999999994</v>
      </c>
      <c r="E5" s="98"/>
      <c r="F5" s="109">
        <v>37</v>
      </c>
      <c r="G5" s="28">
        <f t="shared" si="0"/>
        <v>0</v>
      </c>
      <c r="H5" s="28">
        <f t="shared" si="1"/>
        <v>2621608.73</v>
      </c>
      <c r="I5" s="28">
        <f t="shared" si="2"/>
        <v>2621608.73</v>
      </c>
    </row>
    <row r="6" spans="1:9" x14ac:dyDescent="0.3">
      <c r="A6" s="23" t="s">
        <v>417</v>
      </c>
      <c r="B6" s="45" t="s">
        <v>383</v>
      </c>
      <c r="C6" s="55" t="s">
        <v>34</v>
      </c>
      <c r="D6" s="100">
        <f>D4*0.025</f>
        <v>136.25825</v>
      </c>
      <c r="E6" s="98"/>
      <c r="F6" s="109">
        <v>3900</v>
      </c>
      <c r="G6" s="28">
        <f t="shared" si="0"/>
        <v>0</v>
      </c>
      <c r="H6" s="28">
        <f t="shared" si="1"/>
        <v>531407.17500000005</v>
      </c>
      <c r="I6" s="28">
        <f t="shared" si="2"/>
        <v>531407.17500000005</v>
      </c>
    </row>
    <row r="7" spans="1:9" x14ac:dyDescent="0.3">
      <c r="A7" s="23" t="s">
        <v>418</v>
      </c>
      <c r="B7" s="45" t="s">
        <v>384</v>
      </c>
      <c r="C7" s="55" t="s">
        <v>44</v>
      </c>
      <c r="D7" s="100">
        <f>D4/1.2</f>
        <v>4541.9416666666666</v>
      </c>
      <c r="E7" s="98"/>
      <c r="F7" s="153">
        <v>5.74</v>
      </c>
      <c r="G7" s="433">
        <f t="shared" si="0"/>
        <v>0</v>
      </c>
      <c r="H7" s="433">
        <f t="shared" si="1"/>
        <v>26070.745166666668</v>
      </c>
      <c r="I7" s="433">
        <f t="shared" si="2"/>
        <v>26070.745166666668</v>
      </c>
    </row>
    <row r="8" spans="1:9" customFormat="1" x14ac:dyDescent="0.3">
      <c r="A8" s="307"/>
      <c r="B8" s="610" t="s">
        <v>1790</v>
      </c>
      <c r="C8" s="611" t="s">
        <v>74</v>
      </c>
      <c r="D8" s="304">
        <v>2476.9039999999995</v>
      </c>
      <c r="E8" s="612">
        <v>350</v>
      </c>
      <c r="F8" s="613"/>
      <c r="G8" s="614">
        <f t="shared" si="0"/>
        <v>866916.39999999979</v>
      </c>
      <c r="H8" s="614">
        <f t="shared" si="1"/>
        <v>0</v>
      </c>
      <c r="I8" s="614">
        <f t="shared" si="2"/>
        <v>866916.39999999979</v>
      </c>
    </row>
    <row r="9" spans="1:9" customFormat="1" x14ac:dyDescent="0.3">
      <c r="A9" s="307"/>
      <c r="B9" s="316" t="s">
        <v>1791</v>
      </c>
      <c r="C9" s="604" t="s">
        <v>44</v>
      </c>
      <c r="D9" s="605">
        <f>D8*13</f>
        <v>32199.751999999993</v>
      </c>
      <c r="E9" s="615"/>
      <c r="F9" s="609">
        <v>37</v>
      </c>
      <c r="G9" s="614">
        <f t="shared" si="0"/>
        <v>0</v>
      </c>
      <c r="H9" s="614">
        <f t="shared" si="1"/>
        <v>1191390.8239999998</v>
      </c>
      <c r="I9" s="614">
        <f t="shared" si="2"/>
        <v>1191390.8239999998</v>
      </c>
    </row>
    <row r="10" spans="1:9" customFormat="1" x14ac:dyDescent="0.3">
      <c r="A10" s="307"/>
      <c r="B10" s="316" t="s">
        <v>383</v>
      </c>
      <c r="C10" s="604" t="s">
        <v>34</v>
      </c>
      <c r="D10" s="310">
        <f>D8*0.025</f>
        <v>61.922599999999989</v>
      </c>
      <c r="E10" s="615"/>
      <c r="F10" s="609">
        <v>3900</v>
      </c>
      <c r="G10" s="614">
        <f t="shared" si="0"/>
        <v>0</v>
      </c>
      <c r="H10" s="614">
        <f t="shared" si="1"/>
        <v>241498.13999999996</v>
      </c>
      <c r="I10" s="614">
        <f t="shared" si="2"/>
        <v>241498.13999999996</v>
      </c>
    </row>
    <row r="11" spans="1:9" customFormat="1" x14ac:dyDescent="0.3">
      <c r="A11" s="307"/>
      <c r="B11" s="316" t="s">
        <v>384</v>
      </c>
      <c r="C11" s="604" t="s">
        <v>44</v>
      </c>
      <c r="D11" s="310">
        <f>D8/1.2</f>
        <v>2064.0866666666666</v>
      </c>
      <c r="E11" s="615"/>
      <c r="F11" s="616">
        <v>5.74</v>
      </c>
      <c r="G11" s="614">
        <f t="shared" si="0"/>
        <v>0</v>
      </c>
      <c r="H11" s="614">
        <f t="shared" si="1"/>
        <v>11847.857466666666</v>
      </c>
      <c r="I11" s="614">
        <f t="shared" si="2"/>
        <v>11847.857466666666</v>
      </c>
    </row>
    <row r="12" spans="1:9" x14ac:dyDescent="0.3">
      <c r="A12" s="434"/>
      <c r="B12" s="63" t="s">
        <v>1201</v>
      </c>
      <c r="C12" s="48" t="s">
        <v>74</v>
      </c>
      <c r="D12" s="926">
        <f>((5.27+1.88+1.835)*2.86-0.55*1.3*2-0.4*0.45-0.3*0.6)+((5.675+2.8+0.34)*2.82*23-0.95*1.01*2*23-0.6*0.5*23-0.55*1.3*23)</f>
        <v>528.16599999999994</v>
      </c>
      <c r="E12" s="94">
        <v>350</v>
      </c>
      <c r="F12" s="435"/>
      <c r="G12" s="433">
        <f t="shared" si="0"/>
        <v>184858.09999999998</v>
      </c>
      <c r="H12" s="433">
        <f t="shared" si="1"/>
        <v>0</v>
      </c>
      <c r="I12" s="433">
        <f t="shared" si="2"/>
        <v>184858.09999999998</v>
      </c>
    </row>
    <row r="13" spans="1:9" x14ac:dyDescent="0.3">
      <c r="A13" s="23"/>
      <c r="B13" s="136" t="s">
        <v>1200</v>
      </c>
      <c r="C13" s="137" t="s">
        <v>44</v>
      </c>
      <c r="D13" s="137">
        <f>ROUND(D12*13,0)</f>
        <v>6866</v>
      </c>
      <c r="E13" s="98"/>
      <c r="F13" s="153">
        <v>37</v>
      </c>
      <c r="G13" s="433">
        <f t="shared" si="0"/>
        <v>0</v>
      </c>
      <c r="H13" s="433">
        <f t="shared" si="1"/>
        <v>254042</v>
      </c>
      <c r="I13" s="433">
        <f t="shared" si="2"/>
        <v>254042</v>
      </c>
    </row>
    <row r="14" spans="1:9" x14ac:dyDescent="0.3">
      <c r="A14" s="23"/>
      <c r="B14" s="136" t="s">
        <v>387</v>
      </c>
      <c r="C14" s="137" t="s">
        <v>34</v>
      </c>
      <c r="D14" s="137">
        <f>D12*0.09*0.3</f>
        <v>14.260481999999998</v>
      </c>
      <c r="E14" s="98"/>
      <c r="F14" s="153">
        <v>3905</v>
      </c>
      <c r="G14" s="433">
        <f t="shared" si="0"/>
        <v>0</v>
      </c>
      <c r="H14" s="433">
        <f t="shared" si="1"/>
        <v>55687.182209999992</v>
      </c>
      <c r="I14" s="433">
        <f t="shared" si="2"/>
        <v>55687.182209999992</v>
      </c>
    </row>
    <row r="15" spans="1:9" ht="15.65" thickBot="1" x14ac:dyDescent="0.35">
      <c r="A15" s="444"/>
      <c r="B15" s="445"/>
      <c r="C15" s="446"/>
      <c r="D15" s="447"/>
      <c r="E15" s="448"/>
      <c r="F15" s="449" t="s">
        <v>1209</v>
      </c>
      <c r="G15" s="450">
        <f>SUM(G3:G14)</f>
        <v>2959390</v>
      </c>
      <c r="H15" s="450">
        <f>SUM(H3:H14)</f>
        <v>4933552.6538433339</v>
      </c>
      <c r="I15" s="450">
        <f>SUM(I3:I14)</f>
        <v>7892942.653843333</v>
      </c>
    </row>
    <row r="18" spans="2:4" x14ac:dyDescent="0.3">
      <c r="B18" s="935" t="s">
        <v>2472</v>
      </c>
    </row>
    <row r="20" spans="2:4" x14ac:dyDescent="0.3">
      <c r="D20" s="936"/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view="pageBreakPreview" topLeftCell="A31" zoomScaleNormal="90" zoomScaleSheetLayoutView="100" workbookViewId="0">
      <selection activeCell="B52" sqref="B52"/>
    </sheetView>
  </sheetViews>
  <sheetFormatPr defaultColWidth="9.109375" defaultRowHeight="13.15" x14ac:dyDescent="0.25"/>
  <cols>
    <col min="1" max="1" width="6.5546875" style="7" bestFit="1" customWidth="1"/>
    <col min="2" max="2" width="45.33203125" style="7" bestFit="1" customWidth="1"/>
    <col min="3" max="3" width="24.5546875" style="7" bestFit="1" customWidth="1"/>
    <col min="4" max="4" width="28.88671875" style="7" bestFit="1" customWidth="1"/>
    <col min="5" max="5" width="19.6640625" style="7" bestFit="1" customWidth="1"/>
    <col min="6" max="6" width="40.88671875" style="7" bestFit="1" customWidth="1"/>
    <col min="7" max="7" width="27" style="7" bestFit="1" customWidth="1"/>
    <col min="8" max="8" width="56.5546875" style="7" bestFit="1" customWidth="1"/>
    <col min="9" max="9" width="12.109375" style="7" bestFit="1" customWidth="1"/>
    <col min="10" max="16384" width="9.109375" style="7"/>
  </cols>
  <sheetData>
    <row r="1" spans="1:8" x14ac:dyDescent="0.25">
      <c r="A1" s="1" t="s">
        <v>0</v>
      </c>
      <c r="B1" s="1" t="s">
        <v>1</v>
      </c>
      <c r="C1" s="332" t="s">
        <v>1074</v>
      </c>
      <c r="D1" s="332" t="s">
        <v>1078</v>
      </c>
      <c r="E1" s="332" t="s">
        <v>1022</v>
      </c>
      <c r="F1" s="336"/>
      <c r="G1" s="293" t="s">
        <v>1075</v>
      </c>
      <c r="H1" s="293" t="s">
        <v>2467</v>
      </c>
    </row>
    <row r="2" spans="1:8" x14ac:dyDescent="0.25">
      <c r="A2" s="2">
        <v>1</v>
      </c>
      <c r="B2" s="3" t="s">
        <v>2</v>
      </c>
      <c r="C2" s="338">
        <f>'[1]Смета-335 804 796 упр'!$I$25</f>
        <v>1861957</v>
      </c>
      <c r="D2" s="338">
        <f>'[2]СЕБЕСТОИМОСТЬ В ОБМЕННИКЕ ОТ ЭР'!$J$20</f>
        <v>738774</v>
      </c>
      <c r="E2" s="338">
        <f>Р.1!I4</f>
        <v>644704.19999999995</v>
      </c>
      <c r="F2" s="333" t="s">
        <v>2</v>
      </c>
      <c r="G2" s="4">
        <f>SUM(-D2,E2)</f>
        <v>-94069.800000000047</v>
      </c>
      <c r="H2" s="3"/>
    </row>
    <row r="3" spans="1:8" x14ac:dyDescent="0.25">
      <c r="A3" s="2">
        <v>2</v>
      </c>
      <c r="B3" s="3" t="s">
        <v>3</v>
      </c>
      <c r="C3" s="338">
        <f>'[1]Смета-335 804 796 упр'!$I$34</f>
        <v>22708288</v>
      </c>
      <c r="D3" s="338">
        <f>'[2]СЕБЕСТОИМОСТЬ В ОБМЕННИКЕ ОТ ЭР'!$J$31</f>
        <v>20508600</v>
      </c>
      <c r="E3" s="338">
        <f>SUM(Р.2!I4)</f>
        <v>20901595</v>
      </c>
      <c r="F3" s="333" t="s">
        <v>3</v>
      </c>
      <c r="G3" s="4">
        <f>SUM(-D3,E3)</f>
        <v>392995</v>
      </c>
      <c r="H3" s="3"/>
    </row>
    <row r="4" spans="1:8" x14ac:dyDescent="0.25">
      <c r="A4" s="2">
        <v>3</v>
      </c>
      <c r="B4" s="3" t="s">
        <v>4</v>
      </c>
      <c r="C4" s="338">
        <f>'[1]Смета-335 804 796 упр'!$I$58</f>
        <v>18430401</v>
      </c>
      <c r="D4" s="1399">
        <f>'[2]СЕБЕСТОИМОСТЬ В ОБМЕННИКЕ ОТ ЭР'!$J$149</f>
        <v>80810980.599999994</v>
      </c>
      <c r="E4" s="1399">
        <f>КЖ!I4</f>
        <v>81968950.74533233</v>
      </c>
      <c r="F4" s="1415" t="s">
        <v>277</v>
      </c>
      <c r="G4" s="1416">
        <f>SUM(-D4,E4)</f>
        <v>1157970.1453323364</v>
      </c>
      <c r="H4" s="1410"/>
    </row>
    <row r="5" spans="1:8" x14ac:dyDescent="0.25">
      <c r="A5" s="2">
        <v>4</v>
      </c>
      <c r="B5" s="3" t="s">
        <v>5</v>
      </c>
      <c r="C5" s="338">
        <f>'[1]Смета-335 804 796 упр'!$I$97</f>
        <v>91601963</v>
      </c>
      <c r="D5" s="1400"/>
      <c r="E5" s="1401"/>
      <c r="F5" s="1414"/>
      <c r="G5" s="1417"/>
      <c r="H5" s="1410"/>
    </row>
    <row r="6" spans="1:8" ht="15.05" customHeight="1" x14ac:dyDescent="0.25">
      <c r="A6" s="2">
        <v>5</v>
      </c>
      <c r="B6" s="3" t="s">
        <v>1076</v>
      </c>
      <c r="C6" s="338">
        <f>'[1]Смета-335 804 796 упр'!$I$114</f>
        <v>1980908</v>
      </c>
      <c r="D6" s="338">
        <f>'[2]СЕБЕСТОИМОСТЬ В ОБМЕННИКЕ ОТ ЭР'!$J$208</f>
        <v>4373272</v>
      </c>
      <c r="E6" s="338">
        <v>0</v>
      </c>
      <c r="F6" s="333" t="s">
        <v>1107</v>
      </c>
      <c r="G6" s="1402" cm="1">
        <f t="array" ref="G6">SUM(-D6:D8,E7)</f>
        <v>5776106.8718470149</v>
      </c>
      <c r="H6" s="415" t="s">
        <v>2473</v>
      </c>
    </row>
    <row r="7" spans="1:8" ht="15.05" customHeight="1" x14ac:dyDescent="0.25">
      <c r="A7" s="2">
        <v>6</v>
      </c>
      <c r="B7" s="3" t="s">
        <v>6</v>
      </c>
      <c r="C7" s="338">
        <f>'[1]Смета-335 804 796 упр'!$I$132</f>
        <v>9746840</v>
      </c>
      <c r="D7" s="338">
        <f>'[2]СЕБЕСТОИМОСТЬ В ОБМЕННИКЕ ОТ ЭР'!$J$254</f>
        <v>8621540.4055000003</v>
      </c>
      <c r="E7" s="1411">
        <f>SUM(АС!I164)</f>
        <v>29170706.277347017</v>
      </c>
      <c r="F7" s="1413" t="s">
        <v>278</v>
      </c>
      <c r="G7" s="1404"/>
      <c r="H7" s="415" t="s">
        <v>2474</v>
      </c>
    </row>
    <row r="8" spans="1:8" ht="26.3" x14ac:dyDescent="0.25">
      <c r="A8" s="2">
        <v>7</v>
      </c>
      <c r="B8" s="3" t="s">
        <v>7</v>
      </c>
      <c r="C8" s="338">
        <f>'[1]Смета-335 804 796 упр'!$I$148</f>
        <v>19050404</v>
      </c>
      <c r="D8" s="338">
        <f>'[2]СЕБЕСТОИМОСТЬ В ОБМЕННИКЕ ОТ ЭР'!$J$277</f>
        <v>10399787</v>
      </c>
      <c r="E8" s="1412"/>
      <c r="F8" s="1414"/>
      <c r="G8" s="1403"/>
      <c r="H8" s="937" t="s">
        <v>2475</v>
      </c>
    </row>
    <row r="9" spans="1:8" x14ac:dyDescent="0.25">
      <c r="A9" s="1393">
        <v>8</v>
      </c>
      <c r="B9" s="1396" t="s">
        <v>1077</v>
      </c>
      <c r="C9" s="1399">
        <f>'[1]Смета-335 804 796 упр'!$I$158</f>
        <v>26363741</v>
      </c>
      <c r="D9" s="1399">
        <f>'[2]СЕБЕСТОИМОСТЬ В ОБМЕННИКЕ ОТ ЭР'!$J$294</f>
        <v>26004215.88766</v>
      </c>
      <c r="E9" s="334">
        <f>SUM('СФТК-Ceresit'!I3)</f>
        <v>10560723.18266</v>
      </c>
      <c r="F9" s="333" t="s">
        <v>1849</v>
      </c>
      <c r="G9" s="4">
        <f>SUM(E9:E10,-11080972)</f>
        <v>685807.5197117012</v>
      </c>
      <c r="H9" s="3"/>
    </row>
    <row r="10" spans="1:8" x14ac:dyDescent="0.25">
      <c r="A10" s="1394"/>
      <c r="B10" s="1397"/>
      <c r="C10" s="1400"/>
      <c r="D10" s="1400"/>
      <c r="E10" s="334">
        <f>SUM(НВФ!I3)</f>
        <v>1206056.3370517001</v>
      </c>
      <c r="F10" s="333" t="s">
        <v>2466</v>
      </c>
      <c r="G10" s="4"/>
      <c r="H10" s="3"/>
    </row>
    <row r="11" spans="1:8" ht="15.05" customHeight="1" x14ac:dyDescent="0.25">
      <c r="A11" s="1395"/>
      <c r="B11" s="1398"/>
      <c r="C11" s="1401"/>
      <c r="D11" s="1401"/>
      <c r="E11" s="414">
        <v>13351535</v>
      </c>
      <c r="F11" s="415" t="s">
        <v>1210</v>
      </c>
      <c r="G11" s="414">
        <f>SUM(-D9,E11,11080972)</f>
        <v>-1571708.8876600005</v>
      </c>
      <c r="H11" s="1405" t="s">
        <v>2469</v>
      </c>
    </row>
    <row r="12" spans="1:8" x14ac:dyDescent="0.25">
      <c r="A12" s="2">
        <v>9</v>
      </c>
      <c r="B12" s="3" t="s">
        <v>8</v>
      </c>
      <c r="C12" s="338">
        <f>'[1]Смета-335 804 796 упр'!$I$168</f>
        <v>33906730</v>
      </c>
      <c r="D12" s="338">
        <f>'[2]СЕБЕСТОИМОСТЬ В ОБМЕННИКЕ ОТ ЭР'!$J$303</f>
        <v>27700744</v>
      </c>
      <c r="E12" s="416">
        <v>9637093</v>
      </c>
      <c r="F12" s="415" t="s">
        <v>1190</v>
      </c>
      <c r="G12" s="1402">
        <f>SUM(-D12,E12:E13)</f>
        <v>-1092151</v>
      </c>
      <c r="H12" s="1406"/>
    </row>
    <row r="13" spans="1:8" x14ac:dyDescent="0.25">
      <c r="A13" s="2"/>
      <c r="B13" s="3"/>
      <c r="C13" s="338"/>
      <c r="D13" s="338"/>
      <c r="E13" s="414">
        <v>16971500</v>
      </c>
      <c r="F13" s="415" t="s">
        <v>1189</v>
      </c>
      <c r="G13" s="1403"/>
      <c r="H13" s="1406"/>
    </row>
    <row r="14" spans="1:8" x14ac:dyDescent="0.25">
      <c r="A14" s="2">
        <v>10</v>
      </c>
      <c r="B14" s="3" t="s">
        <v>9</v>
      </c>
      <c r="C14" s="338">
        <f>'[1]Смета-335 804 796 упр'!$I$194</f>
        <v>2973776</v>
      </c>
      <c r="D14" s="338">
        <f>'[2]СЕБЕСТОИМОСТЬ В ОБМЕННИКЕ ОТ ЭР'!$J$329</f>
        <v>7772748.0700000003</v>
      </c>
      <c r="E14" s="334"/>
      <c r="F14" s="7" t="s">
        <v>1767</v>
      </c>
      <c r="G14" s="1402">
        <f>SUM(-D14,E14:E15)</f>
        <v>-4487385.1380000003</v>
      </c>
      <c r="H14" s="1406"/>
    </row>
    <row r="15" spans="1:8" x14ac:dyDescent="0.25">
      <c r="A15" s="2"/>
      <c r="B15" s="3"/>
      <c r="C15" s="338"/>
      <c r="D15" s="338"/>
      <c r="E15" s="334">
        <f>SUM(Двери!I3)</f>
        <v>3285362.932</v>
      </c>
      <c r="F15" s="333" t="s">
        <v>9</v>
      </c>
      <c r="G15" s="1403"/>
      <c r="H15" s="1407"/>
    </row>
    <row r="16" spans="1:8" x14ac:dyDescent="0.25">
      <c r="A16" s="2">
        <v>11</v>
      </c>
      <c r="B16" s="3" t="s">
        <v>10</v>
      </c>
      <c r="C16" s="338">
        <f>'[1]Смета-335 804 796 упр'!$I$207</f>
        <v>3355506</v>
      </c>
      <c r="D16" s="338">
        <f>'[2]СЕБЕСТОИМОСТЬ В ОБМЕННИКЕ ОТ ЭР'!$J$410</f>
        <v>2675529.8770741769</v>
      </c>
      <c r="E16" s="334">
        <f>SUM(Кровля!I3)</f>
        <v>3318525.0825121775</v>
      </c>
      <c r="F16" s="333" t="s">
        <v>10</v>
      </c>
      <c r="G16" s="4">
        <f>SUM(-D16,E16)</f>
        <v>642995.20543800062</v>
      </c>
      <c r="H16" s="3"/>
    </row>
    <row r="17" spans="1:8" x14ac:dyDescent="0.25">
      <c r="A17" s="2">
        <v>12</v>
      </c>
      <c r="B17" s="3" t="s">
        <v>11</v>
      </c>
      <c r="C17" s="338">
        <f>'[1]Смета-335 804 796 упр'!$I$212</f>
        <v>46650</v>
      </c>
      <c r="D17" s="338">
        <f>'[2]СЕБЕСТОИМОСТЬ В ОБМЕННИКЕ ОТ ЭР'!$J$417</f>
        <v>49970</v>
      </c>
      <c r="E17" s="1399">
        <f>SUM(ВГ!I3)</f>
        <v>555205.73809787189</v>
      </c>
      <c r="F17" s="1415" t="s">
        <v>1214</v>
      </c>
      <c r="G17" s="1408" cm="1">
        <f t="array" ref="G17">SUM(-D17:D18,E17:E18)</f>
        <v>341263.73809787189</v>
      </c>
      <c r="H17" s="3"/>
    </row>
    <row r="18" spans="1:8" x14ac:dyDescent="0.25">
      <c r="A18" s="2">
        <v>13</v>
      </c>
      <c r="B18" s="3" t="s">
        <v>12</v>
      </c>
      <c r="C18" s="338">
        <f>'[1]Смета-335 804 796 упр'!$I$220</f>
        <v>145597</v>
      </c>
      <c r="D18" s="338">
        <f>'[2]СЕБЕСТОИМОСТЬ В ОБМЕННИКЕ ОТ ЭР'!$J$439</f>
        <v>163972</v>
      </c>
      <c r="E18" s="1401"/>
      <c r="F18" s="1414"/>
      <c r="G18" s="1409"/>
      <c r="H18" s="3"/>
    </row>
    <row r="19" spans="1:8" x14ac:dyDescent="0.25">
      <c r="A19" s="2">
        <v>14</v>
      </c>
      <c r="B19" s="3" t="s">
        <v>13</v>
      </c>
      <c r="C19" s="338">
        <f>'[1]Смета-335 804 796 упр'!$I$259</f>
        <v>22606635</v>
      </c>
      <c r="D19" s="338">
        <f>'[2]СЕБЕСТОИМОСТЬ В ОБМЕННИКЕ ОТ ЭР'!$J$514</f>
        <v>15661329.816999998</v>
      </c>
      <c r="E19" s="334">
        <f>SUM(Отделка!I11)</f>
        <v>18366738.560534004</v>
      </c>
      <c r="F19" s="333" t="s">
        <v>13</v>
      </c>
      <c r="G19" s="414">
        <f>SUM(-D19,E19)</f>
        <v>2705408.7435340062</v>
      </c>
      <c r="H19" s="932" t="s">
        <v>2468</v>
      </c>
    </row>
    <row r="20" spans="1:8" x14ac:dyDescent="0.25">
      <c r="A20" s="2">
        <v>15</v>
      </c>
      <c r="B20" s="3" t="s">
        <v>14</v>
      </c>
      <c r="C20" s="338">
        <f>'[1]Смета-335 804 796 упр'!$I$263</f>
        <v>771000</v>
      </c>
      <c r="D20" s="338">
        <f>'[2]СЕБЕСТОИМОСТЬ В ОБМЕННИКЕ ОТ ЭР'!$J$518</f>
        <v>156750</v>
      </c>
      <c r="E20" s="334">
        <v>0</v>
      </c>
      <c r="G20" s="4">
        <f>SUM(-D20,E20)</f>
        <v>-156750</v>
      </c>
      <c r="H20" s="3"/>
    </row>
    <row r="21" spans="1:8" x14ac:dyDescent="0.25">
      <c r="A21" s="2">
        <v>16</v>
      </c>
      <c r="B21" s="3" t="s">
        <v>15</v>
      </c>
      <c r="C21" s="338">
        <f>'[1]Смета-335 804 796 упр'!$I$267</f>
        <v>10838000</v>
      </c>
      <c r="D21" s="338">
        <f>'[2]СЕБЕСТОИМОСТЬ В ОБМЕННИКЕ ОТ ЭР'!$J$522</f>
        <v>10396000</v>
      </c>
      <c r="E21" s="334">
        <f>SUM(Лифты!I11)</f>
        <v>11643961.683479998</v>
      </c>
      <c r="F21" s="333" t="s">
        <v>15</v>
      </c>
      <c r="G21" s="414">
        <f>SUM(-D21,E21)</f>
        <v>1247961.6834799983</v>
      </c>
      <c r="H21" s="933" t="s">
        <v>2470</v>
      </c>
    </row>
    <row r="22" spans="1:8" ht="15.05" customHeight="1" x14ac:dyDescent="0.25">
      <c r="A22" s="2">
        <v>17</v>
      </c>
      <c r="B22" s="3" t="s">
        <v>16</v>
      </c>
      <c r="C22" s="338">
        <f>'[1]Смета-335 804 796 упр'!$I$274</f>
        <v>59916000</v>
      </c>
      <c r="D22" s="339"/>
      <c r="E22" s="340"/>
      <c r="F22" s="333" t="s">
        <v>16</v>
      </c>
      <c r="G22" s="4"/>
      <c r="H22" s="415" t="s">
        <v>2476</v>
      </c>
    </row>
    <row r="23" spans="1:8" x14ac:dyDescent="0.25">
      <c r="A23" s="2" t="s">
        <v>1069</v>
      </c>
      <c r="B23" s="3" t="s">
        <v>1067</v>
      </c>
      <c r="C23" s="337"/>
      <c r="D23" s="338">
        <f>'[2]СЕБЕСТОИМОСТЬ В ОБМЕННИКЕ ОТ ЭР'!$J$525</f>
        <v>13812000</v>
      </c>
      <c r="E23" s="334">
        <f>SUM(От!I223)</f>
        <v>13199574.777264865</v>
      </c>
      <c r="F23" s="333" t="s">
        <v>1067</v>
      </c>
      <c r="G23" s="4">
        <f>SUM(-D23,E23)</f>
        <v>-612425.22273513488</v>
      </c>
    </row>
    <row r="24" spans="1:8" x14ac:dyDescent="0.25">
      <c r="A24" s="2" t="s">
        <v>1070</v>
      </c>
      <c r="B24" s="3" t="s">
        <v>1068</v>
      </c>
      <c r="C24" s="337"/>
      <c r="D24" s="338">
        <f>'[2]СЕБЕСТОИМОСТЬ В ОБМЕННИКЕ ОТ ЭР'!$J$526</f>
        <v>11000000</v>
      </c>
      <c r="E24" s="334">
        <f>SUM(В!I178)</f>
        <v>7783566.2873118659</v>
      </c>
      <c r="F24" s="333" t="s">
        <v>1976</v>
      </c>
      <c r="G24" s="1408">
        <f>SUM(-D24,E24:E25)</f>
        <v>-1813192.9872813544</v>
      </c>
      <c r="H24" s="3"/>
    </row>
    <row r="25" spans="1:8" x14ac:dyDescent="0.25">
      <c r="A25" s="2"/>
      <c r="B25" s="3"/>
      <c r="C25" s="337"/>
      <c r="D25" s="338"/>
      <c r="E25" s="334">
        <f>SUM(К!I96)</f>
        <v>1403240.7254067797</v>
      </c>
      <c r="F25" s="333" t="s">
        <v>1977</v>
      </c>
      <c r="G25" s="1409"/>
      <c r="H25" s="3"/>
    </row>
    <row r="26" spans="1:8" x14ac:dyDescent="0.25">
      <c r="A26" s="2" t="s">
        <v>1071</v>
      </c>
      <c r="B26" s="3" t="s">
        <v>1021</v>
      </c>
      <c r="C26" s="337"/>
      <c r="D26" s="338">
        <f>'[2]СЕБЕСТОИМОСТЬ В ОБМЕННИКЕ ОТ ЭР'!$J$524</f>
        <v>8640786</v>
      </c>
      <c r="E26" s="334">
        <f>SUM(Вт!H109)</f>
        <v>8618510.209999999</v>
      </c>
      <c r="F26" s="333" t="s">
        <v>1021</v>
      </c>
      <c r="G26" s="4">
        <f>SUM(-D26,E26)</f>
        <v>-22275.790000000969</v>
      </c>
      <c r="H26" s="3"/>
    </row>
    <row r="27" spans="1:8" x14ac:dyDescent="0.25">
      <c r="A27" s="2" t="s">
        <v>1072</v>
      </c>
      <c r="B27" s="3" t="s">
        <v>1019</v>
      </c>
      <c r="C27" s="337"/>
      <c r="D27" s="338">
        <f>'[2]СЕБЕСТОИМОСТЬ В ОБМЕННИКЕ ОТ ЭР'!$J$528</f>
        <v>8918279</v>
      </c>
      <c r="E27" s="334">
        <f>SUM('Сводная Сафин'!F13,'Сводная Сафин'!F17:F19)</f>
        <v>10454350.300000001</v>
      </c>
      <c r="F27" s="333" t="s">
        <v>1019</v>
      </c>
      <c r="G27" s="4">
        <f>SUM(-D27,E27)</f>
        <v>1536071.3000000007</v>
      </c>
      <c r="H27" s="3"/>
    </row>
    <row r="28" spans="1:8" x14ac:dyDescent="0.25">
      <c r="A28" s="2" t="s">
        <v>1073</v>
      </c>
      <c r="B28" s="3" t="s">
        <v>1020</v>
      </c>
      <c r="C28" s="337"/>
      <c r="D28" s="338">
        <f>'[2]СЕБЕСТОИМОСТЬ В ОБМЕННИКЕ ОТ ЭР'!$J$527</f>
        <v>5215528</v>
      </c>
      <c r="E28" s="334">
        <f>SUM('Сводная Сафин'!F14:F16)</f>
        <v>2745008.14</v>
      </c>
      <c r="F28" s="333" t="s">
        <v>1020</v>
      </c>
      <c r="G28" s="4">
        <f>SUM(-D28,E28)</f>
        <v>-2470519.86</v>
      </c>
      <c r="H28" s="3"/>
    </row>
    <row r="29" spans="1:8" x14ac:dyDescent="0.25">
      <c r="A29" s="2">
        <v>18</v>
      </c>
      <c r="B29" s="3" t="s">
        <v>17</v>
      </c>
      <c r="C29" s="338">
        <f>'[1]Смета-335 804 796 упр'!$I$277</f>
        <v>9500400</v>
      </c>
      <c r="D29" s="341"/>
      <c r="E29" s="340"/>
      <c r="F29" s="333" t="s">
        <v>17</v>
      </c>
      <c r="G29" s="4"/>
      <c r="H29" s="3"/>
    </row>
    <row r="30" spans="1:8" x14ac:dyDescent="0.25">
      <c r="A30" s="2" t="s">
        <v>1119</v>
      </c>
      <c r="B30" s="3" t="s">
        <v>1108</v>
      </c>
      <c r="C30" s="337"/>
      <c r="D30" s="338">
        <f>'[2]СЕБЕСТОИМОСТЬ В ОБМЕННИКЕ ОТ ЭР'!$J$531</f>
        <v>9500000</v>
      </c>
      <c r="E30" s="334">
        <f>КБ!$I$4</f>
        <v>8358136.2266666666</v>
      </c>
      <c r="F30" s="333" t="s">
        <v>1120</v>
      </c>
      <c r="G30" s="4">
        <f>SUM(-D30,E30)</f>
        <v>-1141863.7733333334</v>
      </c>
      <c r="H30" s="3"/>
    </row>
    <row r="31" spans="1:8" x14ac:dyDescent="0.25">
      <c r="A31" s="2" t="s">
        <v>1121</v>
      </c>
      <c r="B31" s="3" t="s">
        <v>1122</v>
      </c>
      <c r="C31" s="337"/>
      <c r="D31" s="338">
        <f>'[2]СЕБЕСТОИМОСТЬ В ОБМЕННИКЕ ОТ ЭР'!$J$535</f>
        <v>4550000</v>
      </c>
      <c r="E31" s="334"/>
      <c r="F31" s="333"/>
      <c r="G31" s="414"/>
      <c r="H31" s="415" t="s">
        <v>2471</v>
      </c>
    </row>
    <row r="32" spans="1:8" x14ac:dyDescent="0.25">
      <c r="A32" s="2" t="s">
        <v>1123</v>
      </c>
      <c r="B32" s="3" t="s">
        <v>1124</v>
      </c>
      <c r="D32" s="338">
        <f>SUM('[2]СЕБЕСТОИМОСТЬ В ОБМЕННИКЕ ОТ ЭР'!$J$537:$J$545)</f>
        <v>21550400</v>
      </c>
      <c r="E32" s="334"/>
      <c r="F32" s="333"/>
      <c r="G32" s="4"/>
      <c r="H32" s="3"/>
    </row>
    <row r="33" spans="1:8" x14ac:dyDescent="0.25">
      <c r="A33" s="3"/>
      <c r="B33" s="1" t="s">
        <v>18</v>
      </c>
      <c r="C33" s="335">
        <f>SUM(C2:C29)</f>
        <v>335804796</v>
      </c>
      <c r="D33" s="335">
        <f>SUM(D2:D32)</f>
        <v>299221206.65723419</v>
      </c>
      <c r="E33" s="335">
        <f>SUM(E2:E32)</f>
        <v>274145044.40566528</v>
      </c>
      <c r="F33" s="335"/>
      <c r="G33" s="294">
        <f>SUM(G2:G32)</f>
        <v>1024237.7484311066</v>
      </c>
      <c r="H33" s="3"/>
    </row>
    <row r="34" spans="1:8" x14ac:dyDescent="0.25">
      <c r="A34" s="3"/>
      <c r="B34" s="1" t="s">
        <v>19</v>
      </c>
      <c r="C34" s="333"/>
      <c r="D34" s="333"/>
      <c r="E34" s="337"/>
      <c r="F34" s="337"/>
      <c r="G34" s="4"/>
      <c r="H34" s="3"/>
    </row>
    <row r="35" spans="1:8" x14ac:dyDescent="0.25">
      <c r="A35" s="2">
        <v>1</v>
      </c>
      <c r="B35" s="5" t="s">
        <v>20</v>
      </c>
      <c r="C35" s="5"/>
      <c r="D35" s="5"/>
      <c r="E35" s="4"/>
      <c r="F35" s="4"/>
      <c r="G35" s="4"/>
      <c r="H35" s="3"/>
    </row>
    <row r="36" spans="1:8" x14ac:dyDescent="0.25">
      <c r="A36" s="3"/>
      <c r="B36" s="1" t="s">
        <v>18</v>
      </c>
      <c r="C36" s="1"/>
      <c r="D36" s="1"/>
      <c r="E36" s="6">
        <f>SUM(E35)</f>
        <v>0</v>
      </c>
      <c r="F36" s="6"/>
      <c r="G36" s="4"/>
      <c r="H36" s="3"/>
    </row>
    <row r="37" spans="1:8" x14ac:dyDescent="0.25">
      <c r="B37" s="8"/>
      <c r="C37" s="8"/>
      <c r="D37" s="8"/>
    </row>
    <row r="38" spans="1:8" x14ac:dyDescent="0.25">
      <c r="B38" s="103"/>
      <c r="C38" s="292"/>
      <c r="D38" s="292"/>
      <c r="E38" s="7" t="s">
        <v>21</v>
      </c>
    </row>
    <row r="39" spans="1:8" x14ac:dyDescent="0.25">
      <c r="A39" s="7">
        <v>1</v>
      </c>
      <c r="B39" s="7" t="s">
        <v>20</v>
      </c>
      <c r="C39" s="938">
        <v>284471</v>
      </c>
    </row>
    <row r="40" spans="1:8" x14ac:dyDescent="0.25">
      <c r="A40" s="7">
        <v>2</v>
      </c>
      <c r="B40" s="7" t="s">
        <v>2477</v>
      </c>
      <c r="C40" s="938">
        <v>13380</v>
      </c>
    </row>
    <row r="41" spans="1:8" x14ac:dyDescent="0.25">
      <c r="A41" s="7">
        <v>3</v>
      </c>
      <c r="B41" s="7" t="s">
        <v>2478</v>
      </c>
      <c r="C41" s="938">
        <v>15000</v>
      </c>
    </row>
    <row r="42" spans="1:8" x14ac:dyDescent="0.25">
      <c r="A42" s="7">
        <v>4</v>
      </c>
      <c r="B42" s="7" t="s">
        <v>2479</v>
      </c>
      <c r="C42" s="938">
        <v>3659080.62</v>
      </c>
    </row>
    <row r="43" spans="1:8" x14ac:dyDescent="0.25">
      <c r="B43" s="7" t="s">
        <v>1209</v>
      </c>
      <c r="C43" s="939">
        <f>SUM(C39:C42)</f>
        <v>3971931.62</v>
      </c>
    </row>
  </sheetData>
  <mergeCells count="19">
    <mergeCell ref="G6:G8"/>
    <mergeCell ref="H11:H15"/>
    <mergeCell ref="G24:G25"/>
    <mergeCell ref="D4:D5"/>
    <mergeCell ref="H4:H5"/>
    <mergeCell ref="E7:E8"/>
    <mergeCell ref="F7:F8"/>
    <mergeCell ref="E4:E5"/>
    <mergeCell ref="F4:F5"/>
    <mergeCell ref="G4:G5"/>
    <mergeCell ref="G12:G13"/>
    <mergeCell ref="F17:F18"/>
    <mergeCell ref="G17:G18"/>
    <mergeCell ref="E17:E18"/>
    <mergeCell ref="A9:A11"/>
    <mergeCell ref="B9:B11"/>
    <mergeCell ref="C9:C11"/>
    <mergeCell ref="D9:D11"/>
    <mergeCell ref="G14:G15"/>
  </mergeCells>
  <phoneticPr fontId="38" type="noConversion"/>
  <hyperlinks>
    <hyperlink ref="E2" location="Р.1!R1C1" display="Р.1!R1C1"/>
    <hyperlink ref="E3" location="Р.1!R1C1" display="Р.1!R1C1"/>
    <hyperlink ref="E4" location="КЖ!R1C1" display="КЖ!R1C1"/>
    <hyperlink ref="C22" r:id="rId1" location="'Смета-335 804 796 упр'!R268C1:R274C9" display="по Орган-Смета на комплекс работ по жд № 6 для контракта и упр (17.12.19) (2).xls - 'Смета-335 804 796 упр'!R268C1:R274C9"/>
    <hyperlink ref="C21" r:id="rId2" location="'Смета-335 804 796 упр'!R264C1:R267C9" display="по Орган-Смета на комплекс работ по жд № 6 для контракта и упр (17.12.19) (2).xls - 'Смета-335 804 796 упр'!R264C1:R267C9"/>
    <hyperlink ref="C20" r:id="rId3" location="'Смета-335 804 796 упр'!R260C1:R263C9" display="по Орган-Смета на комплекс работ по жд № 6 для контракта и упр (17.12.19) (2).xls - 'Смета-335 804 796 упр'!R260C1:R263C9"/>
    <hyperlink ref="C19" r:id="rId4" location="'Смета-335 804 796 упр'!R221C1:R259C9" display="по Орган-Смета на комплекс работ по жд № 6 для контракта и упр (17.12.19) (2).xls - 'Смета-335 804 796 упр'!R221C1:R259C9"/>
    <hyperlink ref="C18" r:id="rId5" location="'Смета-335 804 796 упр'!R213C1:R220C9" display="по Орган-Смета на комплекс работ по жд № 6 для контракта и упр (17.12.19) (2).xls - 'Смета-335 804 796 упр'!R213C1:R220C9"/>
    <hyperlink ref="C17" r:id="rId6" location="'Смета-335 804 796 упр'!R208C1:R212C9" display="по Орган-Смета на комплекс работ по жд № 6 для контракта и упр (17.12.19) (2).xls - 'Смета-335 804 796 упр'!R208C1:R212C9"/>
    <hyperlink ref="C16" r:id="rId7" location="'Смета-335 804 796 упр'!R195C1:R207C9" display="по Орган-Смета на комплекс работ по жд № 6 для контракта и упр (17.12.19) (2).xls - 'Смета-335 804 796 упр'!R195C1:R207C9"/>
    <hyperlink ref="C14" r:id="rId8" location="'Общая-357 804 796 с КС6'!R169C1:R194C9" display="по Орган-Смета на комплекс работ по жд № 6 для контракта и упр (17.12.19) (2).xls - 'Общая-357 804 796 с КС6'!R169C1:R194C9"/>
    <hyperlink ref="C12" r:id="rId9" location="'Смета-335 804 796 упр'!R159C1:R168C9" display="по Орган-Смета на комплекс работ по жд № 6 для контракта и упр (17.12.19) (2).xls - 'Смета-335 804 796 упр'!R159C1:R168C9"/>
    <hyperlink ref="C9" r:id="rId10" location="'Смета-335 804 796 упр'!R149C1:R158C9" display="по Орган-Смета на комплекс работ по жд № 6 для контракта и упр (17.12.19) (2).xls - 'Смета-335 804 796 упр'!R149C1:R158C9"/>
    <hyperlink ref="C8" r:id="rId11" location="'Смета-335 804 796 упр'!R133C1:R148C9" display="по Орган-Смета на комплекс работ по жд № 6 для контракта и упр (17.12.19) (2).xls - 'Смета-335 804 796 упр'!R133C1:R148C9"/>
    <hyperlink ref="C7" r:id="rId12" location="'Смета-335 804 796 упр'!R115C1:R132C9" display="по Орган-Смета на комплекс работ по жд № 6 для контракта и упр (17.12.19) (2).xls - 'Смета-335 804 796 упр'!R115C1:R132C9"/>
    <hyperlink ref="C6" r:id="rId13" location="'Смета-335 804 796 упр'!R98C1:R114C9" display="по Орган-Смета на комплекс работ по жд № 6 для контракта и упр (17.12.19) (2).xls - 'Смета-335 804 796 упр'!R98C1:R114C9"/>
    <hyperlink ref="C5" r:id="rId14" location="'Смета-335 804 796 упр'!R59C1:R97C9" display="по Орган-Смета на комплекс работ по жд № 6 для контракта и упр (17.12.19) (2).xls - 'Смета-335 804 796 упр'!R59C1:R97C9"/>
    <hyperlink ref="C4" r:id="rId15" location="'Смета-335 804 796 упр'!R35C1:R58C9" display="по Орган-Смета на комплекс работ по жд № 6 для контракта и упр (17.12.19) (2).xls - 'Смета-335 804 796 упр'!R35C1:R58C9"/>
    <hyperlink ref="C3" r:id="rId16" location="'Смета-335 804 796 упр'!R26C1:R34C9" display="по Орган-Смета на комплекс работ по жд № 6 для контракта и упр (17.12.19) (2).xls - 'Смета-335 804 796 упр'!R26C1:R34C9"/>
    <hyperlink ref="C2" r:id="rId17" location="'Смета-335 804 796 упр'!R19C1:R25C9" display="по Орган-Смета на комплекс работ по жд № 6 для контракта и упр (17.12.19) (2).xls - 'Смета-335 804 796 упр'!R19C1:R25C9"/>
    <hyperlink ref="D2" r:id="rId18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3" r:id="rId19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4" r:id="rId20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6" r:id="rId21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E30" location="КБ!R1C1" display="КБ!R1C1"/>
    <hyperlink ref="D7" r:id="rId22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8" r:id="rId23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9" r:id="rId24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2" r:id="rId25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4" r:id="rId26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6" r:id="rId27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7" r:id="rId28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8" r:id="rId29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19" r:id="rId30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0" r:id="rId31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1" r:id="rId32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3" r:id="rId33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4" r:id="rId34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6" r:id="rId35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7" r:id="rId36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28" r:id="rId37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D30" r:id="rId38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  <hyperlink ref="C29" r:id="rId39" location="'Смета-335 804 796 упр'!R275C1:R277C9" display="по Орган-Смета на комплекс работ по жд № 6 для контракта и упр (17.12.19) (2).xls - 'Смета-335 804 796 упр'!R275C1:R277C9"/>
    <hyperlink ref="D31" r:id="rId40" location="'СЕБЕСТОИМОСТЬ В ОБМЕННИКЕ ОТ ЭР'!R1C1" display="Окончательная себестоимость 16.12.2019(с керамзитом,стяжкой,без стен).xls - 'СЕБЕСТОИМОСТЬ В ОБМЕННИКЕ ОТ ЭР'!R1C1"/>
  </hyperlinks>
  <pageMargins left="0.7" right="0.7" top="0.75" bottom="0.75" header="0.3" footer="0.3"/>
  <pageSetup paperSize="8" scale="77" orientation="landscape" r:id="rId4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T1773"/>
  <sheetViews>
    <sheetView zoomScaleNormal="100" workbookViewId="0">
      <pane ySplit="2" topLeftCell="A3" activePane="bottomLeft" state="frozen"/>
      <selection pane="bottomLeft" activeCell="L502" sqref="L502"/>
    </sheetView>
  </sheetViews>
  <sheetFormatPr defaultRowHeight="15.05" outlineLevelRow="3" x14ac:dyDescent="0.3"/>
  <cols>
    <col min="1" max="1" width="10.6640625" style="35" bestFit="1" customWidth="1"/>
    <col min="2" max="2" width="63.109375" style="9" customWidth="1"/>
    <col min="3" max="3" width="9.109375" style="36"/>
    <col min="4" max="4" width="14.5546875" style="36" customWidth="1"/>
    <col min="5" max="5" width="14.109375" style="37" customWidth="1"/>
    <col min="6" max="6" width="14.33203125" style="37" customWidth="1"/>
    <col min="7" max="7" width="17.33203125" style="1038" customWidth="1"/>
    <col min="8" max="8" width="18.6640625" style="1038" customWidth="1"/>
    <col min="9" max="9" width="17" style="1038" customWidth="1"/>
    <col min="10" max="253" width="9.109375" style="9"/>
    <col min="254" max="254" width="63.109375" style="9" customWidth="1"/>
    <col min="255" max="255" width="9.109375" style="9"/>
    <col min="256" max="256" width="14.109375" style="9" customWidth="1"/>
    <col min="257" max="257" width="12.109375" style="9" customWidth="1"/>
    <col min="258" max="258" width="12.44140625" style="9" customWidth="1"/>
    <col min="259" max="259" width="17.33203125" style="9" customWidth="1"/>
    <col min="260" max="260" width="16.88671875" style="9" customWidth="1"/>
    <col min="261" max="261" width="15.88671875" style="9" customWidth="1"/>
    <col min="262" max="509" width="9.109375" style="9"/>
    <col min="510" max="510" width="63.109375" style="9" customWidth="1"/>
    <col min="511" max="511" width="9.109375" style="9"/>
    <col min="512" max="512" width="14.109375" style="9" customWidth="1"/>
    <col min="513" max="513" width="12.109375" style="9" customWidth="1"/>
    <col min="514" max="514" width="12.44140625" style="9" customWidth="1"/>
    <col min="515" max="515" width="17.33203125" style="9" customWidth="1"/>
    <col min="516" max="516" width="16.88671875" style="9" customWidth="1"/>
    <col min="517" max="517" width="15.88671875" style="9" customWidth="1"/>
    <col min="518" max="765" width="9.109375" style="9"/>
    <col min="766" max="766" width="63.109375" style="9" customWidth="1"/>
    <col min="767" max="767" width="9.109375" style="9"/>
    <col min="768" max="768" width="14.109375" style="9" customWidth="1"/>
    <col min="769" max="769" width="12.109375" style="9" customWidth="1"/>
    <col min="770" max="770" width="12.44140625" style="9" customWidth="1"/>
    <col min="771" max="771" width="17.33203125" style="9" customWidth="1"/>
    <col min="772" max="772" width="16.88671875" style="9" customWidth="1"/>
    <col min="773" max="773" width="15.88671875" style="9" customWidth="1"/>
    <col min="774" max="1021" width="9.109375" style="9"/>
    <col min="1022" max="1022" width="63.109375" style="9" customWidth="1"/>
    <col min="1023" max="1023" width="9.109375" style="9"/>
    <col min="1024" max="1024" width="14.109375" style="9" customWidth="1"/>
    <col min="1025" max="1025" width="12.109375" style="9" customWidth="1"/>
    <col min="1026" max="1026" width="12.44140625" style="9" customWidth="1"/>
    <col min="1027" max="1027" width="17.33203125" style="9" customWidth="1"/>
    <col min="1028" max="1028" width="16.88671875" style="9" customWidth="1"/>
    <col min="1029" max="1029" width="15.88671875" style="9" customWidth="1"/>
    <col min="1030" max="1277" width="9.109375" style="9"/>
    <col min="1278" max="1278" width="63.109375" style="9" customWidth="1"/>
    <col min="1279" max="1279" width="9.109375" style="9"/>
    <col min="1280" max="1280" width="14.109375" style="9" customWidth="1"/>
    <col min="1281" max="1281" width="12.109375" style="9" customWidth="1"/>
    <col min="1282" max="1282" width="12.44140625" style="9" customWidth="1"/>
    <col min="1283" max="1283" width="17.33203125" style="9" customWidth="1"/>
    <col min="1284" max="1284" width="16.88671875" style="9" customWidth="1"/>
    <col min="1285" max="1285" width="15.88671875" style="9" customWidth="1"/>
    <col min="1286" max="1533" width="9.109375" style="9"/>
    <col min="1534" max="1534" width="63.109375" style="9" customWidth="1"/>
    <col min="1535" max="1535" width="9.109375" style="9"/>
    <col min="1536" max="1536" width="14.109375" style="9" customWidth="1"/>
    <col min="1537" max="1537" width="12.109375" style="9" customWidth="1"/>
    <col min="1538" max="1538" width="12.44140625" style="9" customWidth="1"/>
    <col min="1539" max="1539" width="17.33203125" style="9" customWidth="1"/>
    <col min="1540" max="1540" width="16.88671875" style="9" customWidth="1"/>
    <col min="1541" max="1541" width="15.88671875" style="9" customWidth="1"/>
    <col min="1542" max="1789" width="9.109375" style="9"/>
    <col min="1790" max="1790" width="63.109375" style="9" customWidth="1"/>
    <col min="1791" max="1791" width="9.109375" style="9"/>
    <col min="1792" max="1792" width="14.109375" style="9" customWidth="1"/>
    <col min="1793" max="1793" width="12.109375" style="9" customWidth="1"/>
    <col min="1794" max="1794" width="12.44140625" style="9" customWidth="1"/>
    <col min="1795" max="1795" width="17.33203125" style="9" customWidth="1"/>
    <col min="1796" max="1796" width="16.88671875" style="9" customWidth="1"/>
    <col min="1797" max="1797" width="15.88671875" style="9" customWidth="1"/>
    <col min="1798" max="2045" width="9.109375" style="9"/>
    <col min="2046" max="2046" width="63.109375" style="9" customWidth="1"/>
    <col min="2047" max="2047" width="9.109375" style="9"/>
    <col min="2048" max="2048" width="14.109375" style="9" customWidth="1"/>
    <col min="2049" max="2049" width="12.109375" style="9" customWidth="1"/>
    <col min="2050" max="2050" width="12.44140625" style="9" customWidth="1"/>
    <col min="2051" max="2051" width="17.33203125" style="9" customWidth="1"/>
    <col min="2052" max="2052" width="16.88671875" style="9" customWidth="1"/>
    <col min="2053" max="2053" width="15.88671875" style="9" customWidth="1"/>
    <col min="2054" max="2301" width="9.109375" style="9"/>
    <col min="2302" max="2302" width="63.109375" style="9" customWidth="1"/>
    <col min="2303" max="2303" width="9.109375" style="9"/>
    <col min="2304" max="2304" width="14.109375" style="9" customWidth="1"/>
    <col min="2305" max="2305" width="12.109375" style="9" customWidth="1"/>
    <col min="2306" max="2306" width="12.44140625" style="9" customWidth="1"/>
    <col min="2307" max="2307" width="17.33203125" style="9" customWidth="1"/>
    <col min="2308" max="2308" width="16.88671875" style="9" customWidth="1"/>
    <col min="2309" max="2309" width="15.88671875" style="9" customWidth="1"/>
    <col min="2310" max="2557" width="9.109375" style="9"/>
    <col min="2558" max="2558" width="63.109375" style="9" customWidth="1"/>
    <col min="2559" max="2559" width="9.109375" style="9"/>
    <col min="2560" max="2560" width="14.109375" style="9" customWidth="1"/>
    <col min="2561" max="2561" width="12.109375" style="9" customWidth="1"/>
    <col min="2562" max="2562" width="12.44140625" style="9" customWidth="1"/>
    <col min="2563" max="2563" width="17.33203125" style="9" customWidth="1"/>
    <col min="2564" max="2564" width="16.88671875" style="9" customWidth="1"/>
    <col min="2565" max="2565" width="15.88671875" style="9" customWidth="1"/>
    <col min="2566" max="2813" width="9.109375" style="9"/>
    <col min="2814" max="2814" width="63.109375" style="9" customWidth="1"/>
    <col min="2815" max="2815" width="9.109375" style="9"/>
    <col min="2816" max="2816" width="14.109375" style="9" customWidth="1"/>
    <col min="2817" max="2817" width="12.109375" style="9" customWidth="1"/>
    <col min="2818" max="2818" width="12.44140625" style="9" customWidth="1"/>
    <col min="2819" max="2819" width="17.33203125" style="9" customWidth="1"/>
    <col min="2820" max="2820" width="16.88671875" style="9" customWidth="1"/>
    <col min="2821" max="2821" width="15.88671875" style="9" customWidth="1"/>
    <col min="2822" max="3069" width="9.109375" style="9"/>
    <col min="3070" max="3070" width="63.109375" style="9" customWidth="1"/>
    <col min="3071" max="3071" width="9.109375" style="9"/>
    <col min="3072" max="3072" width="14.109375" style="9" customWidth="1"/>
    <col min="3073" max="3073" width="12.109375" style="9" customWidth="1"/>
    <col min="3074" max="3074" width="12.44140625" style="9" customWidth="1"/>
    <col min="3075" max="3075" width="17.33203125" style="9" customWidth="1"/>
    <col min="3076" max="3076" width="16.88671875" style="9" customWidth="1"/>
    <col min="3077" max="3077" width="15.88671875" style="9" customWidth="1"/>
    <col min="3078" max="3325" width="9.109375" style="9"/>
    <col min="3326" max="3326" width="63.109375" style="9" customWidth="1"/>
    <col min="3327" max="3327" width="9.109375" style="9"/>
    <col min="3328" max="3328" width="14.109375" style="9" customWidth="1"/>
    <col min="3329" max="3329" width="12.109375" style="9" customWidth="1"/>
    <col min="3330" max="3330" width="12.44140625" style="9" customWidth="1"/>
    <col min="3331" max="3331" width="17.33203125" style="9" customWidth="1"/>
    <col min="3332" max="3332" width="16.88671875" style="9" customWidth="1"/>
    <col min="3333" max="3333" width="15.88671875" style="9" customWidth="1"/>
    <col min="3334" max="3581" width="9.109375" style="9"/>
    <col min="3582" max="3582" width="63.109375" style="9" customWidth="1"/>
    <col min="3583" max="3583" width="9.109375" style="9"/>
    <col min="3584" max="3584" width="14.109375" style="9" customWidth="1"/>
    <col min="3585" max="3585" width="12.109375" style="9" customWidth="1"/>
    <col min="3586" max="3586" width="12.44140625" style="9" customWidth="1"/>
    <col min="3587" max="3587" width="17.33203125" style="9" customWidth="1"/>
    <col min="3588" max="3588" width="16.88671875" style="9" customWidth="1"/>
    <col min="3589" max="3589" width="15.88671875" style="9" customWidth="1"/>
    <col min="3590" max="3837" width="9.109375" style="9"/>
    <col min="3838" max="3838" width="63.109375" style="9" customWidth="1"/>
    <col min="3839" max="3839" width="9.109375" style="9"/>
    <col min="3840" max="3840" width="14.109375" style="9" customWidth="1"/>
    <col min="3841" max="3841" width="12.109375" style="9" customWidth="1"/>
    <col min="3842" max="3842" width="12.44140625" style="9" customWidth="1"/>
    <col min="3843" max="3843" width="17.33203125" style="9" customWidth="1"/>
    <col min="3844" max="3844" width="16.88671875" style="9" customWidth="1"/>
    <col min="3845" max="3845" width="15.88671875" style="9" customWidth="1"/>
    <col min="3846" max="4093" width="9.109375" style="9"/>
    <col min="4094" max="4094" width="63.109375" style="9" customWidth="1"/>
    <col min="4095" max="4095" width="9.109375" style="9"/>
    <col min="4096" max="4096" width="14.109375" style="9" customWidth="1"/>
    <col min="4097" max="4097" width="12.109375" style="9" customWidth="1"/>
    <col min="4098" max="4098" width="12.44140625" style="9" customWidth="1"/>
    <col min="4099" max="4099" width="17.33203125" style="9" customWidth="1"/>
    <col min="4100" max="4100" width="16.88671875" style="9" customWidth="1"/>
    <col min="4101" max="4101" width="15.88671875" style="9" customWidth="1"/>
    <col min="4102" max="4349" width="9.109375" style="9"/>
    <col min="4350" max="4350" width="63.109375" style="9" customWidth="1"/>
    <col min="4351" max="4351" width="9.109375" style="9"/>
    <col min="4352" max="4352" width="14.109375" style="9" customWidth="1"/>
    <col min="4353" max="4353" width="12.109375" style="9" customWidth="1"/>
    <col min="4354" max="4354" width="12.44140625" style="9" customWidth="1"/>
    <col min="4355" max="4355" width="17.33203125" style="9" customWidth="1"/>
    <col min="4356" max="4356" width="16.88671875" style="9" customWidth="1"/>
    <col min="4357" max="4357" width="15.88671875" style="9" customWidth="1"/>
    <col min="4358" max="4605" width="9.109375" style="9"/>
    <col min="4606" max="4606" width="63.109375" style="9" customWidth="1"/>
    <col min="4607" max="4607" width="9.109375" style="9"/>
    <col min="4608" max="4608" width="14.109375" style="9" customWidth="1"/>
    <col min="4609" max="4609" width="12.109375" style="9" customWidth="1"/>
    <col min="4610" max="4610" width="12.44140625" style="9" customWidth="1"/>
    <col min="4611" max="4611" width="17.33203125" style="9" customWidth="1"/>
    <col min="4612" max="4612" width="16.88671875" style="9" customWidth="1"/>
    <col min="4613" max="4613" width="15.88671875" style="9" customWidth="1"/>
    <col min="4614" max="4861" width="9.109375" style="9"/>
    <col min="4862" max="4862" width="63.109375" style="9" customWidth="1"/>
    <col min="4863" max="4863" width="9.109375" style="9"/>
    <col min="4864" max="4864" width="14.109375" style="9" customWidth="1"/>
    <col min="4865" max="4865" width="12.109375" style="9" customWidth="1"/>
    <col min="4866" max="4866" width="12.44140625" style="9" customWidth="1"/>
    <col min="4867" max="4867" width="17.33203125" style="9" customWidth="1"/>
    <col min="4868" max="4868" width="16.88671875" style="9" customWidth="1"/>
    <col min="4869" max="4869" width="15.88671875" style="9" customWidth="1"/>
    <col min="4870" max="5117" width="9.109375" style="9"/>
    <col min="5118" max="5118" width="63.109375" style="9" customWidth="1"/>
    <col min="5119" max="5119" width="9.109375" style="9"/>
    <col min="5120" max="5120" width="14.109375" style="9" customWidth="1"/>
    <col min="5121" max="5121" width="12.109375" style="9" customWidth="1"/>
    <col min="5122" max="5122" width="12.44140625" style="9" customWidth="1"/>
    <col min="5123" max="5123" width="17.33203125" style="9" customWidth="1"/>
    <col min="5124" max="5124" width="16.88671875" style="9" customWidth="1"/>
    <col min="5125" max="5125" width="15.88671875" style="9" customWidth="1"/>
    <col min="5126" max="5373" width="9.109375" style="9"/>
    <col min="5374" max="5374" width="63.109375" style="9" customWidth="1"/>
    <col min="5375" max="5375" width="9.109375" style="9"/>
    <col min="5376" max="5376" width="14.109375" style="9" customWidth="1"/>
    <col min="5377" max="5377" width="12.109375" style="9" customWidth="1"/>
    <col min="5378" max="5378" width="12.44140625" style="9" customWidth="1"/>
    <col min="5379" max="5379" width="17.33203125" style="9" customWidth="1"/>
    <col min="5380" max="5380" width="16.88671875" style="9" customWidth="1"/>
    <col min="5381" max="5381" width="15.88671875" style="9" customWidth="1"/>
    <col min="5382" max="5629" width="9.109375" style="9"/>
    <col min="5630" max="5630" width="63.109375" style="9" customWidth="1"/>
    <col min="5631" max="5631" width="9.109375" style="9"/>
    <col min="5632" max="5632" width="14.109375" style="9" customWidth="1"/>
    <col min="5633" max="5633" width="12.109375" style="9" customWidth="1"/>
    <col min="5634" max="5634" width="12.44140625" style="9" customWidth="1"/>
    <col min="5635" max="5635" width="17.33203125" style="9" customWidth="1"/>
    <col min="5636" max="5636" width="16.88671875" style="9" customWidth="1"/>
    <col min="5637" max="5637" width="15.88671875" style="9" customWidth="1"/>
    <col min="5638" max="5885" width="9.109375" style="9"/>
    <col min="5886" max="5886" width="63.109375" style="9" customWidth="1"/>
    <col min="5887" max="5887" width="9.109375" style="9"/>
    <col min="5888" max="5888" width="14.109375" style="9" customWidth="1"/>
    <col min="5889" max="5889" width="12.109375" style="9" customWidth="1"/>
    <col min="5890" max="5890" width="12.44140625" style="9" customWidth="1"/>
    <col min="5891" max="5891" width="17.33203125" style="9" customWidth="1"/>
    <col min="5892" max="5892" width="16.88671875" style="9" customWidth="1"/>
    <col min="5893" max="5893" width="15.88671875" style="9" customWidth="1"/>
    <col min="5894" max="6141" width="9.109375" style="9"/>
    <col min="6142" max="6142" width="63.109375" style="9" customWidth="1"/>
    <col min="6143" max="6143" width="9.109375" style="9"/>
    <col min="6144" max="6144" width="14.109375" style="9" customWidth="1"/>
    <col min="6145" max="6145" width="12.109375" style="9" customWidth="1"/>
    <col min="6146" max="6146" width="12.44140625" style="9" customWidth="1"/>
    <col min="6147" max="6147" width="17.33203125" style="9" customWidth="1"/>
    <col min="6148" max="6148" width="16.88671875" style="9" customWidth="1"/>
    <col min="6149" max="6149" width="15.88671875" style="9" customWidth="1"/>
    <col min="6150" max="6397" width="9.109375" style="9"/>
    <col min="6398" max="6398" width="63.109375" style="9" customWidth="1"/>
    <col min="6399" max="6399" width="9.109375" style="9"/>
    <col min="6400" max="6400" width="14.109375" style="9" customWidth="1"/>
    <col min="6401" max="6401" width="12.109375" style="9" customWidth="1"/>
    <col min="6402" max="6402" width="12.44140625" style="9" customWidth="1"/>
    <col min="6403" max="6403" width="17.33203125" style="9" customWidth="1"/>
    <col min="6404" max="6404" width="16.88671875" style="9" customWidth="1"/>
    <col min="6405" max="6405" width="15.88671875" style="9" customWidth="1"/>
    <col min="6406" max="6653" width="9.109375" style="9"/>
    <col min="6654" max="6654" width="63.109375" style="9" customWidth="1"/>
    <col min="6655" max="6655" width="9.109375" style="9"/>
    <col min="6656" max="6656" width="14.109375" style="9" customWidth="1"/>
    <col min="6657" max="6657" width="12.109375" style="9" customWidth="1"/>
    <col min="6658" max="6658" width="12.44140625" style="9" customWidth="1"/>
    <col min="6659" max="6659" width="17.33203125" style="9" customWidth="1"/>
    <col min="6660" max="6660" width="16.88671875" style="9" customWidth="1"/>
    <col min="6661" max="6661" width="15.88671875" style="9" customWidth="1"/>
    <col min="6662" max="6909" width="9.109375" style="9"/>
    <col min="6910" max="6910" width="63.109375" style="9" customWidth="1"/>
    <col min="6911" max="6911" width="9.109375" style="9"/>
    <col min="6912" max="6912" width="14.109375" style="9" customWidth="1"/>
    <col min="6913" max="6913" width="12.109375" style="9" customWidth="1"/>
    <col min="6914" max="6914" width="12.44140625" style="9" customWidth="1"/>
    <col min="6915" max="6915" width="17.33203125" style="9" customWidth="1"/>
    <col min="6916" max="6916" width="16.88671875" style="9" customWidth="1"/>
    <col min="6917" max="6917" width="15.88671875" style="9" customWidth="1"/>
    <col min="6918" max="7165" width="9.109375" style="9"/>
    <col min="7166" max="7166" width="63.109375" style="9" customWidth="1"/>
    <col min="7167" max="7167" width="9.109375" style="9"/>
    <col min="7168" max="7168" width="14.109375" style="9" customWidth="1"/>
    <col min="7169" max="7169" width="12.109375" style="9" customWidth="1"/>
    <col min="7170" max="7170" width="12.44140625" style="9" customWidth="1"/>
    <col min="7171" max="7171" width="17.33203125" style="9" customWidth="1"/>
    <col min="7172" max="7172" width="16.88671875" style="9" customWidth="1"/>
    <col min="7173" max="7173" width="15.88671875" style="9" customWidth="1"/>
    <col min="7174" max="7421" width="9.109375" style="9"/>
    <col min="7422" max="7422" width="63.109375" style="9" customWidth="1"/>
    <col min="7423" max="7423" width="9.109375" style="9"/>
    <col min="7424" max="7424" width="14.109375" style="9" customWidth="1"/>
    <col min="7425" max="7425" width="12.109375" style="9" customWidth="1"/>
    <col min="7426" max="7426" width="12.44140625" style="9" customWidth="1"/>
    <col min="7427" max="7427" width="17.33203125" style="9" customWidth="1"/>
    <col min="7428" max="7428" width="16.88671875" style="9" customWidth="1"/>
    <col min="7429" max="7429" width="15.88671875" style="9" customWidth="1"/>
    <col min="7430" max="7677" width="9.109375" style="9"/>
    <col min="7678" max="7678" width="63.109375" style="9" customWidth="1"/>
    <col min="7679" max="7679" width="9.109375" style="9"/>
    <col min="7680" max="7680" width="14.109375" style="9" customWidth="1"/>
    <col min="7681" max="7681" width="12.109375" style="9" customWidth="1"/>
    <col min="7682" max="7682" width="12.44140625" style="9" customWidth="1"/>
    <col min="7683" max="7683" width="17.33203125" style="9" customWidth="1"/>
    <col min="7684" max="7684" width="16.88671875" style="9" customWidth="1"/>
    <col min="7685" max="7685" width="15.88671875" style="9" customWidth="1"/>
    <col min="7686" max="7933" width="9.109375" style="9"/>
    <col min="7934" max="7934" width="63.109375" style="9" customWidth="1"/>
    <col min="7935" max="7935" width="9.109375" style="9"/>
    <col min="7936" max="7936" width="14.109375" style="9" customWidth="1"/>
    <col min="7937" max="7937" width="12.109375" style="9" customWidth="1"/>
    <col min="7938" max="7938" width="12.44140625" style="9" customWidth="1"/>
    <col min="7939" max="7939" width="17.33203125" style="9" customWidth="1"/>
    <col min="7940" max="7940" width="16.88671875" style="9" customWidth="1"/>
    <col min="7941" max="7941" width="15.88671875" style="9" customWidth="1"/>
    <col min="7942" max="8189" width="9.109375" style="9"/>
    <col min="8190" max="8190" width="63.109375" style="9" customWidth="1"/>
    <col min="8191" max="8191" width="9.109375" style="9"/>
    <col min="8192" max="8192" width="14.109375" style="9" customWidth="1"/>
    <col min="8193" max="8193" width="12.109375" style="9" customWidth="1"/>
    <col min="8194" max="8194" width="12.44140625" style="9" customWidth="1"/>
    <col min="8195" max="8195" width="17.33203125" style="9" customWidth="1"/>
    <col min="8196" max="8196" width="16.88671875" style="9" customWidth="1"/>
    <col min="8197" max="8197" width="15.88671875" style="9" customWidth="1"/>
    <col min="8198" max="8445" width="9.109375" style="9"/>
    <col min="8446" max="8446" width="63.109375" style="9" customWidth="1"/>
    <col min="8447" max="8447" width="9.109375" style="9"/>
    <col min="8448" max="8448" width="14.109375" style="9" customWidth="1"/>
    <col min="8449" max="8449" width="12.109375" style="9" customWidth="1"/>
    <col min="8450" max="8450" width="12.44140625" style="9" customWidth="1"/>
    <col min="8451" max="8451" width="17.33203125" style="9" customWidth="1"/>
    <col min="8452" max="8452" width="16.88671875" style="9" customWidth="1"/>
    <col min="8453" max="8453" width="15.88671875" style="9" customWidth="1"/>
    <col min="8454" max="8701" width="9.109375" style="9"/>
    <col min="8702" max="8702" width="63.109375" style="9" customWidth="1"/>
    <col min="8703" max="8703" width="9.109375" style="9"/>
    <col min="8704" max="8704" width="14.109375" style="9" customWidth="1"/>
    <col min="8705" max="8705" width="12.109375" style="9" customWidth="1"/>
    <col min="8706" max="8706" width="12.44140625" style="9" customWidth="1"/>
    <col min="8707" max="8707" width="17.33203125" style="9" customWidth="1"/>
    <col min="8708" max="8708" width="16.88671875" style="9" customWidth="1"/>
    <col min="8709" max="8709" width="15.88671875" style="9" customWidth="1"/>
    <col min="8710" max="8957" width="9.109375" style="9"/>
    <col min="8958" max="8958" width="63.109375" style="9" customWidth="1"/>
    <col min="8959" max="8959" width="9.109375" style="9"/>
    <col min="8960" max="8960" width="14.109375" style="9" customWidth="1"/>
    <col min="8961" max="8961" width="12.109375" style="9" customWidth="1"/>
    <col min="8962" max="8962" width="12.44140625" style="9" customWidth="1"/>
    <col min="8963" max="8963" width="17.33203125" style="9" customWidth="1"/>
    <col min="8964" max="8964" width="16.88671875" style="9" customWidth="1"/>
    <col min="8965" max="8965" width="15.88671875" style="9" customWidth="1"/>
    <col min="8966" max="9213" width="9.109375" style="9"/>
    <col min="9214" max="9214" width="63.109375" style="9" customWidth="1"/>
    <col min="9215" max="9215" width="9.109375" style="9"/>
    <col min="9216" max="9216" width="14.109375" style="9" customWidth="1"/>
    <col min="9217" max="9217" width="12.109375" style="9" customWidth="1"/>
    <col min="9218" max="9218" width="12.44140625" style="9" customWidth="1"/>
    <col min="9219" max="9219" width="17.33203125" style="9" customWidth="1"/>
    <col min="9220" max="9220" width="16.88671875" style="9" customWidth="1"/>
    <col min="9221" max="9221" width="15.88671875" style="9" customWidth="1"/>
    <col min="9222" max="9469" width="9.109375" style="9"/>
    <col min="9470" max="9470" width="63.109375" style="9" customWidth="1"/>
    <col min="9471" max="9471" width="9.109375" style="9"/>
    <col min="9472" max="9472" width="14.109375" style="9" customWidth="1"/>
    <col min="9473" max="9473" width="12.109375" style="9" customWidth="1"/>
    <col min="9474" max="9474" width="12.44140625" style="9" customWidth="1"/>
    <col min="9475" max="9475" width="17.33203125" style="9" customWidth="1"/>
    <col min="9476" max="9476" width="16.88671875" style="9" customWidth="1"/>
    <col min="9477" max="9477" width="15.88671875" style="9" customWidth="1"/>
    <col min="9478" max="9725" width="9.109375" style="9"/>
    <col min="9726" max="9726" width="63.109375" style="9" customWidth="1"/>
    <col min="9727" max="9727" width="9.109375" style="9"/>
    <col min="9728" max="9728" width="14.109375" style="9" customWidth="1"/>
    <col min="9729" max="9729" width="12.109375" style="9" customWidth="1"/>
    <col min="9730" max="9730" width="12.44140625" style="9" customWidth="1"/>
    <col min="9731" max="9731" width="17.33203125" style="9" customWidth="1"/>
    <col min="9732" max="9732" width="16.88671875" style="9" customWidth="1"/>
    <col min="9733" max="9733" width="15.88671875" style="9" customWidth="1"/>
    <col min="9734" max="9981" width="9.109375" style="9"/>
    <col min="9982" max="9982" width="63.109375" style="9" customWidth="1"/>
    <col min="9983" max="9983" width="9.109375" style="9"/>
    <col min="9984" max="9984" width="14.109375" style="9" customWidth="1"/>
    <col min="9985" max="9985" width="12.109375" style="9" customWidth="1"/>
    <col min="9986" max="9986" width="12.44140625" style="9" customWidth="1"/>
    <col min="9987" max="9987" width="17.33203125" style="9" customWidth="1"/>
    <col min="9988" max="9988" width="16.88671875" style="9" customWidth="1"/>
    <col min="9989" max="9989" width="15.88671875" style="9" customWidth="1"/>
    <col min="9990" max="10237" width="9.109375" style="9"/>
    <col min="10238" max="10238" width="63.109375" style="9" customWidth="1"/>
    <col min="10239" max="10239" width="9.109375" style="9"/>
    <col min="10240" max="10240" width="14.109375" style="9" customWidth="1"/>
    <col min="10241" max="10241" width="12.109375" style="9" customWidth="1"/>
    <col min="10242" max="10242" width="12.44140625" style="9" customWidth="1"/>
    <col min="10243" max="10243" width="17.33203125" style="9" customWidth="1"/>
    <col min="10244" max="10244" width="16.88671875" style="9" customWidth="1"/>
    <col min="10245" max="10245" width="15.88671875" style="9" customWidth="1"/>
    <col min="10246" max="10493" width="9.109375" style="9"/>
    <col min="10494" max="10494" width="63.109375" style="9" customWidth="1"/>
    <col min="10495" max="10495" width="9.109375" style="9"/>
    <col min="10496" max="10496" width="14.109375" style="9" customWidth="1"/>
    <col min="10497" max="10497" width="12.109375" style="9" customWidth="1"/>
    <col min="10498" max="10498" width="12.44140625" style="9" customWidth="1"/>
    <col min="10499" max="10499" width="17.33203125" style="9" customWidth="1"/>
    <col min="10500" max="10500" width="16.88671875" style="9" customWidth="1"/>
    <col min="10501" max="10501" width="15.88671875" style="9" customWidth="1"/>
    <col min="10502" max="10749" width="9.109375" style="9"/>
    <col min="10750" max="10750" width="63.109375" style="9" customWidth="1"/>
    <col min="10751" max="10751" width="9.109375" style="9"/>
    <col min="10752" max="10752" width="14.109375" style="9" customWidth="1"/>
    <col min="10753" max="10753" width="12.109375" style="9" customWidth="1"/>
    <col min="10754" max="10754" width="12.44140625" style="9" customWidth="1"/>
    <col min="10755" max="10755" width="17.33203125" style="9" customWidth="1"/>
    <col min="10756" max="10756" width="16.88671875" style="9" customWidth="1"/>
    <col min="10757" max="10757" width="15.88671875" style="9" customWidth="1"/>
    <col min="10758" max="11005" width="9.109375" style="9"/>
    <col min="11006" max="11006" width="63.109375" style="9" customWidth="1"/>
    <col min="11007" max="11007" width="9.109375" style="9"/>
    <col min="11008" max="11008" width="14.109375" style="9" customWidth="1"/>
    <col min="11009" max="11009" width="12.109375" style="9" customWidth="1"/>
    <col min="11010" max="11010" width="12.44140625" style="9" customWidth="1"/>
    <col min="11011" max="11011" width="17.33203125" style="9" customWidth="1"/>
    <col min="11012" max="11012" width="16.88671875" style="9" customWidth="1"/>
    <col min="11013" max="11013" width="15.88671875" style="9" customWidth="1"/>
    <col min="11014" max="11261" width="9.109375" style="9"/>
    <col min="11262" max="11262" width="63.109375" style="9" customWidth="1"/>
    <col min="11263" max="11263" width="9.109375" style="9"/>
    <col min="11264" max="11264" width="14.109375" style="9" customWidth="1"/>
    <col min="11265" max="11265" width="12.109375" style="9" customWidth="1"/>
    <col min="11266" max="11266" width="12.44140625" style="9" customWidth="1"/>
    <col min="11267" max="11267" width="17.33203125" style="9" customWidth="1"/>
    <col min="11268" max="11268" width="16.88671875" style="9" customWidth="1"/>
    <col min="11269" max="11269" width="15.88671875" style="9" customWidth="1"/>
    <col min="11270" max="11517" width="9.109375" style="9"/>
    <col min="11518" max="11518" width="63.109375" style="9" customWidth="1"/>
    <col min="11519" max="11519" width="9.109375" style="9"/>
    <col min="11520" max="11520" width="14.109375" style="9" customWidth="1"/>
    <col min="11521" max="11521" width="12.109375" style="9" customWidth="1"/>
    <col min="11522" max="11522" width="12.44140625" style="9" customWidth="1"/>
    <col min="11523" max="11523" width="17.33203125" style="9" customWidth="1"/>
    <col min="11524" max="11524" width="16.88671875" style="9" customWidth="1"/>
    <col min="11525" max="11525" width="15.88671875" style="9" customWidth="1"/>
    <col min="11526" max="11773" width="9.109375" style="9"/>
    <col min="11774" max="11774" width="63.109375" style="9" customWidth="1"/>
    <col min="11775" max="11775" width="9.109375" style="9"/>
    <col min="11776" max="11776" width="14.109375" style="9" customWidth="1"/>
    <col min="11777" max="11777" width="12.109375" style="9" customWidth="1"/>
    <col min="11778" max="11778" width="12.44140625" style="9" customWidth="1"/>
    <col min="11779" max="11779" width="17.33203125" style="9" customWidth="1"/>
    <col min="11780" max="11780" width="16.88671875" style="9" customWidth="1"/>
    <col min="11781" max="11781" width="15.88671875" style="9" customWidth="1"/>
    <col min="11782" max="12029" width="9.109375" style="9"/>
    <col min="12030" max="12030" width="63.109375" style="9" customWidth="1"/>
    <col min="12031" max="12031" width="9.109375" style="9"/>
    <col min="12032" max="12032" width="14.109375" style="9" customWidth="1"/>
    <col min="12033" max="12033" width="12.109375" style="9" customWidth="1"/>
    <col min="12034" max="12034" width="12.44140625" style="9" customWidth="1"/>
    <col min="12035" max="12035" width="17.33203125" style="9" customWidth="1"/>
    <col min="12036" max="12036" width="16.88671875" style="9" customWidth="1"/>
    <col min="12037" max="12037" width="15.88671875" style="9" customWidth="1"/>
    <col min="12038" max="12285" width="9.109375" style="9"/>
    <col min="12286" max="12286" width="63.109375" style="9" customWidth="1"/>
    <col min="12287" max="12287" width="9.109375" style="9"/>
    <col min="12288" max="12288" width="14.109375" style="9" customWidth="1"/>
    <col min="12289" max="12289" width="12.109375" style="9" customWidth="1"/>
    <col min="12290" max="12290" width="12.44140625" style="9" customWidth="1"/>
    <col min="12291" max="12291" width="17.33203125" style="9" customWidth="1"/>
    <col min="12292" max="12292" width="16.88671875" style="9" customWidth="1"/>
    <col min="12293" max="12293" width="15.88671875" style="9" customWidth="1"/>
    <col min="12294" max="12541" width="9.109375" style="9"/>
    <col min="12542" max="12542" width="63.109375" style="9" customWidth="1"/>
    <col min="12543" max="12543" width="9.109375" style="9"/>
    <col min="12544" max="12544" width="14.109375" style="9" customWidth="1"/>
    <col min="12545" max="12545" width="12.109375" style="9" customWidth="1"/>
    <col min="12546" max="12546" width="12.44140625" style="9" customWidth="1"/>
    <col min="12547" max="12547" width="17.33203125" style="9" customWidth="1"/>
    <col min="12548" max="12548" width="16.88671875" style="9" customWidth="1"/>
    <col min="12549" max="12549" width="15.88671875" style="9" customWidth="1"/>
    <col min="12550" max="12797" width="9.109375" style="9"/>
    <col min="12798" max="12798" width="63.109375" style="9" customWidth="1"/>
    <col min="12799" max="12799" width="9.109375" style="9"/>
    <col min="12800" max="12800" width="14.109375" style="9" customWidth="1"/>
    <col min="12801" max="12801" width="12.109375" style="9" customWidth="1"/>
    <col min="12802" max="12802" width="12.44140625" style="9" customWidth="1"/>
    <col min="12803" max="12803" width="17.33203125" style="9" customWidth="1"/>
    <col min="12804" max="12804" width="16.88671875" style="9" customWidth="1"/>
    <col min="12805" max="12805" width="15.88671875" style="9" customWidth="1"/>
    <col min="12806" max="13053" width="9.109375" style="9"/>
    <col min="13054" max="13054" width="63.109375" style="9" customWidth="1"/>
    <col min="13055" max="13055" width="9.109375" style="9"/>
    <col min="13056" max="13056" width="14.109375" style="9" customWidth="1"/>
    <col min="13057" max="13057" width="12.109375" style="9" customWidth="1"/>
    <col min="13058" max="13058" width="12.44140625" style="9" customWidth="1"/>
    <col min="13059" max="13059" width="17.33203125" style="9" customWidth="1"/>
    <col min="13060" max="13060" width="16.88671875" style="9" customWidth="1"/>
    <col min="13061" max="13061" width="15.88671875" style="9" customWidth="1"/>
    <col min="13062" max="13309" width="9.109375" style="9"/>
    <col min="13310" max="13310" width="63.109375" style="9" customWidth="1"/>
    <col min="13311" max="13311" width="9.109375" style="9"/>
    <col min="13312" max="13312" width="14.109375" style="9" customWidth="1"/>
    <col min="13313" max="13313" width="12.109375" style="9" customWidth="1"/>
    <col min="13314" max="13314" width="12.44140625" style="9" customWidth="1"/>
    <col min="13315" max="13315" width="17.33203125" style="9" customWidth="1"/>
    <col min="13316" max="13316" width="16.88671875" style="9" customWidth="1"/>
    <col min="13317" max="13317" width="15.88671875" style="9" customWidth="1"/>
    <col min="13318" max="13565" width="9.109375" style="9"/>
    <col min="13566" max="13566" width="63.109375" style="9" customWidth="1"/>
    <col min="13567" max="13567" width="9.109375" style="9"/>
    <col min="13568" max="13568" width="14.109375" style="9" customWidth="1"/>
    <col min="13569" max="13569" width="12.109375" style="9" customWidth="1"/>
    <col min="13570" max="13570" width="12.44140625" style="9" customWidth="1"/>
    <col min="13571" max="13571" width="17.33203125" style="9" customWidth="1"/>
    <col min="13572" max="13572" width="16.88671875" style="9" customWidth="1"/>
    <col min="13573" max="13573" width="15.88671875" style="9" customWidth="1"/>
    <col min="13574" max="13821" width="9.109375" style="9"/>
    <col min="13822" max="13822" width="63.109375" style="9" customWidth="1"/>
    <col min="13823" max="13823" width="9.109375" style="9"/>
    <col min="13824" max="13824" width="14.109375" style="9" customWidth="1"/>
    <col min="13825" max="13825" width="12.109375" style="9" customWidth="1"/>
    <col min="13826" max="13826" width="12.44140625" style="9" customWidth="1"/>
    <col min="13827" max="13827" width="17.33203125" style="9" customWidth="1"/>
    <col min="13828" max="13828" width="16.88671875" style="9" customWidth="1"/>
    <col min="13829" max="13829" width="15.88671875" style="9" customWidth="1"/>
    <col min="13830" max="14077" width="9.109375" style="9"/>
    <col min="14078" max="14078" width="63.109375" style="9" customWidth="1"/>
    <col min="14079" max="14079" width="9.109375" style="9"/>
    <col min="14080" max="14080" width="14.109375" style="9" customWidth="1"/>
    <col min="14081" max="14081" width="12.109375" style="9" customWidth="1"/>
    <col min="14082" max="14082" width="12.44140625" style="9" customWidth="1"/>
    <col min="14083" max="14083" width="17.33203125" style="9" customWidth="1"/>
    <col min="14084" max="14084" width="16.88671875" style="9" customWidth="1"/>
    <col min="14085" max="14085" width="15.88671875" style="9" customWidth="1"/>
    <col min="14086" max="14333" width="9.109375" style="9"/>
    <col min="14334" max="14334" width="63.109375" style="9" customWidth="1"/>
    <col min="14335" max="14335" width="9.109375" style="9"/>
    <col min="14336" max="14336" width="14.109375" style="9" customWidth="1"/>
    <col min="14337" max="14337" width="12.109375" style="9" customWidth="1"/>
    <col min="14338" max="14338" width="12.44140625" style="9" customWidth="1"/>
    <col min="14339" max="14339" width="17.33203125" style="9" customWidth="1"/>
    <col min="14340" max="14340" width="16.88671875" style="9" customWidth="1"/>
    <col min="14341" max="14341" width="15.88671875" style="9" customWidth="1"/>
    <col min="14342" max="14589" width="9.109375" style="9"/>
    <col min="14590" max="14590" width="63.109375" style="9" customWidth="1"/>
    <col min="14591" max="14591" width="9.109375" style="9"/>
    <col min="14592" max="14592" width="14.109375" style="9" customWidth="1"/>
    <col min="14593" max="14593" width="12.109375" style="9" customWidth="1"/>
    <col min="14594" max="14594" width="12.44140625" style="9" customWidth="1"/>
    <col min="14595" max="14595" width="17.33203125" style="9" customWidth="1"/>
    <col min="14596" max="14596" width="16.88671875" style="9" customWidth="1"/>
    <col min="14597" max="14597" width="15.88671875" style="9" customWidth="1"/>
    <col min="14598" max="14845" width="9.109375" style="9"/>
    <col min="14846" max="14846" width="63.109375" style="9" customWidth="1"/>
    <col min="14847" max="14847" width="9.109375" style="9"/>
    <col min="14848" max="14848" width="14.109375" style="9" customWidth="1"/>
    <col min="14849" max="14849" width="12.109375" style="9" customWidth="1"/>
    <col min="14850" max="14850" width="12.44140625" style="9" customWidth="1"/>
    <col min="14851" max="14851" width="17.33203125" style="9" customWidth="1"/>
    <col min="14852" max="14852" width="16.88671875" style="9" customWidth="1"/>
    <col min="14853" max="14853" width="15.88671875" style="9" customWidth="1"/>
    <col min="14854" max="15101" width="9.109375" style="9"/>
    <col min="15102" max="15102" width="63.109375" style="9" customWidth="1"/>
    <col min="15103" max="15103" width="9.109375" style="9"/>
    <col min="15104" max="15104" width="14.109375" style="9" customWidth="1"/>
    <col min="15105" max="15105" width="12.109375" style="9" customWidth="1"/>
    <col min="15106" max="15106" width="12.44140625" style="9" customWidth="1"/>
    <col min="15107" max="15107" width="17.33203125" style="9" customWidth="1"/>
    <col min="15108" max="15108" width="16.88671875" style="9" customWidth="1"/>
    <col min="15109" max="15109" width="15.88671875" style="9" customWidth="1"/>
    <col min="15110" max="15357" width="9.109375" style="9"/>
    <col min="15358" max="15358" width="63.109375" style="9" customWidth="1"/>
    <col min="15359" max="15359" width="9.109375" style="9"/>
    <col min="15360" max="15360" width="14.109375" style="9" customWidth="1"/>
    <col min="15361" max="15361" width="12.109375" style="9" customWidth="1"/>
    <col min="15362" max="15362" width="12.44140625" style="9" customWidth="1"/>
    <col min="15363" max="15363" width="17.33203125" style="9" customWidth="1"/>
    <col min="15364" max="15364" width="16.88671875" style="9" customWidth="1"/>
    <col min="15365" max="15365" width="15.88671875" style="9" customWidth="1"/>
    <col min="15366" max="15613" width="9.109375" style="9"/>
    <col min="15614" max="15614" width="63.109375" style="9" customWidth="1"/>
    <col min="15615" max="15615" width="9.109375" style="9"/>
    <col min="15616" max="15616" width="14.109375" style="9" customWidth="1"/>
    <col min="15617" max="15617" width="12.109375" style="9" customWidth="1"/>
    <col min="15618" max="15618" width="12.44140625" style="9" customWidth="1"/>
    <col min="15619" max="15619" width="17.33203125" style="9" customWidth="1"/>
    <col min="15620" max="15620" width="16.88671875" style="9" customWidth="1"/>
    <col min="15621" max="15621" width="15.88671875" style="9" customWidth="1"/>
    <col min="15622" max="15869" width="9.109375" style="9"/>
    <col min="15870" max="15870" width="63.109375" style="9" customWidth="1"/>
    <col min="15871" max="15871" width="9.109375" style="9"/>
    <col min="15872" max="15872" width="14.109375" style="9" customWidth="1"/>
    <col min="15873" max="15873" width="12.109375" style="9" customWidth="1"/>
    <col min="15874" max="15874" width="12.44140625" style="9" customWidth="1"/>
    <col min="15875" max="15875" width="17.33203125" style="9" customWidth="1"/>
    <col min="15876" max="15876" width="16.88671875" style="9" customWidth="1"/>
    <col min="15877" max="15877" width="15.88671875" style="9" customWidth="1"/>
    <col min="15878" max="16125" width="9.109375" style="9"/>
    <col min="16126" max="16126" width="63.109375" style="9" customWidth="1"/>
    <col min="16127" max="16127" width="9.109375" style="9"/>
    <col min="16128" max="16128" width="14.109375" style="9" customWidth="1"/>
    <col min="16129" max="16129" width="12.109375" style="9" customWidth="1"/>
    <col min="16130" max="16130" width="12.44140625" style="9" customWidth="1"/>
    <col min="16131" max="16131" width="17.33203125" style="9" customWidth="1"/>
    <col min="16132" max="16132" width="16.88671875" style="9" customWidth="1"/>
    <col min="16133" max="16133" width="15.88671875" style="9" customWidth="1"/>
    <col min="16134" max="16384" width="9.109375" style="9"/>
  </cols>
  <sheetData>
    <row r="1" spans="1:9" x14ac:dyDescent="0.3">
      <c r="A1" s="1433" t="s">
        <v>22</v>
      </c>
      <c r="B1" s="1435" t="s">
        <v>1</v>
      </c>
      <c r="C1" s="1437" t="s">
        <v>23</v>
      </c>
      <c r="D1" s="1439" t="s">
        <v>24</v>
      </c>
      <c r="E1" s="1392" t="s">
        <v>25</v>
      </c>
      <c r="F1" s="1392"/>
      <c r="G1" s="1423" t="s">
        <v>26</v>
      </c>
      <c r="H1" s="1423"/>
      <c r="I1" s="1423" t="s">
        <v>27</v>
      </c>
    </row>
    <row r="2" spans="1:9" x14ac:dyDescent="0.3">
      <c r="A2" s="1434"/>
      <c r="B2" s="1436"/>
      <c r="C2" s="1438"/>
      <c r="D2" s="1440"/>
      <c r="E2" s="10" t="s">
        <v>28</v>
      </c>
      <c r="F2" s="10" t="s">
        <v>29</v>
      </c>
      <c r="G2" s="1037" t="s">
        <v>28</v>
      </c>
      <c r="H2" s="1037" t="s">
        <v>30</v>
      </c>
      <c r="I2" s="1423"/>
    </row>
    <row r="3" spans="1:9" s="22" customFormat="1" collapsed="1" x14ac:dyDescent="0.3">
      <c r="A3" s="17" t="s">
        <v>32</v>
      </c>
      <c r="B3" s="18" t="s">
        <v>2</v>
      </c>
      <c r="C3" s="19" t="s">
        <v>34</v>
      </c>
      <c r="D3" s="20">
        <f>SUM(D4,D8:D10)</f>
        <v>4624.26</v>
      </c>
      <c r="E3" s="1065"/>
      <c r="F3" s="1065"/>
      <c r="G3" s="1066">
        <f>SUM(G4:G10)</f>
        <v>644704.19999999995</v>
      </c>
      <c r="H3" s="1066"/>
      <c r="I3" s="1066">
        <f>SUM(I4:I10)</f>
        <v>644704.19999999995</v>
      </c>
    </row>
    <row r="4" spans="1:9" hidden="1" outlineLevel="1" x14ac:dyDescent="0.3">
      <c r="A4" s="39" t="s">
        <v>33</v>
      </c>
      <c r="B4" s="1128" t="s">
        <v>1084</v>
      </c>
      <c r="C4" s="176" t="s">
        <v>34</v>
      </c>
      <c r="D4" s="1129">
        <f>SUM(D5:D6)</f>
        <v>3385.16</v>
      </c>
      <c r="E4" s="1130"/>
      <c r="F4" s="108"/>
      <c r="G4" s="1067"/>
      <c r="H4" s="1067"/>
      <c r="I4" s="1067"/>
    </row>
    <row r="5" spans="1:9" hidden="1" outlineLevel="1" x14ac:dyDescent="0.3">
      <c r="A5" s="39" t="s">
        <v>1082</v>
      </c>
      <c r="B5" s="1128" t="s">
        <v>1079</v>
      </c>
      <c r="C5" s="176" t="s">
        <v>34</v>
      </c>
      <c r="D5" s="1131">
        <v>2659</v>
      </c>
      <c r="E5" s="108">
        <v>120</v>
      </c>
      <c r="F5" s="108"/>
      <c r="G5" s="1067">
        <f t="shared" ref="G5:G8" si="0">D5*E5</f>
        <v>319080</v>
      </c>
      <c r="H5" s="1067"/>
      <c r="I5" s="1067">
        <f t="shared" ref="I5:I10" si="1">G5+H5</f>
        <v>319080</v>
      </c>
    </row>
    <row r="6" spans="1:9" hidden="1" outlineLevel="1" x14ac:dyDescent="0.3">
      <c r="A6" s="39" t="s">
        <v>1083</v>
      </c>
      <c r="B6" s="1128" t="s">
        <v>1080</v>
      </c>
      <c r="C6" s="176" t="s">
        <v>34</v>
      </c>
      <c r="D6" s="1131">
        <v>726.16</v>
      </c>
      <c r="E6" s="108">
        <v>120</v>
      </c>
      <c r="F6" s="108"/>
      <c r="G6" s="1067">
        <f t="shared" si="0"/>
        <v>87139.199999999997</v>
      </c>
      <c r="H6" s="1067"/>
      <c r="I6" s="1067">
        <f t="shared" si="1"/>
        <v>87139.199999999997</v>
      </c>
    </row>
    <row r="7" spans="1:9" hidden="1" outlineLevel="1" x14ac:dyDescent="0.3">
      <c r="A7" s="39" t="s">
        <v>35</v>
      </c>
      <c r="B7" s="1128" t="s">
        <v>1081</v>
      </c>
      <c r="C7" s="176" t="s">
        <v>34</v>
      </c>
      <c r="D7" s="1131">
        <v>105.24</v>
      </c>
      <c r="E7" s="146">
        <v>500</v>
      </c>
      <c r="F7" s="108"/>
      <c r="G7" s="1067">
        <f t="shared" si="0"/>
        <v>52620</v>
      </c>
      <c r="H7" s="1067"/>
      <c r="I7" s="1067">
        <f t="shared" si="1"/>
        <v>52620</v>
      </c>
    </row>
    <row r="8" spans="1:9" hidden="1" outlineLevel="1" x14ac:dyDescent="0.3">
      <c r="A8" s="39" t="s">
        <v>37</v>
      </c>
      <c r="B8" s="41" t="s">
        <v>36</v>
      </c>
      <c r="C8" s="42" t="s">
        <v>34</v>
      </c>
      <c r="D8" s="1132">
        <f>SUM(D4,-2163)</f>
        <v>1222.1599999999999</v>
      </c>
      <c r="E8" s="108">
        <v>150</v>
      </c>
      <c r="F8" s="108"/>
      <c r="G8" s="1067">
        <f t="shared" si="0"/>
        <v>183323.99999999997</v>
      </c>
      <c r="H8" s="1067"/>
      <c r="I8" s="1067">
        <f t="shared" si="1"/>
        <v>183323.99999999997</v>
      </c>
    </row>
    <row r="9" spans="1:9" ht="28.8" hidden="1" outlineLevel="1" x14ac:dyDescent="0.3">
      <c r="A9" s="39" t="s">
        <v>39</v>
      </c>
      <c r="B9" s="65" t="s">
        <v>38</v>
      </c>
      <c r="C9" s="66" t="s">
        <v>34</v>
      </c>
      <c r="D9" s="1133">
        <f>7.87+3.68</f>
        <v>11.55</v>
      </c>
      <c r="E9" s="108">
        <v>150</v>
      </c>
      <c r="F9" s="108"/>
      <c r="G9" s="1067">
        <f>D9*E9</f>
        <v>1732.5</v>
      </c>
      <c r="H9" s="1067"/>
      <c r="I9" s="1067">
        <f t="shared" si="1"/>
        <v>1732.5</v>
      </c>
    </row>
    <row r="10" spans="1:9" ht="28.8" hidden="1" outlineLevel="1" x14ac:dyDescent="0.3">
      <c r="A10" s="39" t="s">
        <v>495</v>
      </c>
      <c r="B10" s="65" t="s">
        <v>40</v>
      </c>
      <c r="C10" s="42" t="s">
        <v>34</v>
      </c>
      <c r="D10" s="1134">
        <v>5.39</v>
      </c>
      <c r="E10" s="108">
        <v>150</v>
      </c>
      <c r="F10" s="108"/>
      <c r="G10" s="1067">
        <f>D10*E10</f>
        <v>808.5</v>
      </c>
      <c r="H10" s="1067"/>
      <c r="I10" s="1067">
        <f t="shared" si="1"/>
        <v>808.5</v>
      </c>
    </row>
    <row r="11" spans="1:9" s="22" customFormat="1" collapsed="1" x14ac:dyDescent="0.3">
      <c r="A11" s="17" t="s">
        <v>41</v>
      </c>
      <c r="B11" s="18" t="s">
        <v>1087</v>
      </c>
      <c r="C11" s="19" t="s">
        <v>44</v>
      </c>
      <c r="D11" s="38">
        <f>SUM(D14)</f>
        <v>403</v>
      </c>
      <c r="E11" s="1065"/>
      <c r="F11" s="1065"/>
      <c r="G11" s="1066">
        <f>SUM(G12:G16)</f>
        <v>5648045</v>
      </c>
      <c r="H11" s="1066">
        <f>SUM(H12:H16)</f>
        <v>15314000</v>
      </c>
      <c r="I11" s="1066">
        <f>SUM(I12:I16)</f>
        <v>20962045</v>
      </c>
    </row>
    <row r="12" spans="1:9" s="22" customFormat="1" hidden="1" outlineLevel="1" x14ac:dyDescent="0.3">
      <c r="A12" s="39" t="s">
        <v>42</v>
      </c>
      <c r="B12" s="175" t="s">
        <v>1085</v>
      </c>
      <c r="C12" s="176" t="s">
        <v>44</v>
      </c>
      <c r="D12" s="43">
        <f>398+5</f>
        <v>403</v>
      </c>
      <c r="E12" s="108">
        <v>150</v>
      </c>
      <c r="F12" s="108"/>
      <c r="G12" s="1067">
        <f>D12*E12</f>
        <v>60450</v>
      </c>
      <c r="H12" s="1067"/>
      <c r="I12" s="1067">
        <f>G12+H12</f>
        <v>60450</v>
      </c>
    </row>
    <row r="13" spans="1:9" hidden="1" outlineLevel="1" x14ac:dyDescent="0.3">
      <c r="A13" s="39"/>
      <c r="B13" s="1128" t="s">
        <v>1088</v>
      </c>
      <c r="C13" s="176" t="s">
        <v>43</v>
      </c>
      <c r="D13" s="43">
        <f>403*20</f>
        <v>8060</v>
      </c>
      <c r="E13" s="108">
        <v>650</v>
      </c>
      <c r="F13" s="108"/>
      <c r="G13" s="1067">
        <f>D13*E13</f>
        <v>5239000</v>
      </c>
      <c r="H13" s="1067"/>
      <c r="I13" s="1067">
        <f>G13+H13</f>
        <v>5239000</v>
      </c>
    </row>
    <row r="14" spans="1:9" ht="28.8" hidden="1" outlineLevel="1" x14ac:dyDescent="0.3">
      <c r="A14" s="39" t="s">
        <v>45</v>
      </c>
      <c r="B14" s="175" t="s">
        <v>1086</v>
      </c>
      <c r="C14" s="176" t="s">
        <v>44</v>
      </c>
      <c r="D14" s="43">
        <f>398+5</f>
        <v>403</v>
      </c>
      <c r="E14" s="1135"/>
      <c r="F14" s="108">
        <v>38000</v>
      </c>
      <c r="G14" s="1136"/>
      <c r="H14" s="1067">
        <f>D14*F14</f>
        <v>15314000</v>
      </c>
      <c r="I14" s="1067">
        <f>G14+H14</f>
        <v>15314000</v>
      </c>
    </row>
    <row r="15" spans="1:9" hidden="1" outlineLevel="1" x14ac:dyDescent="0.3">
      <c r="A15" s="39" t="s">
        <v>47</v>
      </c>
      <c r="B15" s="1128" t="s">
        <v>46</v>
      </c>
      <c r="C15" s="176" t="s">
        <v>44</v>
      </c>
      <c r="D15" s="43">
        <v>403</v>
      </c>
      <c r="E15" s="108">
        <v>515</v>
      </c>
      <c r="F15" s="108"/>
      <c r="G15" s="1067">
        <f>D15*E15</f>
        <v>207545</v>
      </c>
      <c r="H15" s="1067"/>
      <c r="I15" s="1067">
        <f>G15+H15</f>
        <v>207545</v>
      </c>
    </row>
    <row r="16" spans="1:9" hidden="1" outlineLevel="1" x14ac:dyDescent="0.3">
      <c r="A16" s="39" t="s">
        <v>500</v>
      </c>
      <c r="B16" s="1128" t="s">
        <v>48</v>
      </c>
      <c r="C16" s="176" t="s">
        <v>44</v>
      </c>
      <c r="D16" s="43">
        <v>403</v>
      </c>
      <c r="E16" s="108">
        <v>350</v>
      </c>
      <c r="F16" s="108"/>
      <c r="G16" s="1067">
        <f>D16*E16</f>
        <v>141050</v>
      </c>
      <c r="H16" s="1067"/>
      <c r="I16" s="1067">
        <f>G16+H16</f>
        <v>141050</v>
      </c>
    </row>
    <row r="17" spans="1:9" collapsed="1" x14ac:dyDescent="0.3">
      <c r="A17" s="17" t="s">
        <v>49</v>
      </c>
      <c r="B17" s="18" t="s">
        <v>2625</v>
      </c>
      <c r="C17" s="19" t="s">
        <v>34</v>
      </c>
      <c r="D17" s="38">
        <f>SUM(D20,D43,D55,D66,D77,D85,D115,D122,D134,D147,D196,D205,D214,D223,D244,D260)</f>
        <v>6372.6478000000006</v>
      </c>
      <c r="E17" s="1065"/>
      <c r="F17" s="1065"/>
      <c r="G17" s="1066">
        <f t="shared" ref="G17:H17" si="2">SUM(G18:G275)</f>
        <v>17547759.676666662</v>
      </c>
      <c r="H17" s="1066">
        <f t="shared" si="2"/>
        <v>64421191.068665639</v>
      </c>
      <c r="I17" s="1066">
        <f>SUM(I18:I275)</f>
        <v>81968950.74533233</v>
      </c>
    </row>
    <row r="18" spans="1:9" s="22" customFormat="1" ht="28.8" hidden="1" outlineLevel="1" x14ac:dyDescent="0.3">
      <c r="A18" s="39" t="s">
        <v>50</v>
      </c>
      <c r="B18" s="41" t="s">
        <v>51</v>
      </c>
      <c r="C18" s="42" t="s">
        <v>34</v>
      </c>
      <c r="D18" s="43">
        <v>82.6</v>
      </c>
      <c r="E18" s="108">
        <v>1560</v>
      </c>
      <c r="F18" s="108"/>
      <c r="G18" s="1067">
        <f>D18*E18</f>
        <v>128855.99999999999</v>
      </c>
      <c r="H18" s="1067">
        <f>D18*F18</f>
        <v>0</v>
      </c>
      <c r="I18" s="1067">
        <f>G18+H18</f>
        <v>128855.99999999999</v>
      </c>
    </row>
    <row r="19" spans="1:9" hidden="1" outlineLevel="1" x14ac:dyDescent="0.3">
      <c r="A19" s="39"/>
      <c r="B19" s="63" t="s">
        <v>52</v>
      </c>
      <c r="C19" s="42" t="s">
        <v>34</v>
      </c>
      <c r="D19" s="43">
        <f>D18*1.05</f>
        <v>86.73</v>
      </c>
      <c r="E19" s="108"/>
      <c r="F19" s="108">
        <v>4300</v>
      </c>
      <c r="G19" s="1067">
        <f t="shared" ref="G19:G82" si="3">D19*E19</f>
        <v>0</v>
      </c>
      <c r="H19" s="1067">
        <f t="shared" ref="H19:H82" si="4">D19*F19</f>
        <v>372939</v>
      </c>
      <c r="I19" s="1067">
        <f t="shared" ref="I19:I82" si="5">G19+H19</f>
        <v>372939</v>
      </c>
    </row>
    <row r="20" spans="1:9" s="22" customFormat="1" hidden="1" outlineLevel="1" x14ac:dyDescent="0.3">
      <c r="A20" s="39" t="s">
        <v>53</v>
      </c>
      <c r="B20" s="41" t="s">
        <v>54</v>
      </c>
      <c r="C20" s="42" t="s">
        <v>34</v>
      </c>
      <c r="D20" s="43">
        <v>860.6</v>
      </c>
      <c r="E20" s="108">
        <v>1560</v>
      </c>
      <c r="F20" s="108"/>
      <c r="G20" s="1067">
        <f t="shared" si="3"/>
        <v>1342536</v>
      </c>
      <c r="H20" s="1067">
        <f t="shared" si="4"/>
        <v>0</v>
      </c>
      <c r="I20" s="1067">
        <f t="shared" si="5"/>
        <v>1342536</v>
      </c>
    </row>
    <row r="21" spans="1:9" hidden="1" outlineLevel="1" x14ac:dyDescent="0.3">
      <c r="A21" s="39" t="s">
        <v>55</v>
      </c>
      <c r="B21" s="63" t="s">
        <v>56</v>
      </c>
      <c r="C21" s="42" t="s">
        <v>34</v>
      </c>
      <c r="D21" s="43">
        <f>D20*1.05</f>
        <v>903.63000000000011</v>
      </c>
      <c r="E21" s="108"/>
      <c r="F21" s="108">
        <v>5450</v>
      </c>
      <c r="G21" s="1067">
        <f t="shared" si="3"/>
        <v>0</v>
      </c>
      <c r="H21" s="1067">
        <f t="shared" si="4"/>
        <v>4924783.5000000009</v>
      </c>
      <c r="I21" s="1067">
        <f t="shared" si="5"/>
        <v>4924783.5000000009</v>
      </c>
    </row>
    <row r="22" spans="1:9" hidden="1" outlineLevel="1" x14ac:dyDescent="0.3">
      <c r="A22" s="39" t="s">
        <v>57</v>
      </c>
      <c r="B22" s="63" t="s">
        <v>58</v>
      </c>
      <c r="C22" s="42" t="s">
        <v>44</v>
      </c>
      <c r="D22" s="43">
        <v>5996</v>
      </c>
      <c r="E22" s="108"/>
      <c r="F22" s="108">
        <v>13</v>
      </c>
      <c r="G22" s="1067">
        <f t="shared" si="3"/>
        <v>0</v>
      </c>
      <c r="H22" s="1067">
        <f t="shared" si="4"/>
        <v>77948</v>
      </c>
      <c r="I22" s="1067">
        <f t="shared" si="5"/>
        <v>77948</v>
      </c>
    </row>
    <row r="23" spans="1:9" hidden="1" outlineLevel="1" x14ac:dyDescent="0.3">
      <c r="A23" s="39" t="s">
        <v>59</v>
      </c>
      <c r="B23" s="1137" t="s">
        <v>60</v>
      </c>
      <c r="C23" s="42"/>
      <c r="D23" s="43">
        <f>SUM(D24:D33)</f>
        <v>72.389840880000008</v>
      </c>
      <c r="E23" s="108"/>
      <c r="F23" s="108"/>
      <c r="G23" s="1067">
        <f t="shared" si="3"/>
        <v>0</v>
      </c>
      <c r="H23" s="1067">
        <f t="shared" si="4"/>
        <v>0</v>
      </c>
      <c r="I23" s="1067">
        <f t="shared" si="5"/>
        <v>0</v>
      </c>
    </row>
    <row r="24" spans="1:9" hidden="1" outlineLevel="1" x14ac:dyDescent="0.3">
      <c r="A24" s="39"/>
      <c r="B24" s="63" t="s">
        <v>61</v>
      </c>
      <c r="C24" s="42" t="s">
        <v>62</v>
      </c>
      <c r="D24" s="43">
        <f>(33740+25029.8)/1000</f>
        <v>58.769800000000004</v>
      </c>
      <c r="E24" s="108"/>
      <c r="F24" s="108">
        <v>35100</v>
      </c>
      <c r="G24" s="1067">
        <f t="shared" si="3"/>
        <v>0</v>
      </c>
      <c r="H24" s="1067">
        <f t="shared" si="4"/>
        <v>2062819.9800000002</v>
      </c>
      <c r="I24" s="1067">
        <f t="shared" si="5"/>
        <v>2062819.9800000002</v>
      </c>
    </row>
    <row r="25" spans="1:9" hidden="1" outlineLevel="1" x14ac:dyDescent="0.3">
      <c r="A25" s="39"/>
      <c r="B25" s="63" t="s">
        <v>63</v>
      </c>
      <c r="C25" s="42" t="s">
        <v>62</v>
      </c>
      <c r="D25" s="43">
        <f>2860.8/1000</f>
        <v>2.8608000000000002</v>
      </c>
      <c r="E25" s="108"/>
      <c r="F25" s="108">
        <v>35800</v>
      </c>
      <c r="G25" s="1067">
        <f t="shared" si="3"/>
        <v>0</v>
      </c>
      <c r="H25" s="1067">
        <f t="shared" si="4"/>
        <v>102416.64000000001</v>
      </c>
      <c r="I25" s="1067">
        <f t="shared" si="5"/>
        <v>102416.64000000001</v>
      </c>
    </row>
    <row r="26" spans="1:9" hidden="1" outlineLevel="1" x14ac:dyDescent="0.3">
      <c r="A26" s="39"/>
      <c r="B26" s="63" t="s">
        <v>1792</v>
      </c>
      <c r="C26" s="42" t="s">
        <v>62</v>
      </c>
      <c r="D26" s="43">
        <f>(3283.1+230.4)/1000</f>
        <v>3.5135000000000001</v>
      </c>
      <c r="E26" s="108"/>
      <c r="F26" s="108">
        <v>33500</v>
      </c>
      <c r="G26" s="1067">
        <f t="shared" si="3"/>
        <v>0</v>
      </c>
      <c r="H26" s="1067">
        <f t="shared" si="4"/>
        <v>117702.25</v>
      </c>
      <c r="I26" s="1067">
        <f t="shared" si="5"/>
        <v>117702.25</v>
      </c>
    </row>
    <row r="27" spans="1:9" hidden="1" outlineLevel="1" x14ac:dyDescent="0.3">
      <c r="A27" s="39"/>
      <c r="B27" s="1138" t="s">
        <v>64</v>
      </c>
      <c r="C27" s="42"/>
      <c r="D27" s="43"/>
      <c r="E27" s="108"/>
      <c r="F27" s="108"/>
      <c r="G27" s="1067">
        <f t="shared" si="3"/>
        <v>0</v>
      </c>
      <c r="H27" s="1067">
        <f t="shared" si="4"/>
        <v>0</v>
      </c>
      <c r="I27" s="1067">
        <f t="shared" si="5"/>
        <v>0</v>
      </c>
    </row>
    <row r="28" spans="1:9" hidden="1" outlineLevel="1" x14ac:dyDescent="0.3">
      <c r="A28" s="39"/>
      <c r="B28" s="63" t="s">
        <v>61</v>
      </c>
      <c r="C28" s="42" t="s">
        <v>62</v>
      </c>
      <c r="D28" s="43">
        <f>(17.2*2+17.2*4+17.2*3+86*5+51.6*2+17.2*3+68.8*3+68.8*2+86*10+86*1+94.6*1+94.6*1+94.6*1+94.6*2+17.2*6+17.2+17.2*2)/1000</f>
        <v>2.6573999999999991</v>
      </c>
      <c r="E28" s="108"/>
      <c r="F28" s="108">
        <v>35100</v>
      </c>
      <c r="G28" s="1067">
        <f t="shared" si="3"/>
        <v>0</v>
      </c>
      <c r="H28" s="1067">
        <f t="shared" si="4"/>
        <v>93274.739999999962</v>
      </c>
      <c r="I28" s="1067">
        <f t="shared" si="5"/>
        <v>93274.739999999962</v>
      </c>
    </row>
    <row r="29" spans="1:9" hidden="1" outlineLevel="1" x14ac:dyDescent="0.3">
      <c r="A29" s="39"/>
      <c r="B29" s="63" t="s">
        <v>65</v>
      </c>
      <c r="C29" s="42" t="s">
        <v>62</v>
      </c>
      <c r="D29" s="43">
        <f>(26*2+31.2*3+20.8*2+26*3+72.8*6+83.2+83.2*2+1.59*88*1.58+3.9*29*1.58+3.88*16*1.58)/1000</f>
        <v>1.4494580000000001</v>
      </c>
      <c r="E29" s="108"/>
      <c r="F29" s="108">
        <v>33500</v>
      </c>
      <c r="G29" s="1067">
        <f t="shared" si="3"/>
        <v>0</v>
      </c>
      <c r="H29" s="1067">
        <f t="shared" si="4"/>
        <v>48556.843000000008</v>
      </c>
      <c r="I29" s="1067">
        <f t="shared" si="5"/>
        <v>48556.843000000008</v>
      </c>
    </row>
    <row r="30" spans="1:9" hidden="1" outlineLevel="1" x14ac:dyDescent="0.3">
      <c r="A30" s="39"/>
      <c r="B30" s="63" t="s">
        <v>66</v>
      </c>
      <c r="C30" s="42" t="s">
        <v>62</v>
      </c>
      <c r="D30" s="43">
        <f>(1.7*2+1.62*4+2.14*3+2.66*5+1.4*2+1.42*2+1.78*3+2.14*3+2.14*2+2.6*10+2.6+3.12+3.12+3.12+3.12*2+5.32*6+6.22+6.22*2+1.43*376*0.888+0.235*144*0.888+175.82+1.43*12*0.888+1.08*2*0.888+0.19*2*0.888+347.74+3.475*463*0.888+105.14+3.455*116*0.888)/1000</f>
        <v>3.0843813999999998</v>
      </c>
      <c r="E30" s="108"/>
      <c r="F30" s="108">
        <v>34400</v>
      </c>
      <c r="G30" s="1067">
        <f t="shared" si="3"/>
        <v>0</v>
      </c>
      <c r="H30" s="1067">
        <f t="shared" si="4"/>
        <v>106102.72016</v>
      </c>
      <c r="I30" s="1067">
        <f t="shared" si="5"/>
        <v>106102.72016</v>
      </c>
    </row>
    <row r="31" spans="1:9" hidden="1" outlineLevel="1" x14ac:dyDescent="0.3">
      <c r="A31" s="39"/>
      <c r="B31" s="63" t="s">
        <v>67</v>
      </c>
      <c r="C31" s="42" t="s">
        <v>62</v>
      </c>
      <c r="D31" s="43">
        <f>(0.21*276*0.617+0.16*78*0.617)/1000</f>
        <v>4.3461479999999997E-2</v>
      </c>
      <c r="E31" s="108"/>
      <c r="F31" s="108">
        <v>35000</v>
      </c>
      <c r="G31" s="1067">
        <f t="shared" si="3"/>
        <v>0</v>
      </c>
      <c r="H31" s="1067">
        <f t="shared" si="4"/>
        <v>1521.1517999999999</v>
      </c>
      <c r="I31" s="1067">
        <f t="shared" si="5"/>
        <v>1521.1517999999999</v>
      </c>
    </row>
    <row r="32" spans="1:9" hidden="1" outlineLevel="1" x14ac:dyDescent="0.3">
      <c r="A32" s="39"/>
      <c r="B32" s="63" t="s">
        <v>68</v>
      </c>
      <c r="C32" s="42" t="s">
        <v>62</v>
      </c>
      <c r="D32" s="43">
        <f>(0.16*2+0.16*4)/1000</f>
        <v>9.5999999999999992E-4</v>
      </c>
      <c r="E32" s="108"/>
      <c r="F32" s="108">
        <v>39400</v>
      </c>
      <c r="G32" s="1067">
        <f t="shared" si="3"/>
        <v>0</v>
      </c>
      <c r="H32" s="1067">
        <f t="shared" si="4"/>
        <v>37.823999999999998</v>
      </c>
      <c r="I32" s="1067">
        <f t="shared" si="5"/>
        <v>37.823999999999998</v>
      </c>
    </row>
    <row r="33" spans="1:9" hidden="1" outlineLevel="1" x14ac:dyDescent="0.3">
      <c r="A33" s="39"/>
      <c r="B33" s="63" t="s">
        <v>69</v>
      </c>
      <c r="C33" s="42" t="s">
        <v>62</v>
      </c>
      <c r="D33" s="43">
        <f>(0.24*3+0.24*5+0.24*2+0.16*3+0.24*3+0.24*2+0.16*10+0.24+0.24+0.24+0.24+0.24*2+0.32*6+0.4+0.32*2)/1000</f>
        <v>1.0080000000000002E-2</v>
      </c>
      <c r="E33" s="108"/>
      <c r="F33" s="108">
        <v>40000</v>
      </c>
      <c r="G33" s="1067">
        <f t="shared" si="3"/>
        <v>0</v>
      </c>
      <c r="H33" s="1067">
        <f t="shared" si="4"/>
        <v>403.2000000000001</v>
      </c>
      <c r="I33" s="1067">
        <f t="shared" si="5"/>
        <v>403.2000000000001</v>
      </c>
    </row>
    <row r="34" spans="1:9" hidden="1" outlineLevel="1" x14ac:dyDescent="0.3">
      <c r="A34" s="39" t="s">
        <v>70</v>
      </c>
      <c r="B34" s="63" t="s">
        <v>71</v>
      </c>
      <c r="C34" s="42" t="s">
        <v>62</v>
      </c>
      <c r="D34" s="43">
        <f>D23*0.02</f>
        <v>1.4477968176000002</v>
      </c>
      <c r="E34" s="108"/>
      <c r="F34" s="108">
        <v>53104</v>
      </c>
      <c r="G34" s="1067">
        <f t="shared" si="3"/>
        <v>0</v>
      </c>
      <c r="H34" s="1067">
        <f t="shared" si="4"/>
        <v>76883.802201830418</v>
      </c>
      <c r="I34" s="1067">
        <f t="shared" si="5"/>
        <v>76883.802201830418</v>
      </c>
    </row>
    <row r="35" spans="1:9" s="22" customFormat="1" ht="28.8" hidden="1" outlineLevel="1" x14ac:dyDescent="0.3">
      <c r="A35" s="39" t="s">
        <v>72</v>
      </c>
      <c r="B35" s="41" t="s">
        <v>73</v>
      </c>
      <c r="C35" s="48" t="s">
        <v>74</v>
      </c>
      <c r="D35" s="43">
        <v>528</v>
      </c>
      <c r="E35" s="108">
        <v>60</v>
      </c>
      <c r="F35" s="108"/>
      <c r="G35" s="1067">
        <f t="shared" si="3"/>
        <v>31680</v>
      </c>
      <c r="H35" s="1067">
        <f t="shared" si="4"/>
        <v>0</v>
      </c>
      <c r="I35" s="1067">
        <f t="shared" si="5"/>
        <v>31680</v>
      </c>
    </row>
    <row r="36" spans="1:9" hidden="1" outlineLevel="1" x14ac:dyDescent="0.3">
      <c r="A36" s="39" t="s">
        <v>75</v>
      </c>
      <c r="B36" s="41" t="s">
        <v>76</v>
      </c>
      <c r="C36" s="42" t="s">
        <v>74</v>
      </c>
      <c r="D36" s="43">
        <v>1203.8399999999999</v>
      </c>
      <c r="E36" s="108"/>
      <c r="F36" s="108">
        <v>209.96</v>
      </c>
      <c r="G36" s="1067">
        <f t="shared" si="3"/>
        <v>0</v>
      </c>
      <c r="H36" s="1067">
        <f t="shared" si="4"/>
        <v>252758.2464</v>
      </c>
      <c r="I36" s="1067">
        <f t="shared" si="5"/>
        <v>252758.2464</v>
      </c>
    </row>
    <row r="37" spans="1:9" hidden="1" outlineLevel="1" x14ac:dyDescent="0.3">
      <c r="A37" s="39" t="s">
        <v>77</v>
      </c>
      <c r="B37" s="41" t="s">
        <v>78</v>
      </c>
      <c r="C37" s="42" t="s">
        <v>79</v>
      </c>
      <c r="D37" s="43">
        <f>184.8*1.25</f>
        <v>231</v>
      </c>
      <c r="E37" s="108"/>
      <c r="F37" s="108">
        <v>108.33</v>
      </c>
      <c r="G37" s="1067">
        <f t="shared" si="3"/>
        <v>0</v>
      </c>
      <c r="H37" s="1067">
        <f t="shared" si="4"/>
        <v>25024.23</v>
      </c>
      <c r="I37" s="1067">
        <f t="shared" si="5"/>
        <v>25024.23</v>
      </c>
    </row>
    <row r="38" spans="1:9" s="22" customFormat="1" hidden="1" outlineLevel="1" x14ac:dyDescent="0.3">
      <c r="A38" s="39" t="s">
        <v>80</v>
      </c>
      <c r="B38" s="41" t="s">
        <v>81</v>
      </c>
      <c r="C38" s="42" t="s">
        <v>82</v>
      </c>
      <c r="D38" s="43">
        <v>159.69999999999999</v>
      </c>
      <c r="E38" s="108">
        <v>150</v>
      </c>
      <c r="F38" s="108"/>
      <c r="G38" s="1067">
        <f t="shared" si="3"/>
        <v>23955</v>
      </c>
      <c r="H38" s="1067">
        <f t="shared" si="4"/>
        <v>0</v>
      </c>
      <c r="I38" s="1067">
        <f t="shared" si="5"/>
        <v>23955</v>
      </c>
    </row>
    <row r="39" spans="1:9" hidden="1" outlineLevel="1" x14ac:dyDescent="0.3">
      <c r="A39" s="39" t="s">
        <v>83</v>
      </c>
      <c r="B39" s="41" t="s">
        <v>84</v>
      </c>
      <c r="C39" s="42" t="s">
        <v>82</v>
      </c>
      <c r="D39" s="43">
        <f>159.7*1.04</f>
        <v>166.08799999999999</v>
      </c>
      <c r="E39" s="108"/>
      <c r="F39" s="108">
        <v>321</v>
      </c>
      <c r="G39" s="1067">
        <f t="shared" si="3"/>
        <v>0</v>
      </c>
      <c r="H39" s="1067">
        <f t="shared" si="4"/>
        <v>53314.248</v>
      </c>
      <c r="I39" s="1067">
        <f t="shared" si="5"/>
        <v>53314.248</v>
      </c>
    </row>
    <row r="40" spans="1:9" ht="28.8" hidden="1" outlineLevel="1" x14ac:dyDescent="0.3">
      <c r="A40" s="39" t="s">
        <v>85</v>
      </c>
      <c r="B40" s="63" t="s">
        <v>86</v>
      </c>
      <c r="C40" s="442" t="s">
        <v>44</v>
      </c>
      <c r="D40" s="442">
        <v>160</v>
      </c>
      <c r="E40" s="108"/>
      <c r="F40" s="108">
        <v>47</v>
      </c>
      <c r="G40" s="1067">
        <f>D40*E40</f>
        <v>0</v>
      </c>
      <c r="H40" s="1067">
        <f>D40*F40</f>
        <v>7520</v>
      </c>
      <c r="I40" s="1067">
        <f>G40+H40</f>
        <v>7520</v>
      </c>
    </row>
    <row r="41" spans="1:9" hidden="1" outlineLevel="1" x14ac:dyDescent="0.3">
      <c r="A41" s="39" t="s">
        <v>87</v>
      </c>
      <c r="B41" s="41" t="s">
        <v>88</v>
      </c>
      <c r="C41" s="42" t="s">
        <v>79</v>
      </c>
      <c r="D41" s="43">
        <v>57.491999999999997</v>
      </c>
      <c r="E41" s="108"/>
      <c r="F41" s="108">
        <v>56</v>
      </c>
      <c r="G41" s="1067">
        <f t="shared" si="3"/>
        <v>0</v>
      </c>
      <c r="H41" s="1067">
        <f t="shared" si="4"/>
        <v>3219.5519999999997</v>
      </c>
      <c r="I41" s="1067">
        <f t="shared" si="5"/>
        <v>3219.5519999999997</v>
      </c>
    </row>
    <row r="42" spans="1:9" hidden="1" outlineLevel="1" x14ac:dyDescent="0.3">
      <c r="A42" s="39" t="s">
        <v>87</v>
      </c>
      <c r="B42" s="41" t="s">
        <v>89</v>
      </c>
      <c r="C42" s="42" t="s">
        <v>74</v>
      </c>
      <c r="D42" s="43">
        <v>36.42</v>
      </c>
      <c r="E42" s="108"/>
      <c r="F42" s="108"/>
      <c r="G42" s="1067">
        <f t="shared" si="3"/>
        <v>0</v>
      </c>
      <c r="H42" s="1067">
        <f t="shared" si="4"/>
        <v>0</v>
      </c>
      <c r="I42" s="1067">
        <f t="shared" si="5"/>
        <v>0</v>
      </c>
    </row>
    <row r="43" spans="1:9" s="22" customFormat="1" hidden="1" outlineLevel="1" x14ac:dyDescent="0.3">
      <c r="A43" s="39" t="s">
        <v>90</v>
      </c>
      <c r="B43" s="41" t="s">
        <v>91</v>
      </c>
      <c r="C43" s="42" t="s">
        <v>34</v>
      </c>
      <c r="D43" s="43">
        <v>57.8</v>
      </c>
      <c r="E43" s="108">
        <v>2900</v>
      </c>
      <c r="F43" s="108"/>
      <c r="G43" s="1067">
        <f t="shared" si="3"/>
        <v>167620</v>
      </c>
      <c r="H43" s="1067">
        <f t="shared" si="4"/>
        <v>0</v>
      </c>
      <c r="I43" s="1067">
        <f t="shared" si="5"/>
        <v>167620</v>
      </c>
    </row>
    <row r="44" spans="1:9" hidden="1" outlineLevel="1" x14ac:dyDescent="0.3">
      <c r="A44" s="39" t="s">
        <v>92</v>
      </c>
      <c r="B44" s="41" t="s">
        <v>93</v>
      </c>
      <c r="C44" s="42" t="s">
        <v>34</v>
      </c>
      <c r="D44" s="43">
        <f>D43*1.05</f>
        <v>60.69</v>
      </c>
      <c r="E44" s="108"/>
      <c r="F44" s="108">
        <v>5450</v>
      </c>
      <c r="G44" s="1067">
        <f t="shared" si="3"/>
        <v>0</v>
      </c>
      <c r="H44" s="1067">
        <f t="shared" si="4"/>
        <v>330760.5</v>
      </c>
      <c r="I44" s="1067">
        <f t="shared" si="5"/>
        <v>330760.5</v>
      </c>
    </row>
    <row r="45" spans="1:9" hidden="1" outlineLevel="1" x14ac:dyDescent="0.3">
      <c r="A45" s="39" t="s">
        <v>94</v>
      </c>
      <c r="B45" s="65" t="s">
        <v>95</v>
      </c>
      <c r="C45" s="66" t="s">
        <v>96</v>
      </c>
      <c r="D45" s="43">
        <v>2</v>
      </c>
      <c r="E45" s="108"/>
      <c r="F45" s="108">
        <v>44700</v>
      </c>
      <c r="G45" s="1067">
        <f t="shared" si="3"/>
        <v>0</v>
      </c>
      <c r="H45" s="1067">
        <f t="shared" si="4"/>
        <v>89400</v>
      </c>
      <c r="I45" s="1067">
        <f t="shared" si="5"/>
        <v>89400</v>
      </c>
    </row>
    <row r="46" spans="1:9" hidden="1" outlineLevel="1" x14ac:dyDescent="0.3">
      <c r="A46" s="39" t="s">
        <v>97</v>
      </c>
      <c r="B46" s="41" t="s">
        <v>60</v>
      </c>
      <c r="C46" s="42" t="s">
        <v>62</v>
      </c>
      <c r="D46" s="43">
        <f>SUM(D47:D50)</f>
        <v>10.179207999999999</v>
      </c>
      <c r="E46" s="108"/>
      <c r="F46" s="108"/>
      <c r="G46" s="1067">
        <f t="shared" si="3"/>
        <v>0</v>
      </c>
      <c r="H46" s="1067">
        <f t="shared" si="4"/>
        <v>0</v>
      </c>
      <c r="I46" s="1067">
        <f t="shared" si="5"/>
        <v>0</v>
      </c>
    </row>
    <row r="47" spans="1:9" hidden="1" outlineLevel="1" x14ac:dyDescent="0.3">
      <c r="A47" s="39"/>
      <c r="B47" s="65" t="s">
        <v>98</v>
      </c>
      <c r="C47" s="66" t="s">
        <v>62</v>
      </c>
      <c r="D47" s="1139">
        <f>2259.6/1000*1.04</f>
        <v>2.3499840000000001</v>
      </c>
      <c r="E47" s="108"/>
      <c r="F47" s="1140">
        <v>33500</v>
      </c>
      <c r="G47" s="1067">
        <f t="shared" si="3"/>
        <v>0</v>
      </c>
      <c r="H47" s="1067">
        <f t="shared" si="4"/>
        <v>78724.464000000007</v>
      </c>
      <c r="I47" s="1067">
        <f t="shared" si="5"/>
        <v>78724.464000000007</v>
      </c>
    </row>
    <row r="48" spans="1:9" hidden="1" outlineLevel="1" x14ac:dyDescent="0.3">
      <c r="A48" s="39"/>
      <c r="B48" s="65" t="s">
        <v>99</v>
      </c>
      <c r="C48" s="66" t="s">
        <v>62</v>
      </c>
      <c r="D48" s="1141">
        <f>6941.1/1000*1.04</f>
        <v>7.2187440000000009</v>
      </c>
      <c r="E48" s="108"/>
      <c r="F48" s="1140">
        <v>34400</v>
      </c>
      <c r="G48" s="1067">
        <f t="shared" si="3"/>
        <v>0</v>
      </c>
      <c r="H48" s="1067">
        <f t="shared" si="4"/>
        <v>248324.79360000003</v>
      </c>
      <c r="I48" s="1067">
        <f t="shared" si="5"/>
        <v>248324.79360000003</v>
      </c>
    </row>
    <row r="49" spans="1:9" hidden="1" outlineLevel="1" x14ac:dyDescent="0.3">
      <c r="A49" s="39"/>
      <c r="B49" s="65" t="s">
        <v>100</v>
      </c>
      <c r="C49" s="66" t="s">
        <v>62</v>
      </c>
      <c r="D49" s="1139">
        <f>236.2/1000*1.04</f>
        <v>0.24564800000000001</v>
      </c>
      <c r="E49" s="108"/>
      <c r="F49" s="1140">
        <v>39400</v>
      </c>
      <c r="G49" s="1067">
        <f t="shared" si="3"/>
        <v>0</v>
      </c>
      <c r="H49" s="1067">
        <f t="shared" si="4"/>
        <v>9678.5311999999994</v>
      </c>
      <c r="I49" s="1067">
        <f t="shared" si="5"/>
        <v>9678.5311999999994</v>
      </c>
    </row>
    <row r="50" spans="1:9" hidden="1" outlineLevel="1" x14ac:dyDescent="0.3">
      <c r="A50" s="39"/>
      <c r="B50" s="65" t="s">
        <v>101</v>
      </c>
      <c r="C50" s="66" t="s">
        <v>62</v>
      </c>
      <c r="D50" s="1141">
        <f>350.8/1000*1.04</f>
        <v>0.36483199999999999</v>
      </c>
      <c r="E50" s="108"/>
      <c r="F50" s="1140">
        <v>40000</v>
      </c>
      <c r="G50" s="1067">
        <f t="shared" si="3"/>
        <v>0</v>
      </c>
      <c r="H50" s="1067">
        <f t="shared" si="4"/>
        <v>14593.279999999999</v>
      </c>
      <c r="I50" s="1067">
        <f t="shared" si="5"/>
        <v>14593.279999999999</v>
      </c>
    </row>
    <row r="51" spans="1:9" hidden="1" outlineLevel="1" x14ac:dyDescent="0.3">
      <c r="A51" s="39" t="s">
        <v>102</v>
      </c>
      <c r="B51" s="63" t="s">
        <v>71</v>
      </c>
      <c r="C51" s="42" t="s">
        <v>62</v>
      </c>
      <c r="D51" s="43">
        <f>0.02*D46</f>
        <v>0.20358415999999999</v>
      </c>
      <c r="E51" s="108"/>
      <c r="F51" s="108">
        <v>53104</v>
      </c>
      <c r="G51" s="1067">
        <f t="shared" si="3"/>
        <v>0</v>
      </c>
      <c r="H51" s="1067">
        <f t="shared" si="4"/>
        <v>10811.133232639999</v>
      </c>
      <c r="I51" s="1067">
        <f t="shared" si="5"/>
        <v>10811.133232639999</v>
      </c>
    </row>
    <row r="52" spans="1:9" s="22" customFormat="1" hidden="1" outlineLevel="1" x14ac:dyDescent="0.3">
      <c r="A52" s="39" t="s">
        <v>103</v>
      </c>
      <c r="B52" s="41" t="s">
        <v>104</v>
      </c>
      <c r="C52" s="48" t="s">
        <v>74</v>
      </c>
      <c r="D52" s="43">
        <f>600.8/2/2.4*2</f>
        <v>250.33333333333331</v>
      </c>
      <c r="E52" s="108">
        <v>200</v>
      </c>
      <c r="F52" s="108"/>
      <c r="G52" s="1067">
        <f t="shared" si="3"/>
        <v>50066.666666666664</v>
      </c>
      <c r="H52" s="1067">
        <f t="shared" si="4"/>
        <v>0</v>
      </c>
      <c r="I52" s="1067">
        <f t="shared" si="5"/>
        <v>50066.666666666664</v>
      </c>
    </row>
    <row r="53" spans="1:9" hidden="1" outlineLevel="1" x14ac:dyDescent="0.3">
      <c r="A53" s="39"/>
      <c r="B53" s="63" t="s">
        <v>105</v>
      </c>
      <c r="C53" s="48" t="s">
        <v>34</v>
      </c>
      <c r="D53" s="43">
        <f>D52*0.1*1.03</f>
        <v>25.784333333333333</v>
      </c>
      <c r="E53" s="108"/>
      <c r="F53" s="108">
        <v>4700</v>
      </c>
      <c r="G53" s="1067">
        <f t="shared" si="3"/>
        <v>0</v>
      </c>
      <c r="H53" s="1067">
        <f t="shared" si="4"/>
        <v>121186.36666666667</v>
      </c>
      <c r="I53" s="1067">
        <f t="shared" si="5"/>
        <v>121186.36666666667</v>
      </c>
    </row>
    <row r="54" spans="1:9" hidden="1" outlineLevel="1" x14ac:dyDescent="0.3">
      <c r="A54" s="56"/>
      <c r="B54" s="63" t="s">
        <v>106</v>
      </c>
      <c r="C54" s="48" t="s">
        <v>44</v>
      </c>
      <c r="D54" s="58">
        <v>60</v>
      </c>
      <c r="E54" s="108"/>
      <c r="F54" s="108">
        <v>305</v>
      </c>
      <c r="G54" s="1067">
        <f t="shared" si="3"/>
        <v>0</v>
      </c>
      <c r="H54" s="1067">
        <f t="shared" si="4"/>
        <v>18300</v>
      </c>
      <c r="I54" s="1067">
        <f t="shared" si="5"/>
        <v>18300</v>
      </c>
    </row>
    <row r="55" spans="1:9" s="22" customFormat="1" ht="28.8" hidden="1" outlineLevel="1" x14ac:dyDescent="0.3">
      <c r="A55" s="56" t="s">
        <v>107</v>
      </c>
      <c r="B55" s="41" t="s">
        <v>108</v>
      </c>
      <c r="C55" s="48" t="s">
        <v>34</v>
      </c>
      <c r="D55" s="58">
        <f>1.99*8.22</f>
        <v>16.357800000000001</v>
      </c>
      <c r="E55" s="108">
        <v>2700</v>
      </c>
      <c r="F55" s="108"/>
      <c r="G55" s="1067">
        <f t="shared" si="3"/>
        <v>44166.060000000005</v>
      </c>
      <c r="H55" s="1067">
        <f t="shared" si="4"/>
        <v>0</v>
      </c>
      <c r="I55" s="1067">
        <f t="shared" si="5"/>
        <v>44166.060000000005</v>
      </c>
    </row>
    <row r="56" spans="1:9" hidden="1" outlineLevel="1" x14ac:dyDescent="0.3">
      <c r="A56" s="39" t="s">
        <v>109</v>
      </c>
      <c r="B56" s="65" t="s">
        <v>110</v>
      </c>
      <c r="C56" s="66" t="s">
        <v>34</v>
      </c>
      <c r="D56" s="58">
        <f>(1.99+8.22)*1.05</f>
        <v>10.720500000000001</v>
      </c>
      <c r="E56" s="108"/>
      <c r="F56" s="108">
        <v>5450</v>
      </c>
      <c r="G56" s="1067">
        <f t="shared" si="3"/>
        <v>0</v>
      </c>
      <c r="H56" s="1067">
        <f t="shared" si="4"/>
        <v>58426.725000000006</v>
      </c>
      <c r="I56" s="1067">
        <f t="shared" si="5"/>
        <v>58426.725000000006</v>
      </c>
    </row>
    <row r="57" spans="1:9" hidden="1" outlineLevel="1" x14ac:dyDescent="0.3">
      <c r="A57" s="39" t="s">
        <v>111</v>
      </c>
      <c r="B57" s="1142" t="s">
        <v>60</v>
      </c>
      <c r="C57" s="66" t="s">
        <v>62</v>
      </c>
      <c r="D57" s="58">
        <f>SUM(D58:D64)</f>
        <v>1.1264279103999999</v>
      </c>
      <c r="E57" s="108"/>
      <c r="F57" s="108"/>
      <c r="G57" s="1067">
        <f t="shared" si="3"/>
        <v>0</v>
      </c>
      <c r="H57" s="1067">
        <f t="shared" si="4"/>
        <v>0</v>
      </c>
      <c r="I57" s="1067">
        <f t="shared" si="5"/>
        <v>0</v>
      </c>
    </row>
    <row r="58" spans="1:9" hidden="1" outlineLevel="1" x14ac:dyDescent="0.3">
      <c r="A58" s="39"/>
      <c r="B58" s="65" t="s">
        <v>112</v>
      </c>
      <c r="C58" s="66" t="s">
        <v>62</v>
      </c>
      <c r="D58" s="1141">
        <f>3.03*40*1.58/1000*1.04</f>
        <v>0.19915583999999997</v>
      </c>
      <c r="E58" s="108"/>
      <c r="F58" s="108">
        <v>33500</v>
      </c>
      <c r="G58" s="1067">
        <f t="shared" si="3"/>
        <v>0</v>
      </c>
      <c r="H58" s="1067">
        <f t="shared" si="4"/>
        <v>6671.7206399999986</v>
      </c>
      <c r="I58" s="1067">
        <f t="shared" si="5"/>
        <v>6671.7206399999986</v>
      </c>
    </row>
    <row r="59" spans="1:9" hidden="1" outlineLevel="1" x14ac:dyDescent="0.3">
      <c r="A59" s="39"/>
      <c r="B59" s="65" t="s">
        <v>99</v>
      </c>
      <c r="C59" s="66" t="s">
        <v>62</v>
      </c>
      <c r="D59" s="1141">
        <f>(2.87*126+2.37*20)*0.888/1000*1.04</f>
        <v>0.37773815039999997</v>
      </c>
      <c r="E59" s="108"/>
      <c r="F59" s="108">
        <v>34400</v>
      </c>
      <c r="G59" s="1067">
        <f t="shared" si="3"/>
        <v>0</v>
      </c>
      <c r="H59" s="1067">
        <f t="shared" si="4"/>
        <v>12994.192373759999</v>
      </c>
      <c r="I59" s="1067">
        <f t="shared" si="5"/>
        <v>12994.192373759999</v>
      </c>
    </row>
    <row r="60" spans="1:9" hidden="1" outlineLevel="1" x14ac:dyDescent="0.3">
      <c r="A60" s="39"/>
      <c r="B60" s="65" t="s">
        <v>100</v>
      </c>
      <c r="C60" s="66" t="s">
        <v>62</v>
      </c>
      <c r="D60" s="1141">
        <f>(5.17*48+2.57*72+1.02*120+0.17*12*4+0.15*4*4+0.15*4*4)*0.395/1000*1.04</f>
        <v>0.23356444800000001</v>
      </c>
      <c r="E60" s="108"/>
      <c r="F60" s="108">
        <v>39400</v>
      </c>
      <c r="G60" s="1067">
        <f t="shared" si="3"/>
        <v>0</v>
      </c>
      <c r="H60" s="1067">
        <f t="shared" si="4"/>
        <v>9202.4392511999995</v>
      </c>
      <c r="I60" s="1067">
        <f t="shared" si="5"/>
        <v>9202.4392511999995</v>
      </c>
    </row>
    <row r="61" spans="1:9" hidden="1" outlineLevel="1" x14ac:dyDescent="0.3">
      <c r="A61" s="39"/>
      <c r="B61" s="65" t="s">
        <v>101</v>
      </c>
      <c r="C61" s="66" t="s">
        <v>62</v>
      </c>
      <c r="D61" s="1141">
        <f>(0.935*32+0.34*284)*0.395/1000*1.04</f>
        <v>5.1957983999999999E-2</v>
      </c>
      <c r="E61" s="108"/>
      <c r="F61" s="108">
        <v>40000</v>
      </c>
      <c r="G61" s="1067">
        <f t="shared" si="3"/>
        <v>0</v>
      </c>
      <c r="H61" s="1067">
        <f t="shared" si="4"/>
        <v>2078.31936</v>
      </c>
      <c r="I61" s="1067">
        <f t="shared" si="5"/>
        <v>2078.31936</v>
      </c>
    </row>
    <row r="62" spans="1:9" hidden="1" outlineLevel="1" x14ac:dyDescent="0.3">
      <c r="A62" s="39"/>
      <c r="B62" s="65" t="s">
        <v>113</v>
      </c>
      <c r="C62" s="66" t="s">
        <v>62</v>
      </c>
      <c r="D62" s="1141">
        <f>(2.23*44+2.13*48+1.105*44+1.085*48)*0.62/1000*1.04</f>
        <v>0.19412348800000001</v>
      </c>
      <c r="E62" s="108"/>
      <c r="F62" s="108">
        <v>35000</v>
      </c>
      <c r="G62" s="1067">
        <f t="shared" si="3"/>
        <v>0</v>
      </c>
      <c r="H62" s="1067">
        <f t="shared" si="4"/>
        <v>6794.3220800000008</v>
      </c>
      <c r="I62" s="1067">
        <f t="shared" si="5"/>
        <v>6794.3220800000008</v>
      </c>
    </row>
    <row r="63" spans="1:9" hidden="1" outlineLevel="1" x14ac:dyDescent="0.3">
      <c r="A63" s="39"/>
      <c r="B63" s="65" t="s">
        <v>114</v>
      </c>
      <c r="C63" s="66" t="s">
        <v>62</v>
      </c>
      <c r="D63" s="1143">
        <f>14.4*1.04/1000</f>
        <v>1.4976000000000001E-2</v>
      </c>
      <c r="E63" s="108"/>
      <c r="F63" s="108">
        <v>46300</v>
      </c>
      <c r="G63" s="1067">
        <f t="shared" si="3"/>
        <v>0</v>
      </c>
      <c r="H63" s="1067">
        <f t="shared" si="4"/>
        <v>693.38880000000006</v>
      </c>
      <c r="I63" s="1067">
        <f t="shared" si="5"/>
        <v>693.38880000000006</v>
      </c>
    </row>
    <row r="64" spans="1:9" hidden="1" outlineLevel="1" x14ac:dyDescent="0.3">
      <c r="A64" s="39"/>
      <c r="B64" s="65" t="s">
        <v>115</v>
      </c>
      <c r="C64" s="66" t="s">
        <v>62</v>
      </c>
      <c r="D64" s="1143">
        <f>52.8*1.04/1000</f>
        <v>5.4912000000000002E-2</v>
      </c>
      <c r="E64" s="108"/>
      <c r="F64" s="108">
        <v>46300</v>
      </c>
      <c r="G64" s="1067">
        <f t="shared" si="3"/>
        <v>0</v>
      </c>
      <c r="H64" s="1067">
        <f t="shared" si="4"/>
        <v>2542.4256</v>
      </c>
      <c r="I64" s="1067">
        <f t="shared" si="5"/>
        <v>2542.4256</v>
      </c>
    </row>
    <row r="65" spans="1:9" hidden="1" outlineLevel="1" x14ac:dyDescent="0.3">
      <c r="A65" s="39" t="s">
        <v>116</v>
      </c>
      <c r="B65" s="63" t="s">
        <v>71</v>
      </c>
      <c r="C65" s="42" t="s">
        <v>62</v>
      </c>
      <c r="D65" s="43">
        <f>0.02*D57</f>
        <v>2.2528558208E-2</v>
      </c>
      <c r="E65" s="108"/>
      <c r="F65" s="108">
        <v>53104</v>
      </c>
      <c r="G65" s="1067">
        <f t="shared" si="3"/>
        <v>0</v>
      </c>
      <c r="H65" s="1067">
        <f t="shared" si="4"/>
        <v>1196.356555077632</v>
      </c>
      <c r="I65" s="1067">
        <f t="shared" si="5"/>
        <v>1196.356555077632</v>
      </c>
    </row>
    <row r="66" spans="1:9" s="22" customFormat="1" ht="28.8" hidden="1" outlineLevel="1" x14ac:dyDescent="0.3">
      <c r="A66" s="39" t="s">
        <v>117</v>
      </c>
      <c r="B66" s="63" t="s">
        <v>118</v>
      </c>
      <c r="C66" s="42" t="s">
        <v>34</v>
      </c>
      <c r="D66" s="58">
        <v>5.62</v>
      </c>
      <c r="E66" s="108">
        <v>2700</v>
      </c>
      <c r="F66" s="108"/>
      <c r="G66" s="1067">
        <f t="shared" si="3"/>
        <v>15174</v>
      </c>
      <c r="H66" s="1067">
        <f t="shared" si="4"/>
        <v>0</v>
      </c>
      <c r="I66" s="1067">
        <f t="shared" si="5"/>
        <v>15174</v>
      </c>
    </row>
    <row r="67" spans="1:9" hidden="1" outlineLevel="1" x14ac:dyDescent="0.3">
      <c r="A67" s="39" t="s">
        <v>119</v>
      </c>
      <c r="B67" s="65" t="s">
        <v>110</v>
      </c>
      <c r="C67" s="66" t="s">
        <v>34</v>
      </c>
      <c r="D67" s="1144">
        <f>(0.93+4.69)*1.05</f>
        <v>5.9010000000000007</v>
      </c>
      <c r="E67" s="108"/>
      <c r="F67" s="108">
        <v>5450</v>
      </c>
      <c r="G67" s="1067">
        <f t="shared" si="3"/>
        <v>0</v>
      </c>
      <c r="H67" s="1067">
        <f t="shared" si="4"/>
        <v>32160.450000000004</v>
      </c>
      <c r="I67" s="1067">
        <f t="shared" si="5"/>
        <v>32160.450000000004</v>
      </c>
    </row>
    <row r="68" spans="1:9" hidden="1" outlineLevel="1" x14ac:dyDescent="0.3">
      <c r="A68" s="39" t="s">
        <v>120</v>
      </c>
      <c r="B68" s="65" t="s">
        <v>60</v>
      </c>
      <c r="C68" s="66" t="s">
        <v>62</v>
      </c>
      <c r="D68" s="58">
        <f>SUM(D69:D75)</f>
        <v>0.63229695360000016</v>
      </c>
      <c r="E68" s="108"/>
      <c r="F68" s="108"/>
      <c r="G68" s="1067">
        <f t="shared" si="3"/>
        <v>0</v>
      </c>
      <c r="H68" s="1067">
        <f t="shared" si="4"/>
        <v>0</v>
      </c>
      <c r="I68" s="1067">
        <f t="shared" si="5"/>
        <v>0</v>
      </c>
    </row>
    <row r="69" spans="1:9" hidden="1" outlineLevel="1" x14ac:dyDescent="0.3">
      <c r="A69" s="39"/>
      <c r="B69" s="65" t="s">
        <v>112</v>
      </c>
      <c r="C69" s="66" t="s">
        <v>62</v>
      </c>
      <c r="D69" s="1141">
        <f>3.03*24*1.58/1000*1.04</f>
        <v>0.119493504</v>
      </c>
      <c r="E69" s="108"/>
      <c r="F69" s="108">
        <v>33500</v>
      </c>
      <c r="G69" s="1067">
        <f t="shared" si="3"/>
        <v>0</v>
      </c>
      <c r="H69" s="1067">
        <f t="shared" si="4"/>
        <v>4003.0323840000001</v>
      </c>
      <c r="I69" s="1067">
        <f t="shared" si="5"/>
        <v>4003.0323840000001</v>
      </c>
    </row>
    <row r="70" spans="1:9" hidden="1" outlineLevel="1" x14ac:dyDescent="0.3">
      <c r="A70" s="39"/>
      <c r="B70" s="65" t="s">
        <v>99</v>
      </c>
      <c r="C70" s="66" t="s">
        <v>62</v>
      </c>
      <c r="D70" s="1141">
        <f>(2.87*70+2.37*14)*0.888/1000*1.04</f>
        <v>0.21617756160000001</v>
      </c>
      <c r="E70" s="108"/>
      <c r="F70" s="108">
        <v>34400</v>
      </c>
      <c r="G70" s="1067">
        <f t="shared" si="3"/>
        <v>0</v>
      </c>
      <c r="H70" s="1067">
        <f t="shared" si="4"/>
        <v>7436.5081190400006</v>
      </c>
      <c r="I70" s="1067">
        <f t="shared" si="5"/>
        <v>7436.5081190400006</v>
      </c>
    </row>
    <row r="71" spans="1:9" hidden="1" outlineLevel="1" x14ac:dyDescent="0.3">
      <c r="A71" s="39"/>
      <c r="B71" s="65" t="s">
        <v>100</v>
      </c>
      <c r="C71" s="66" t="s">
        <v>62</v>
      </c>
      <c r="D71" s="1141">
        <f>(3.07*48+2.12*48+1.02*96+0.17*12*2+0.15*4*2+0.15*4*2)*0.395/1000*1.04</f>
        <v>0.14522601600000001</v>
      </c>
      <c r="E71" s="108"/>
      <c r="F71" s="108">
        <v>39400</v>
      </c>
      <c r="G71" s="1067">
        <f t="shared" si="3"/>
        <v>0</v>
      </c>
      <c r="H71" s="1067">
        <f t="shared" si="4"/>
        <v>5721.9050304000002</v>
      </c>
      <c r="I71" s="1067">
        <f t="shared" si="5"/>
        <v>5721.9050304000002</v>
      </c>
    </row>
    <row r="72" spans="1:9" hidden="1" outlineLevel="1" x14ac:dyDescent="0.3">
      <c r="A72" s="39"/>
      <c r="B72" s="65" t="s">
        <v>101</v>
      </c>
      <c r="C72" s="66" t="s">
        <v>62</v>
      </c>
      <c r="D72" s="1141">
        <f>0.34*166*0.395/1000*1.04</f>
        <v>2.3185552000000009E-2</v>
      </c>
      <c r="E72" s="108"/>
      <c r="F72" s="108">
        <v>40000</v>
      </c>
      <c r="G72" s="1067">
        <f t="shared" si="3"/>
        <v>0</v>
      </c>
      <c r="H72" s="1067">
        <f t="shared" si="4"/>
        <v>927.42208000000039</v>
      </c>
      <c r="I72" s="1067">
        <f t="shared" si="5"/>
        <v>927.42208000000039</v>
      </c>
    </row>
    <row r="73" spans="1:9" hidden="1" outlineLevel="1" x14ac:dyDescent="0.3">
      <c r="A73" s="39"/>
      <c r="B73" s="65" t="s">
        <v>113</v>
      </c>
      <c r="C73" s="66" t="s">
        <v>62</v>
      </c>
      <c r="D73" s="1141">
        <f>(2.63*18+1.68*28+1.105*18+1.085*28)*0.62/1000*1.04</f>
        <v>9.3270320000000018E-2</v>
      </c>
      <c r="E73" s="108"/>
      <c r="F73" s="108">
        <v>35000</v>
      </c>
      <c r="G73" s="1067">
        <f t="shared" si="3"/>
        <v>0</v>
      </c>
      <c r="H73" s="1067">
        <f t="shared" si="4"/>
        <v>3264.4612000000006</v>
      </c>
      <c r="I73" s="1067">
        <f t="shared" si="5"/>
        <v>3264.4612000000006</v>
      </c>
    </row>
    <row r="74" spans="1:9" hidden="1" outlineLevel="1" x14ac:dyDescent="0.3">
      <c r="A74" s="39"/>
      <c r="B74" s="65" t="s">
        <v>114</v>
      </c>
      <c r="C74" s="66" t="s">
        <v>62</v>
      </c>
      <c r="D74" s="1143">
        <f>14.4/2*1.04/1000</f>
        <v>7.4880000000000007E-3</v>
      </c>
      <c r="E74" s="108"/>
      <c r="F74" s="108">
        <v>46300</v>
      </c>
      <c r="G74" s="1067">
        <f t="shared" si="3"/>
        <v>0</v>
      </c>
      <c r="H74" s="1067">
        <f t="shared" si="4"/>
        <v>346.69440000000003</v>
      </c>
      <c r="I74" s="1067">
        <f t="shared" si="5"/>
        <v>346.69440000000003</v>
      </c>
    </row>
    <row r="75" spans="1:9" hidden="1" outlineLevel="1" x14ac:dyDescent="0.3">
      <c r="A75" s="39"/>
      <c r="B75" s="65" t="s">
        <v>115</v>
      </c>
      <c r="C75" s="66" t="s">
        <v>62</v>
      </c>
      <c r="D75" s="1143">
        <f>52.8/2*1.04/1000</f>
        <v>2.7456000000000001E-2</v>
      </c>
      <c r="E75" s="108"/>
      <c r="F75" s="108">
        <v>46300</v>
      </c>
      <c r="G75" s="1067">
        <f t="shared" si="3"/>
        <v>0</v>
      </c>
      <c r="H75" s="1067">
        <f t="shared" si="4"/>
        <v>1271.2128</v>
      </c>
      <c r="I75" s="1067">
        <f t="shared" si="5"/>
        <v>1271.2128</v>
      </c>
    </row>
    <row r="76" spans="1:9" hidden="1" outlineLevel="1" x14ac:dyDescent="0.3">
      <c r="A76" s="39" t="s">
        <v>121</v>
      </c>
      <c r="B76" s="63" t="s">
        <v>71</v>
      </c>
      <c r="C76" s="42" t="s">
        <v>62</v>
      </c>
      <c r="D76" s="43">
        <f>0.02*D68</f>
        <v>1.2645939072000003E-2</v>
      </c>
      <c r="E76" s="108"/>
      <c r="F76" s="108">
        <v>53104</v>
      </c>
      <c r="G76" s="1067">
        <f t="shared" si="3"/>
        <v>0</v>
      </c>
      <c r="H76" s="1067">
        <f t="shared" si="4"/>
        <v>671.54994847948819</v>
      </c>
      <c r="I76" s="1067">
        <f t="shared" si="5"/>
        <v>671.54994847948819</v>
      </c>
    </row>
    <row r="77" spans="1:9" s="22" customFormat="1" ht="28.8" hidden="1" outlineLevel="1" x14ac:dyDescent="0.3">
      <c r="A77" s="39" t="s">
        <v>122</v>
      </c>
      <c r="B77" s="65" t="s">
        <v>123</v>
      </c>
      <c r="C77" s="66" t="s">
        <v>34</v>
      </c>
      <c r="D77" s="58">
        <v>7.78</v>
      </c>
      <c r="E77" s="108">
        <v>2700</v>
      </c>
      <c r="F77" s="108"/>
      <c r="G77" s="1067">
        <f t="shared" si="3"/>
        <v>21006</v>
      </c>
      <c r="H77" s="1067">
        <f t="shared" si="4"/>
        <v>0</v>
      </c>
      <c r="I77" s="1067">
        <f t="shared" si="5"/>
        <v>21006</v>
      </c>
    </row>
    <row r="78" spans="1:9" hidden="1" outlineLevel="1" x14ac:dyDescent="0.3">
      <c r="A78" s="39" t="s">
        <v>124</v>
      </c>
      <c r="B78" s="65" t="s">
        <v>110</v>
      </c>
      <c r="C78" s="66" t="s">
        <v>34</v>
      </c>
      <c r="D78" s="58">
        <f>7.78*1.05</f>
        <v>8.1690000000000005</v>
      </c>
      <c r="E78" s="108"/>
      <c r="F78" s="108">
        <v>5450</v>
      </c>
      <c r="G78" s="1067">
        <f t="shared" si="3"/>
        <v>0</v>
      </c>
      <c r="H78" s="1067">
        <f t="shared" si="4"/>
        <v>44521.05</v>
      </c>
      <c r="I78" s="1067">
        <f t="shared" si="5"/>
        <v>44521.05</v>
      </c>
    </row>
    <row r="79" spans="1:9" hidden="1" outlineLevel="1" x14ac:dyDescent="0.3">
      <c r="A79" s="39" t="s">
        <v>125</v>
      </c>
      <c r="B79" s="65" t="s">
        <v>60</v>
      </c>
      <c r="C79" s="66" t="s">
        <v>62</v>
      </c>
      <c r="D79" s="58">
        <f>SUM(D80:D83)</f>
        <v>0.60410465440000005</v>
      </c>
      <c r="E79" s="108"/>
      <c r="F79" s="108"/>
      <c r="G79" s="1067">
        <f t="shared" si="3"/>
        <v>0</v>
      </c>
      <c r="H79" s="1067">
        <f t="shared" si="4"/>
        <v>0</v>
      </c>
      <c r="I79" s="1067">
        <f t="shared" si="5"/>
        <v>0</v>
      </c>
    </row>
    <row r="80" spans="1:9" hidden="1" outlineLevel="1" x14ac:dyDescent="0.3">
      <c r="A80" s="39"/>
      <c r="B80" s="65" t="s">
        <v>126</v>
      </c>
      <c r="C80" s="66" t="s">
        <v>62</v>
      </c>
      <c r="D80" s="58">
        <f>3.03*24*1.58/1000*1.04</f>
        <v>0.119493504</v>
      </c>
      <c r="E80" s="108"/>
      <c r="F80" s="108">
        <v>33500</v>
      </c>
      <c r="G80" s="1067">
        <f t="shared" si="3"/>
        <v>0</v>
      </c>
      <c r="H80" s="1067">
        <f t="shared" si="4"/>
        <v>4003.0323840000001</v>
      </c>
      <c r="I80" s="1067">
        <f t="shared" si="5"/>
        <v>4003.0323840000001</v>
      </c>
    </row>
    <row r="81" spans="1:9" hidden="1" outlineLevel="1" x14ac:dyDescent="0.3">
      <c r="A81" s="39"/>
      <c r="B81" s="65" t="s">
        <v>127</v>
      </c>
      <c r="C81" s="66" t="s">
        <v>62</v>
      </c>
      <c r="D81" s="58">
        <f>1.87*146*0.888/1000*1.04</f>
        <v>0.25213943040000003</v>
      </c>
      <c r="E81" s="108"/>
      <c r="F81" s="108">
        <v>34400</v>
      </c>
      <c r="G81" s="1067">
        <f t="shared" si="3"/>
        <v>0</v>
      </c>
      <c r="H81" s="1067">
        <f t="shared" si="4"/>
        <v>8673.5964057600013</v>
      </c>
      <c r="I81" s="1067">
        <f t="shared" si="5"/>
        <v>8673.5964057600013</v>
      </c>
    </row>
    <row r="82" spans="1:9" hidden="1" outlineLevel="1" x14ac:dyDescent="0.3">
      <c r="A82" s="39"/>
      <c r="B82" s="65" t="s">
        <v>128</v>
      </c>
      <c r="C82" s="66" t="s">
        <v>62</v>
      </c>
      <c r="D82" s="1141">
        <f>(6.05*48+3.19*24+1.02*72)*0.395/1000*1.04</f>
        <v>0.18091632000000002</v>
      </c>
      <c r="E82" s="108"/>
      <c r="F82" s="108">
        <v>39400</v>
      </c>
      <c r="G82" s="1067">
        <f t="shared" si="3"/>
        <v>0</v>
      </c>
      <c r="H82" s="1067">
        <f t="shared" si="4"/>
        <v>7128.103008000001</v>
      </c>
      <c r="I82" s="1067">
        <f t="shared" si="5"/>
        <v>7128.103008000001</v>
      </c>
    </row>
    <row r="83" spans="1:9" hidden="1" outlineLevel="1" x14ac:dyDescent="0.3">
      <c r="A83" s="39"/>
      <c r="B83" s="63" t="s">
        <v>129</v>
      </c>
      <c r="C83" s="42" t="s">
        <v>62</v>
      </c>
      <c r="D83" s="1141">
        <f>(2.865*12+0.34*268)*0.395/1000*1.04</f>
        <v>5.1555400000000008E-2</v>
      </c>
      <c r="E83" s="108"/>
      <c r="F83" s="108">
        <v>40000</v>
      </c>
      <c r="G83" s="1067">
        <f t="shared" ref="G83:G121" si="6">D83*E83</f>
        <v>0</v>
      </c>
      <c r="H83" s="1067">
        <f t="shared" ref="H83:H121" si="7">D83*F83</f>
        <v>2062.2160000000003</v>
      </c>
      <c r="I83" s="1067">
        <f t="shared" ref="I83:I121" si="8">G83+H83</f>
        <v>2062.2160000000003</v>
      </c>
    </row>
    <row r="84" spans="1:9" hidden="1" outlineLevel="1" x14ac:dyDescent="0.3">
      <c r="A84" s="39" t="s">
        <v>130</v>
      </c>
      <c r="B84" s="63" t="s">
        <v>71</v>
      </c>
      <c r="C84" s="42" t="s">
        <v>62</v>
      </c>
      <c r="D84" s="43">
        <f>0.02*D79</f>
        <v>1.2082093088000002E-2</v>
      </c>
      <c r="E84" s="108"/>
      <c r="F84" s="108">
        <v>53104</v>
      </c>
      <c r="G84" s="1067">
        <f t="shared" si="6"/>
        <v>0</v>
      </c>
      <c r="H84" s="1067">
        <f t="shared" si="7"/>
        <v>641.60747134515213</v>
      </c>
      <c r="I84" s="1067">
        <f t="shared" si="8"/>
        <v>641.60747134515213</v>
      </c>
    </row>
    <row r="85" spans="1:9" s="22" customFormat="1" hidden="1" outlineLevel="1" x14ac:dyDescent="0.3">
      <c r="A85" s="39" t="s">
        <v>131</v>
      </c>
      <c r="B85" s="65" t="s">
        <v>132</v>
      </c>
      <c r="C85" s="66" t="s">
        <v>34</v>
      </c>
      <c r="D85" s="58">
        <f>142.4</f>
        <v>142.4</v>
      </c>
      <c r="E85" s="108">
        <v>2700</v>
      </c>
      <c r="F85" s="108"/>
      <c r="G85" s="1067">
        <f t="shared" si="6"/>
        <v>384480</v>
      </c>
      <c r="H85" s="1067">
        <f t="shared" si="7"/>
        <v>0</v>
      </c>
      <c r="I85" s="1067">
        <f t="shared" si="8"/>
        <v>384480</v>
      </c>
    </row>
    <row r="86" spans="1:9" hidden="1" outlineLevel="1" x14ac:dyDescent="0.3">
      <c r="A86" s="39" t="s">
        <v>133</v>
      </c>
      <c r="B86" s="65" t="s">
        <v>134</v>
      </c>
      <c r="C86" s="66" t="s">
        <v>34</v>
      </c>
      <c r="D86" s="58">
        <f>142.4*1.05</f>
        <v>149.52000000000001</v>
      </c>
      <c r="E86" s="108"/>
      <c r="F86" s="108">
        <v>5300</v>
      </c>
      <c r="G86" s="1067">
        <f t="shared" si="6"/>
        <v>0</v>
      </c>
      <c r="H86" s="1067">
        <f t="shared" si="7"/>
        <v>792456</v>
      </c>
      <c r="I86" s="1067">
        <f t="shared" si="8"/>
        <v>792456</v>
      </c>
    </row>
    <row r="87" spans="1:9" hidden="1" outlineLevel="1" x14ac:dyDescent="0.3">
      <c r="A87" s="39" t="s">
        <v>135</v>
      </c>
      <c r="B87" s="1145" t="s">
        <v>136</v>
      </c>
      <c r="C87" s="66"/>
      <c r="D87" s="58"/>
      <c r="E87" s="108"/>
      <c r="F87" s="108"/>
      <c r="G87" s="1067">
        <f t="shared" si="6"/>
        <v>0</v>
      </c>
      <c r="H87" s="1067">
        <f t="shared" si="7"/>
        <v>0</v>
      </c>
      <c r="I87" s="1067">
        <f t="shared" si="8"/>
        <v>0</v>
      </c>
    </row>
    <row r="88" spans="1:9" hidden="1" outlineLevel="1" x14ac:dyDescent="0.3">
      <c r="A88" s="39"/>
      <c r="B88" s="65" t="s">
        <v>113</v>
      </c>
      <c r="C88" s="66" t="s">
        <v>62</v>
      </c>
      <c r="D88" s="58">
        <f>5012.3/1000*1.04</f>
        <v>5.2127920000000003</v>
      </c>
      <c r="E88" s="108"/>
      <c r="F88" s="108">
        <v>3500</v>
      </c>
      <c r="G88" s="1067">
        <f t="shared" si="6"/>
        <v>0</v>
      </c>
      <c r="H88" s="1067">
        <f t="shared" si="7"/>
        <v>18244.772000000001</v>
      </c>
      <c r="I88" s="1067">
        <f t="shared" si="8"/>
        <v>18244.772000000001</v>
      </c>
    </row>
    <row r="89" spans="1:9" hidden="1" outlineLevel="1" x14ac:dyDescent="0.3">
      <c r="A89" s="39"/>
      <c r="B89" s="65" t="s">
        <v>137</v>
      </c>
      <c r="C89" s="66" t="s">
        <v>62</v>
      </c>
      <c r="D89" s="58">
        <f>18.8/1000*1.04</f>
        <v>1.9552E-2</v>
      </c>
      <c r="E89" s="108"/>
      <c r="F89" s="108">
        <v>34400</v>
      </c>
      <c r="G89" s="1067">
        <f t="shared" si="6"/>
        <v>0</v>
      </c>
      <c r="H89" s="1067">
        <f t="shared" si="7"/>
        <v>672.58879999999999</v>
      </c>
      <c r="I89" s="1067">
        <f t="shared" si="8"/>
        <v>672.58879999999999</v>
      </c>
    </row>
    <row r="90" spans="1:9" hidden="1" outlineLevel="1" x14ac:dyDescent="0.3">
      <c r="A90" s="39"/>
      <c r="B90" s="65" t="s">
        <v>138</v>
      </c>
      <c r="C90" s="66" t="s">
        <v>62</v>
      </c>
      <c r="D90" s="58">
        <f>33.4/1000*1.04</f>
        <v>3.4736000000000003E-2</v>
      </c>
      <c r="E90" s="108"/>
      <c r="F90" s="108">
        <v>33500</v>
      </c>
      <c r="G90" s="1067">
        <f t="shared" si="6"/>
        <v>0</v>
      </c>
      <c r="H90" s="1067">
        <f t="shared" si="7"/>
        <v>1163.6560000000002</v>
      </c>
      <c r="I90" s="1067">
        <f t="shared" si="8"/>
        <v>1163.6560000000002</v>
      </c>
    </row>
    <row r="91" spans="1:9" hidden="1" outlineLevel="1" x14ac:dyDescent="0.3">
      <c r="A91" s="39"/>
      <c r="B91" s="65" t="s">
        <v>139</v>
      </c>
      <c r="C91" s="66" t="s">
        <v>62</v>
      </c>
      <c r="D91" s="58">
        <f>568.3/1000*1.04</f>
        <v>0.59103199999999989</v>
      </c>
      <c r="E91" s="108"/>
      <c r="F91" s="108">
        <v>40000</v>
      </c>
      <c r="G91" s="1067">
        <f t="shared" si="6"/>
        <v>0</v>
      </c>
      <c r="H91" s="1067">
        <f t="shared" si="7"/>
        <v>23641.279999999995</v>
      </c>
      <c r="I91" s="1067">
        <f t="shared" si="8"/>
        <v>23641.279999999995</v>
      </c>
    </row>
    <row r="92" spans="1:9" hidden="1" outlineLevel="1" x14ac:dyDescent="0.3">
      <c r="A92" s="39"/>
      <c r="B92" s="63" t="s">
        <v>71</v>
      </c>
      <c r="C92" s="42" t="s">
        <v>62</v>
      </c>
      <c r="D92" s="43">
        <f>0.02*(SUM(D88:D91))</f>
        <v>0.11716224</v>
      </c>
      <c r="E92" s="108"/>
      <c r="F92" s="108">
        <v>53104</v>
      </c>
      <c r="G92" s="1067">
        <f t="shared" si="6"/>
        <v>0</v>
      </c>
      <c r="H92" s="1067">
        <f t="shared" si="7"/>
        <v>6221.7835929599996</v>
      </c>
      <c r="I92" s="1067">
        <f t="shared" si="8"/>
        <v>6221.7835929599996</v>
      </c>
    </row>
    <row r="93" spans="1:9" hidden="1" outlineLevel="1" x14ac:dyDescent="0.3">
      <c r="A93" s="39" t="s">
        <v>140</v>
      </c>
      <c r="B93" s="1145" t="s">
        <v>141</v>
      </c>
      <c r="C93" s="66"/>
      <c r="D93" s="58"/>
      <c r="E93" s="108"/>
      <c r="F93" s="108"/>
      <c r="G93" s="1067">
        <f t="shared" si="6"/>
        <v>0</v>
      </c>
      <c r="H93" s="1067">
        <f t="shared" si="7"/>
        <v>0</v>
      </c>
      <c r="I93" s="1067">
        <f t="shared" si="8"/>
        <v>0</v>
      </c>
    </row>
    <row r="94" spans="1:9" hidden="1" outlineLevel="1" x14ac:dyDescent="0.3">
      <c r="A94" s="39"/>
      <c r="B94" s="65" t="s">
        <v>113</v>
      </c>
      <c r="C94" s="66" t="s">
        <v>62</v>
      </c>
      <c r="D94" s="58">
        <f>6079.4/1000*1.04</f>
        <v>6.3225759999999998</v>
      </c>
      <c r="E94" s="108"/>
      <c r="F94" s="108">
        <v>35000</v>
      </c>
      <c r="G94" s="1067">
        <f t="shared" si="6"/>
        <v>0</v>
      </c>
      <c r="H94" s="1067">
        <f t="shared" si="7"/>
        <v>221290.16</v>
      </c>
      <c r="I94" s="1067">
        <f t="shared" si="8"/>
        <v>221290.16</v>
      </c>
    </row>
    <row r="95" spans="1:9" hidden="1" outlineLevel="1" x14ac:dyDescent="0.3">
      <c r="A95" s="39"/>
      <c r="B95" s="65" t="s">
        <v>142</v>
      </c>
      <c r="C95" s="66" t="s">
        <v>62</v>
      </c>
      <c r="D95" s="58">
        <f>53/1000*1.04</f>
        <v>5.5120000000000002E-2</v>
      </c>
      <c r="E95" s="108"/>
      <c r="F95" s="108">
        <v>35100</v>
      </c>
      <c r="G95" s="1067">
        <f t="shared" si="6"/>
        <v>0</v>
      </c>
      <c r="H95" s="1067">
        <f t="shared" si="7"/>
        <v>1934.712</v>
      </c>
      <c r="I95" s="1067">
        <f t="shared" si="8"/>
        <v>1934.712</v>
      </c>
    </row>
    <row r="96" spans="1:9" hidden="1" outlineLevel="1" x14ac:dyDescent="0.3">
      <c r="A96" s="39"/>
      <c r="B96" s="65" t="s">
        <v>138</v>
      </c>
      <c r="C96" s="66" t="s">
        <v>62</v>
      </c>
      <c r="D96" s="58">
        <f>186.2/1000*1.04</f>
        <v>0.19364799999999999</v>
      </c>
      <c r="E96" s="108"/>
      <c r="F96" s="108">
        <v>33500</v>
      </c>
      <c r="G96" s="1067">
        <f t="shared" si="6"/>
        <v>0</v>
      </c>
      <c r="H96" s="1067">
        <f t="shared" si="7"/>
        <v>6487.2079999999996</v>
      </c>
      <c r="I96" s="1067">
        <f t="shared" si="8"/>
        <v>6487.2079999999996</v>
      </c>
    </row>
    <row r="97" spans="1:9" hidden="1" outlineLevel="1" x14ac:dyDescent="0.3">
      <c r="A97" s="39"/>
      <c r="B97" s="65" t="s">
        <v>137</v>
      </c>
      <c r="C97" s="66" t="s">
        <v>62</v>
      </c>
      <c r="D97" s="58">
        <f>18.8/1000*1.04</f>
        <v>1.9552E-2</v>
      </c>
      <c r="E97" s="108"/>
      <c r="F97" s="108">
        <v>34400</v>
      </c>
      <c r="G97" s="1067">
        <f t="shared" si="6"/>
        <v>0</v>
      </c>
      <c r="H97" s="1067">
        <f t="shared" si="7"/>
        <v>672.58879999999999</v>
      </c>
      <c r="I97" s="1067">
        <f t="shared" si="8"/>
        <v>672.58879999999999</v>
      </c>
    </row>
    <row r="98" spans="1:9" hidden="1" outlineLevel="1" x14ac:dyDescent="0.3">
      <c r="A98" s="39"/>
      <c r="B98" s="65" t="s">
        <v>139</v>
      </c>
      <c r="C98" s="66" t="s">
        <v>62</v>
      </c>
      <c r="D98" s="58">
        <f>31/1000*1.04</f>
        <v>3.2239999999999998E-2</v>
      </c>
      <c r="E98" s="108"/>
      <c r="F98" s="108">
        <v>40000</v>
      </c>
      <c r="G98" s="1067">
        <f t="shared" si="6"/>
        <v>0</v>
      </c>
      <c r="H98" s="1067">
        <f t="shared" si="7"/>
        <v>1289.5999999999999</v>
      </c>
      <c r="I98" s="1067">
        <f t="shared" si="8"/>
        <v>1289.5999999999999</v>
      </c>
    </row>
    <row r="99" spans="1:9" hidden="1" outlineLevel="1" x14ac:dyDescent="0.3">
      <c r="A99" s="39"/>
      <c r="B99" s="63" t="s">
        <v>71</v>
      </c>
      <c r="C99" s="42" t="s">
        <v>62</v>
      </c>
      <c r="D99" s="43">
        <f>0.02*(SUM(D94:D98))</f>
        <v>0.13246271999999998</v>
      </c>
      <c r="E99" s="108"/>
      <c r="F99" s="108">
        <v>53104</v>
      </c>
      <c r="G99" s="1067">
        <f t="shared" si="6"/>
        <v>0</v>
      </c>
      <c r="H99" s="1067">
        <f t="shared" si="7"/>
        <v>7034.300282879999</v>
      </c>
      <c r="I99" s="1067">
        <f t="shared" si="8"/>
        <v>7034.300282879999</v>
      </c>
    </row>
    <row r="100" spans="1:9" hidden="1" outlineLevel="1" x14ac:dyDescent="0.3">
      <c r="A100" s="39" t="s">
        <v>143</v>
      </c>
      <c r="B100" s="1145" t="s">
        <v>144</v>
      </c>
      <c r="C100" s="66" t="s">
        <v>44</v>
      </c>
      <c r="D100" s="58">
        <v>38</v>
      </c>
      <c r="E100" s="108"/>
      <c r="F100" s="108"/>
      <c r="G100" s="1067">
        <f t="shared" si="6"/>
        <v>0</v>
      </c>
      <c r="H100" s="1067">
        <f t="shared" si="7"/>
        <v>0</v>
      </c>
      <c r="I100" s="1067">
        <f t="shared" si="8"/>
        <v>0</v>
      </c>
    </row>
    <row r="101" spans="1:9" hidden="1" outlineLevel="1" x14ac:dyDescent="0.3">
      <c r="A101" s="39"/>
      <c r="B101" s="65" t="s">
        <v>100</v>
      </c>
      <c r="C101" s="66" t="s">
        <v>62</v>
      </c>
      <c r="D101" s="58">
        <v>9.0060000000000001E-3</v>
      </c>
      <c r="E101" s="108"/>
      <c r="F101" s="108">
        <v>39400</v>
      </c>
      <c r="G101" s="1067">
        <f t="shared" si="6"/>
        <v>0</v>
      </c>
      <c r="H101" s="1067">
        <f t="shared" si="7"/>
        <v>354.83640000000003</v>
      </c>
      <c r="I101" s="1067">
        <f t="shared" si="8"/>
        <v>354.83640000000003</v>
      </c>
    </row>
    <row r="102" spans="1:9" hidden="1" outlineLevel="1" x14ac:dyDescent="0.3">
      <c r="A102" s="39"/>
      <c r="B102" s="65" t="s">
        <v>145</v>
      </c>
      <c r="C102" s="66" t="s">
        <v>62</v>
      </c>
      <c r="D102" s="58">
        <v>1.7898000000000004E-2</v>
      </c>
      <c r="E102" s="108"/>
      <c r="F102" s="108">
        <v>46300</v>
      </c>
      <c r="G102" s="1067">
        <f t="shared" si="6"/>
        <v>0</v>
      </c>
      <c r="H102" s="1067">
        <f t="shared" si="7"/>
        <v>828.67740000000015</v>
      </c>
      <c r="I102" s="1067">
        <f t="shared" si="8"/>
        <v>828.67740000000015</v>
      </c>
    </row>
    <row r="103" spans="1:9" hidden="1" outlineLevel="1" x14ac:dyDescent="0.3">
      <c r="A103" s="39" t="s">
        <v>146</v>
      </c>
      <c r="B103" s="1145" t="s">
        <v>147</v>
      </c>
      <c r="C103" s="66"/>
      <c r="D103" s="58"/>
      <c r="E103" s="108"/>
      <c r="F103" s="108"/>
      <c r="G103" s="1067">
        <f t="shared" si="6"/>
        <v>0</v>
      </c>
      <c r="H103" s="1067">
        <f t="shared" si="7"/>
        <v>0</v>
      </c>
      <c r="I103" s="1067">
        <f t="shared" si="8"/>
        <v>0</v>
      </c>
    </row>
    <row r="104" spans="1:9" hidden="1" outlineLevel="1" x14ac:dyDescent="0.3">
      <c r="A104" s="39"/>
      <c r="B104" s="65" t="s">
        <v>148</v>
      </c>
      <c r="C104" s="66" t="s">
        <v>62</v>
      </c>
      <c r="D104" s="1143">
        <f>26*3.61/1000</f>
        <v>9.3859999999999999E-2</v>
      </c>
      <c r="E104" s="108"/>
      <c r="F104" s="108">
        <v>45950</v>
      </c>
      <c r="G104" s="1067">
        <f t="shared" si="6"/>
        <v>0</v>
      </c>
      <c r="H104" s="1067">
        <f t="shared" si="7"/>
        <v>4312.8670000000002</v>
      </c>
      <c r="I104" s="1067">
        <f t="shared" si="8"/>
        <v>4312.8670000000002</v>
      </c>
    </row>
    <row r="105" spans="1:9" hidden="1" outlineLevel="1" x14ac:dyDescent="0.3">
      <c r="A105" s="39"/>
      <c r="B105" s="65" t="s">
        <v>149</v>
      </c>
      <c r="C105" s="66" t="s">
        <v>62</v>
      </c>
      <c r="D105" s="1143">
        <f>7*1.87/1000</f>
        <v>1.3089999999999999E-2</v>
      </c>
      <c r="E105" s="108"/>
      <c r="F105" s="108">
        <v>45950</v>
      </c>
      <c r="G105" s="1067">
        <f t="shared" si="6"/>
        <v>0</v>
      </c>
      <c r="H105" s="1067">
        <f t="shared" si="7"/>
        <v>601.4855</v>
      </c>
      <c r="I105" s="1067">
        <f t="shared" si="8"/>
        <v>601.4855</v>
      </c>
    </row>
    <row r="106" spans="1:9" hidden="1" outlineLevel="1" x14ac:dyDescent="0.3">
      <c r="A106" s="39" t="s">
        <v>150</v>
      </c>
      <c r="B106" s="1146" t="s">
        <v>151</v>
      </c>
      <c r="C106" s="48"/>
      <c r="D106" s="43"/>
      <c r="E106" s="108"/>
      <c r="F106" s="108"/>
      <c r="G106" s="1067">
        <f t="shared" si="6"/>
        <v>0</v>
      </c>
      <c r="H106" s="1067">
        <f t="shared" si="7"/>
        <v>0</v>
      </c>
      <c r="I106" s="1067">
        <f t="shared" si="8"/>
        <v>0</v>
      </c>
    </row>
    <row r="107" spans="1:9" hidden="1" outlineLevel="1" x14ac:dyDescent="0.3">
      <c r="A107" s="39"/>
      <c r="B107" s="65" t="s">
        <v>139</v>
      </c>
      <c r="C107" s="66" t="s">
        <v>62</v>
      </c>
      <c r="D107" s="58">
        <f>296.4/1000*1.04</f>
        <v>0.30825600000000003</v>
      </c>
      <c r="E107" s="108"/>
      <c r="F107" s="108">
        <v>40000</v>
      </c>
      <c r="G107" s="1067">
        <f t="shared" si="6"/>
        <v>0</v>
      </c>
      <c r="H107" s="1067">
        <f t="shared" si="7"/>
        <v>12330.240000000002</v>
      </c>
      <c r="I107" s="1067">
        <f t="shared" si="8"/>
        <v>12330.240000000002</v>
      </c>
    </row>
    <row r="108" spans="1:9" hidden="1" outlineLevel="1" x14ac:dyDescent="0.3">
      <c r="A108" s="39" t="s">
        <v>152</v>
      </c>
      <c r="B108" s="1146" t="s">
        <v>153</v>
      </c>
      <c r="C108" s="42"/>
      <c r="D108" s="1023"/>
      <c r="E108" s="108"/>
      <c r="F108" s="108"/>
      <c r="G108" s="1067">
        <f t="shared" si="6"/>
        <v>0</v>
      </c>
      <c r="H108" s="1067">
        <f t="shared" si="7"/>
        <v>0</v>
      </c>
      <c r="I108" s="1067">
        <f t="shared" si="8"/>
        <v>0</v>
      </c>
    </row>
    <row r="109" spans="1:9" hidden="1" outlineLevel="1" x14ac:dyDescent="0.3">
      <c r="A109" s="39"/>
      <c r="B109" s="65" t="s">
        <v>142</v>
      </c>
      <c r="C109" s="66" t="s">
        <v>62</v>
      </c>
      <c r="D109" s="1023">
        <f>(2*5.3*5)/1000*1.04</f>
        <v>5.5120000000000002E-2</v>
      </c>
      <c r="E109" s="108"/>
      <c r="F109" s="108">
        <v>35100</v>
      </c>
      <c r="G109" s="1067">
        <f t="shared" si="6"/>
        <v>0</v>
      </c>
      <c r="H109" s="1067">
        <f t="shared" si="7"/>
        <v>1934.712</v>
      </c>
      <c r="I109" s="1067">
        <f t="shared" si="8"/>
        <v>1934.712</v>
      </c>
    </row>
    <row r="110" spans="1:9" hidden="1" outlineLevel="1" x14ac:dyDescent="0.3">
      <c r="A110" s="39"/>
      <c r="B110" s="65" t="s">
        <v>138</v>
      </c>
      <c r="C110" s="66" t="s">
        <v>62</v>
      </c>
      <c r="D110" s="1023">
        <f>(2*3.6*6)/1000*1.04</f>
        <v>4.4928000000000003E-2</v>
      </c>
      <c r="E110" s="108"/>
      <c r="F110" s="108">
        <v>33500</v>
      </c>
      <c r="G110" s="1067">
        <f t="shared" si="6"/>
        <v>0</v>
      </c>
      <c r="H110" s="1067">
        <f t="shared" si="7"/>
        <v>1505.0880000000002</v>
      </c>
      <c r="I110" s="1067">
        <f t="shared" si="8"/>
        <v>1505.0880000000002</v>
      </c>
    </row>
    <row r="111" spans="1:9" hidden="1" outlineLevel="1" x14ac:dyDescent="0.3">
      <c r="A111" s="39"/>
      <c r="B111" s="65" t="s">
        <v>113</v>
      </c>
      <c r="C111" s="66" t="s">
        <v>62</v>
      </c>
      <c r="D111" s="1023">
        <f>(2*1.2*5+2*1.4*6)/1000*1.04</f>
        <v>2.9951999999999996E-2</v>
      </c>
      <c r="E111" s="108"/>
      <c r="F111" s="108">
        <v>35000</v>
      </c>
      <c r="G111" s="1067">
        <f t="shared" si="6"/>
        <v>0</v>
      </c>
      <c r="H111" s="1067">
        <f t="shared" si="7"/>
        <v>1048.32</v>
      </c>
      <c r="I111" s="1067">
        <f t="shared" si="8"/>
        <v>1048.32</v>
      </c>
    </row>
    <row r="112" spans="1:9" hidden="1" outlineLevel="1" x14ac:dyDescent="0.3">
      <c r="A112" s="39"/>
      <c r="B112" s="65" t="s">
        <v>139</v>
      </c>
      <c r="C112" s="66" t="s">
        <v>62</v>
      </c>
      <c r="D112" s="1023">
        <f>(5*0.26*5+5*0.25*6)/1000*1.04</f>
        <v>1.456E-2</v>
      </c>
      <c r="E112" s="108"/>
      <c r="F112" s="108">
        <v>40000</v>
      </c>
      <c r="G112" s="1067">
        <f t="shared" si="6"/>
        <v>0</v>
      </c>
      <c r="H112" s="1067">
        <f t="shared" si="7"/>
        <v>582.4</v>
      </c>
      <c r="I112" s="1067">
        <f t="shared" si="8"/>
        <v>582.4</v>
      </c>
    </row>
    <row r="113" spans="1:9" hidden="1" outlineLevel="1" x14ac:dyDescent="0.3">
      <c r="A113" s="39" t="s">
        <v>154</v>
      </c>
      <c r="B113" s="1146" t="s">
        <v>155</v>
      </c>
      <c r="C113" s="42"/>
      <c r="D113" s="1023"/>
      <c r="E113" s="108"/>
      <c r="F113" s="108"/>
      <c r="G113" s="1067">
        <f t="shared" si="6"/>
        <v>0</v>
      </c>
      <c r="H113" s="1067">
        <f t="shared" si="7"/>
        <v>0</v>
      </c>
      <c r="I113" s="1067">
        <f t="shared" si="8"/>
        <v>0</v>
      </c>
    </row>
    <row r="114" spans="1:9" hidden="1" outlineLevel="1" x14ac:dyDescent="0.3">
      <c r="A114" s="39"/>
      <c r="B114" s="63" t="s">
        <v>156</v>
      </c>
      <c r="C114" s="42" t="s">
        <v>34</v>
      </c>
      <c r="D114" s="1023">
        <f>(0.6*0.15*2+0.55*0.15*2+0.55*0.2+0.6*0.2*7+0.55*0.2+0.6*0.15*4+0.37*0.15*4)*0.2</f>
        <v>0.39740000000000003</v>
      </c>
      <c r="E114" s="108"/>
      <c r="F114" s="108">
        <v>4200</v>
      </c>
      <c r="G114" s="1067">
        <f t="shared" si="6"/>
        <v>0</v>
      </c>
      <c r="H114" s="1067">
        <f t="shared" si="7"/>
        <v>1669.0800000000002</v>
      </c>
      <c r="I114" s="1067">
        <f t="shared" si="8"/>
        <v>1669.0800000000002</v>
      </c>
    </row>
    <row r="115" spans="1:9" s="22" customFormat="1" ht="28.8" hidden="1" outlineLevel="1" x14ac:dyDescent="0.3">
      <c r="A115" s="39" t="s">
        <v>157</v>
      </c>
      <c r="B115" s="41" t="s">
        <v>158</v>
      </c>
      <c r="C115" s="42" t="s">
        <v>34</v>
      </c>
      <c r="D115" s="1023">
        <f>1.34*2</f>
        <v>2.68</v>
      </c>
      <c r="E115" s="108">
        <v>2700</v>
      </c>
      <c r="F115" s="108"/>
      <c r="G115" s="1067">
        <f t="shared" si="6"/>
        <v>7236</v>
      </c>
      <c r="H115" s="1067">
        <f t="shared" si="7"/>
        <v>0</v>
      </c>
      <c r="I115" s="1067">
        <f t="shared" si="8"/>
        <v>7236</v>
      </c>
    </row>
    <row r="116" spans="1:9" hidden="1" outlineLevel="1" x14ac:dyDescent="0.3">
      <c r="A116" s="39" t="s">
        <v>159</v>
      </c>
      <c r="B116" s="63" t="s">
        <v>160</v>
      </c>
      <c r="C116" s="42" t="s">
        <v>34</v>
      </c>
      <c r="D116" s="1023">
        <f>1.34*2*1.05</f>
        <v>2.8140000000000005</v>
      </c>
      <c r="E116" s="108"/>
      <c r="F116" s="108">
        <v>5450</v>
      </c>
      <c r="G116" s="1067">
        <f t="shared" si="6"/>
        <v>0</v>
      </c>
      <c r="H116" s="1067">
        <f t="shared" si="7"/>
        <v>15336.300000000003</v>
      </c>
      <c r="I116" s="1067">
        <f t="shared" si="8"/>
        <v>15336.300000000003</v>
      </c>
    </row>
    <row r="117" spans="1:9" hidden="1" outlineLevel="1" x14ac:dyDescent="0.3">
      <c r="A117" s="39" t="s">
        <v>161</v>
      </c>
      <c r="B117" s="63" t="s">
        <v>60</v>
      </c>
      <c r="C117" s="42" t="s">
        <v>62</v>
      </c>
      <c r="D117" s="1023">
        <f>SUM(D118:D119)</f>
        <v>0.26166400000000001</v>
      </c>
      <c r="E117" s="108"/>
      <c r="F117" s="108"/>
      <c r="G117" s="1067">
        <f t="shared" si="6"/>
        <v>0</v>
      </c>
      <c r="H117" s="1067">
        <f t="shared" si="7"/>
        <v>0</v>
      </c>
      <c r="I117" s="1067">
        <f t="shared" si="8"/>
        <v>0</v>
      </c>
    </row>
    <row r="118" spans="1:9" hidden="1" outlineLevel="1" x14ac:dyDescent="0.3">
      <c r="A118" s="39"/>
      <c r="B118" s="63" t="s">
        <v>162</v>
      </c>
      <c r="C118" s="42" t="s">
        <v>62</v>
      </c>
      <c r="D118" s="43">
        <f>(64.5*2)/1000*1.04</f>
        <v>0.13416</v>
      </c>
      <c r="E118" s="163"/>
      <c r="F118" s="108">
        <v>34400</v>
      </c>
      <c r="G118" s="1067">
        <f t="shared" si="6"/>
        <v>0</v>
      </c>
      <c r="H118" s="1067">
        <f t="shared" si="7"/>
        <v>4615.1040000000003</v>
      </c>
      <c r="I118" s="1067">
        <f t="shared" si="8"/>
        <v>4615.1040000000003</v>
      </c>
    </row>
    <row r="119" spans="1:9" hidden="1" outlineLevel="1" x14ac:dyDescent="0.3">
      <c r="A119" s="39"/>
      <c r="B119" s="63" t="s">
        <v>163</v>
      </c>
      <c r="C119" s="42" t="s">
        <v>62</v>
      </c>
      <c r="D119" s="43">
        <f>(61.3*2)/1000*1.04</f>
        <v>0.12750400000000001</v>
      </c>
      <c r="E119" s="163"/>
      <c r="F119" s="108">
        <v>39400</v>
      </c>
      <c r="G119" s="1067">
        <f t="shared" si="6"/>
        <v>0</v>
      </c>
      <c r="H119" s="1067">
        <f t="shared" si="7"/>
        <v>5023.6576000000005</v>
      </c>
      <c r="I119" s="1067">
        <f t="shared" si="8"/>
        <v>5023.6576000000005</v>
      </c>
    </row>
    <row r="120" spans="1:9" hidden="1" outlineLevel="1" x14ac:dyDescent="0.3">
      <c r="A120" s="39"/>
      <c r="B120" s="63" t="s">
        <v>71</v>
      </c>
      <c r="C120" s="42" t="s">
        <v>62</v>
      </c>
      <c r="D120" s="43">
        <f>0.02*(SUM(D118:D119))</f>
        <v>5.2332799999999999E-3</v>
      </c>
      <c r="E120" s="108"/>
      <c r="F120" s="108">
        <v>53104</v>
      </c>
      <c r="G120" s="1067">
        <f t="shared" si="6"/>
        <v>0</v>
      </c>
      <c r="H120" s="1067">
        <f t="shared" si="7"/>
        <v>277.90810111999997</v>
      </c>
      <c r="I120" s="1067">
        <f t="shared" si="8"/>
        <v>277.90810111999997</v>
      </c>
    </row>
    <row r="121" spans="1:9" hidden="1" outlineLevel="1" x14ac:dyDescent="0.3">
      <c r="A121" s="39" t="s">
        <v>164</v>
      </c>
      <c r="B121" s="41" t="s">
        <v>165</v>
      </c>
      <c r="C121" s="42" t="s">
        <v>166</v>
      </c>
      <c r="D121" s="43">
        <v>246</v>
      </c>
      <c r="E121" s="163"/>
      <c r="F121" s="146">
        <v>2333.33</v>
      </c>
      <c r="G121" s="1067">
        <f t="shared" si="6"/>
        <v>0</v>
      </c>
      <c r="H121" s="1067">
        <f t="shared" si="7"/>
        <v>573999.17999999993</v>
      </c>
      <c r="I121" s="1067">
        <f t="shared" si="8"/>
        <v>573999.17999999993</v>
      </c>
    </row>
    <row r="122" spans="1:9" s="22" customFormat="1" ht="28.8" hidden="1" outlineLevel="1" x14ac:dyDescent="0.3">
      <c r="A122" s="39" t="s">
        <v>2576</v>
      </c>
      <c r="B122" s="41" t="s">
        <v>169</v>
      </c>
      <c r="C122" s="42" t="s">
        <v>34</v>
      </c>
      <c r="D122" s="1023">
        <f>(13.87+3.54+0.55)*6+(16.64+4.24+0.66)*3+(20.8+5.3+0.83)*4+(20.8+6.13)*1</f>
        <v>307.03000000000003</v>
      </c>
      <c r="E122" s="163">
        <v>2900</v>
      </c>
      <c r="F122" s="108"/>
      <c r="G122" s="1067">
        <f>D122*E122</f>
        <v>890387.00000000012</v>
      </c>
      <c r="H122" s="1067">
        <f>D122*F122</f>
        <v>0</v>
      </c>
      <c r="I122" s="1067">
        <f>G122+H122</f>
        <v>890387.00000000012</v>
      </c>
    </row>
    <row r="123" spans="1:9" hidden="1" outlineLevel="1" x14ac:dyDescent="0.3">
      <c r="A123" s="39" t="s">
        <v>2577</v>
      </c>
      <c r="B123" s="63" t="s">
        <v>171</v>
      </c>
      <c r="C123" s="42" t="s">
        <v>34</v>
      </c>
      <c r="D123" s="1023">
        <f>(0.55*6+0.66*3+0.83*4)*1.05</f>
        <v>9.0299999999999994</v>
      </c>
      <c r="E123" s="163"/>
      <c r="F123" s="108">
        <v>5450</v>
      </c>
      <c r="G123" s="1067">
        <f t="shared" ref="G123:G186" si="9">D123*E123</f>
        <v>0</v>
      </c>
      <c r="H123" s="1067">
        <f t="shared" ref="H123:H186" si="10">D123*F123</f>
        <v>49213.5</v>
      </c>
      <c r="I123" s="1067">
        <f t="shared" ref="I123:I186" si="11">G123+H123</f>
        <v>49213.5</v>
      </c>
    </row>
    <row r="124" spans="1:9" hidden="1" outlineLevel="1" x14ac:dyDescent="0.3">
      <c r="A124" s="39" t="s">
        <v>2578</v>
      </c>
      <c r="B124" s="63" t="s">
        <v>173</v>
      </c>
      <c r="C124" s="42" t="s">
        <v>34</v>
      </c>
      <c r="D124" s="1023">
        <f>(3.54*6+4.24*3+5.3*4+6.13*1)*1.05</f>
        <v>64.354500000000002</v>
      </c>
      <c r="E124" s="163"/>
      <c r="F124" s="108">
        <v>5400</v>
      </c>
      <c r="G124" s="1067">
        <f t="shared" si="9"/>
        <v>0</v>
      </c>
      <c r="H124" s="1067">
        <f t="shared" si="10"/>
        <v>347514.3</v>
      </c>
      <c r="I124" s="1067">
        <f t="shared" si="11"/>
        <v>347514.3</v>
      </c>
    </row>
    <row r="125" spans="1:9" hidden="1" outlineLevel="1" x14ac:dyDescent="0.3">
      <c r="A125" s="39" t="s">
        <v>2579</v>
      </c>
      <c r="B125" s="63" t="s">
        <v>175</v>
      </c>
      <c r="C125" s="42" t="s">
        <v>34</v>
      </c>
      <c r="D125" s="1023">
        <f>(13.87*6+16.64*3+20.8*4+20.8*1)*1.05</f>
        <v>248.99699999999999</v>
      </c>
      <c r="E125" s="163"/>
      <c r="F125" s="108">
        <v>5300</v>
      </c>
      <c r="G125" s="1067">
        <f t="shared" si="9"/>
        <v>0</v>
      </c>
      <c r="H125" s="1067">
        <f t="shared" si="10"/>
        <v>1319684.0999999999</v>
      </c>
      <c r="I125" s="1067">
        <f t="shared" si="11"/>
        <v>1319684.0999999999</v>
      </c>
    </row>
    <row r="126" spans="1:9" hidden="1" outlineLevel="1" x14ac:dyDescent="0.3">
      <c r="A126" s="39" t="s">
        <v>2580</v>
      </c>
      <c r="B126" s="63" t="s">
        <v>60</v>
      </c>
      <c r="C126" s="42" t="s">
        <v>62</v>
      </c>
      <c r="D126" s="1023">
        <f>SUM(D127:D132)</f>
        <v>38.707447999999999</v>
      </c>
      <c r="E126" s="163"/>
      <c r="F126" s="108"/>
      <c r="G126" s="1067">
        <f t="shared" si="9"/>
        <v>0</v>
      </c>
      <c r="H126" s="1067">
        <f t="shared" si="10"/>
        <v>0</v>
      </c>
      <c r="I126" s="1067">
        <f t="shared" si="11"/>
        <v>0</v>
      </c>
    </row>
    <row r="127" spans="1:9" hidden="1" outlineLevel="1" x14ac:dyDescent="0.3">
      <c r="A127" s="39"/>
      <c r="B127" s="63" t="s">
        <v>177</v>
      </c>
      <c r="C127" s="42" t="s">
        <v>62</v>
      </c>
      <c r="D127" s="1023">
        <f>(220*6+107.2*3+648.8*5)/1000*1.04</f>
        <v>5.0810240000000002</v>
      </c>
      <c r="E127" s="163"/>
      <c r="F127" s="108">
        <v>33200</v>
      </c>
      <c r="G127" s="1067">
        <f t="shared" si="9"/>
        <v>0</v>
      </c>
      <c r="H127" s="1067">
        <f t="shared" si="10"/>
        <v>168689.99679999999</v>
      </c>
      <c r="I127" s="1067">
        <f t="shared" si="11"/>
        <v>168689.99679999999</v>
      </c>
    </row>
    <row r="128" spans="1:9" hidden="1" outlineLevel="1" x14ac:dyDescent="0.3">
      <c r="A128" s="39"/>
      <c r="B128" s="63" t="s">
        <v>178</v>
      </c>
      <c r="C128" s="42" t="s">
        <v>62</v>
      </c>
      <c r="D128" s="1023">
        <f>(791.6*6+720*3+732*5)/1000*1.04</f>
        <v>10.992384000000001</v>
      </c>
      <c r="E128" s="163"/>
      <c r="F128" s="108">
        <v>33500</v>
      </c>
      <c r="G128" s="1067">
        <f t="shared" si="9"/>
        <v>0</v>
      </c>
      <c r="H128" s="1067">
        <f t="shared" si="10"/>
        <v>368244.86400000006</v>
      </c>
      <c r="I128" s="1067">
        <f t="shared" si="11"/>
        <v>368244.86400000006</v>
      </c>
    </row>
    <row r="129" spans="1:9" hidden="1" outlineLevel="1" x14ac:dyDescent="0.3">
      <c r="A129" s="39"/>
      <c r="B129" s="63" t="s">
        <v>162</v>
      </c>
      <c r="C129" s="42" t="s">
        <v>62</v>
      </c>
      <c r="D129" s="1023">
        <f>(610.4*2+610.7*4+844.4*3+976.8*5)/1000*1.04</f>
        <v>11.524032</v>
      </c>
      <c r="E129" s="163"/>
      <c r="F129" s="108">
        <v>34400</v>
      </c>
      <c r="G129" s="1067">
        <f t="shared" si="9"/>
        <v>0</v>
      </c>
      <c r="H129" s="1067">
        <f t="shared" si="10"/>
        <v>396426.70079999999</v>
      </c>
      <c r="I129" s="1067">
        <f t="shared" si="11"/>
        <v>396426.70079999999</v>
      </c>
    </row>
    <row r="130" spans="1:9" hidden="1" outlineLevel="1" x14ac:dyDescent="0.3">
      <c r="A130" s="39"/>
      <c r="B130" s="63" t="s">
        <v>163</v>
      </c>
      <c r="C130" s="42" t="s">
        <v>62</v>
      </c>
      <c r="D130" s="1023">
        <f>(543*6+553*3+647.8*5)/1000*1.04</f>
        <v>8.4822400000000009</v>
      </c>
      <c r="E130" s="163"/>
      <c r="F130" s="108">
        <v>39400</v>
      </c>
      <c r="G130" s="1067">
        <f t="shared" si="9"/>
        <v>0</v>
      </c>
      <c r="H130" s="1067">
        <f t="shared" si="10"/>
        <v>334200.25600000005</v>
      </c>
      <c r="I130" s="1067">
        <f t="shared" si="11"/>
        <v>334200.25600000005</v>
      </c>
    </row>
    <row r="131" spans="1:9" hidden="1" outlineLevel="1" x14ac:dyDescent="0.3">
      <c r="A131" s="39"/>
      <c r="B131" s="63" t="s">
        <v>179</v>
      </c>
      <c r="C131" s="42" t="s">
        <v>62</v>
      </c>
      <c r="D131" s="1023">
        <f>(5.6*2+4.7*4+122.3*3+155.2*5)/1000*1.04</f>
        <v>1.219816</v>
      </c>
      <c r="E131" s="163"/>
      <c r="F131" s="108">
        <v>40000</v>
      </c>
      <c r="G131" s="1067">
        <f t="shared" si="9"/>
        <v>0</v>
      </c>
      <c r="H131" s="1067">
        <f t="shared" si="10"/>
        <v>48792.639999999999</v>
      </c>
      <c r="I131" s="1067">
        <f t="shared" si="11"/>
        <v>48792.639999999999</v>
      </c>
    </row>
    <row r="132" spans="1:9" hidden="1" outlineLevel="1" x14ac:dyDescent="0.3">
      <c r="A132" s="39"/>
      <c r="B132" s="63" t="s">
        <v>180</v>
      </c>
      <c r="C132" s="42" t="s">
        <v>62</v>
      </c>
      <c r="D132" s="1023">
        <f>(96.7*6+96.7*3+96.7*5)/1000*1.04</f>
        <v>1.4079520000000001</v>
      </c>
      <c r="E132" s="163"/>
      <c r="F132" s="108">
        <v>78272.479999999996</v>
      </c>
      <c r="G132" s="1067">
        <f t="shared" si="9"/>
        <v>0</v>
      </c>
      <c r="H132" s="1067">
        <f t="shared" si="10"/>
        <v>110203.89476096</v>
      </c>
      <c r="I132" s="1067">
        <f t="shared" si="11"/>
        <v>110203.89476096</v>
      </c>
    </row>
    <row r="133" spans="1:9" hidden="1" outlineLevel="1" x14ac:dyDescent="0.3">
      <c r="A133" s="39"/>
      <c r="B133" s="63" t="s">
        <v>71</v>
      </c>
      <c r="C133" s="42" t="s">
        <v>62</v>
      </c>
      <c r="D133" s="43">
        <f>0.02*D126</f>
        <v>0.77414896</v>
      </c>
      <c r="E133" s="108"/>
      <c r="F133" s="108">
        <v>53104</v>
      </c>
      <c r="G133" s="1067">
        <f t="shared" si="9"/>
        <v>0</v>
      </c>
      <c r="H133" s="1067">
        <f t="shared" si="10"/>
        <v>41110.406371839999</v>
      </c>
      <c r="I133" s="1067">
        <f t="shared" si="11"/>
        <v>41110.406371839999</v>
      </c>
    </row>
    <row r="134" spans="1:9" s="22" customFormat="1" ht="28.8" hidden="1" outlineLevel="1" x14ac:dyDescent="0.3">
      <c r="A134" s="39" t="s">
        <v>2581</v>
      </c>
      <c r="B134" s="63" t="s">
        <v>182</v>
      </c>
      <c r="C134" s="42" t="s">
        <v>34</v>
      </c>
      <c r="D134" s="1023">
        <f>(17.8+4.54+0.71)*2+(12.2+3.59)*3+(14.64+4.31)*3+(14.64+3.73+0.58)*2+(18.3+5.39)*11+(21.96+6.47)*1+(21.96+5.6+0.87)*1+(19.98+6.47)*1+(19.98+5.6+0.87)*2+(31.31+9.33+1.45)*6+(34.1+10.89+1.69)*1+(19.54+30.2+1.69)*2</f>
        <v>987.10000000000014</v>
      </c>
      <c r="E134" s="163">
        <v>2900</v>
      </c>
      <c r="F134" s="108"/>
      <c r="G134" s="1067">
        <f t="shared" si="9"/>
        <v>2862590.0000000005</v>
      </c>
      <c r="H134" s="1067">
        <f t="shared" si="10"/>
        <v>0</v>
      </c>
      <c r="I134" s="1067">
        <f t="shared" si="11"/>
        <v>2862590.0000000005</v>
      </c>
    </row>
    <row r="135" spans="1:9" hidden="1" outlineLevel="1" x14ac:dyDescent="0.3">
      <c r="A135" s="39" t="s">
        <v>2586</v>
      </c>
      <c r="B135" s="63" t="s">
        <v>171</v>
      </c>
      <c r="C135" s="42" t="s">
        <v>34</v>
      </c>
      <c r="D135" s="1023">
        <f>(0.71*2+0.58*2+0.87*1+0.87*2+1.45*6+1.69*1)*1.05</f>
        <v>16.359000000000002</v>
      </c>
      <c r="E135" s="163"/>
      <c r="F135" s="108">
        <v>5450</v>
      </c>
      <c r="G135" s="1067">
        <f t="shared" si="9"/>
        <v>0</v>
      </c>
      <c r="H135" s="1067">
        <f t="shared" si="10"/>
        <v>89156.55</v>
      </c>
      <c r="I135" s="1067">
        <f t="shared" si="11"/>
        <v>89156.55</v>
      </c>
    </row>
    <row r="136" spans="1:9" hidden="1" outlineLevel="1" x14ac:dyDescent="0.3">
      <c r="A136" s="39" t="s">
        <v>2587</v>
      </c>
      <c r="B136" s="63" t="s">
        <v>173</v>
      </c>
      <c r="C136" s="42" t="s">
        <v>34</v>
      </c>
      <c r="D136" s="1023">
        <f>(4.54*2+3.59*3+4.31*3+3.73*2+5.39*11+6.47*1+5.6*1+6.47*1+5.6*2+9.33*6+10.89*1+30.2*2)*1.05</f>
        <v>269.36699999999996</v>
      </c>
      <c r="E136" s="163"/>
      <c r="F136" s="108">
        <v>5400</v>
      </c>
      <c r="G136" s="1067">
        <f t="shared" si="9"/>
        <v>0</v>
      </c>
      <c r="H136" s="1067">
        <f t="shared" si="10"/>
        <v>1454581.7999999998</v>
      </c>
      <c r="I136" s="1067">
        <f t="shared" si="11"/>
        <v>1454581.7999999998</v>
      </c>
    </row>
    <row r="137" spans="1:9" hidden="1" outlineLevel="1" x14ac:dyDescent="0.3">
      <c r="A137" s="39" t="s">
        <v>2588</v>
      </c>
      <c r="B137" s="63" t="s">
        <v>175</v>
      </c>
      <c r="C137" s="42" t="s">
        <v>34</v>
      </c>
      <c r="D137" s="1023">
        <f>(17.8*2+12.2*3+14.64*3+14.64*2+18.3*11+21.96*1+21.96*1+19.98*1+19.98*2+31.31*6+34.1*1+19.54*2)*1.05</f>
        <v>747.18000000000006</v>
      </c>
      <c r="E137" s="163"/>
      <c r="F137" s="108">
        <v>5300</v>
      </c>
      <c r="G137" s="1067">
        <f t="shared" si="9"/>
        <v>0</v>
      </c>
      <c r="H137" s="1067">
        <f t="shared" si="10"/>
        <v>3960054.0000000005</v>
      </c>
      <c r="I137" s="1067">
        <f t="shared" si="11"/>
        <v>3960054.0000000005</v>
      </c>
    </row>
    <row r="138" spans="1:9" hidden="1" outlineLevel="1" x14ac:dyDescent="0.3">
      <c r="A138" s="39" t="s">
        <v>2589</v>
      </c>
      <c r="B138" s="63" t="s">
        <v>60</v>
      </c>
      <c r="C138" s="42" t="s">
        <v>62</v>
      </c>
      <c r="D138" s="1023">
        <f>SUM(D139:D144)</f>
        <v>124.53875200000002</v>
      </c>
      <c r="E138" s="163"/>
      <c r="F138" s="108"/>
      <c r="G138" s="1067">
        <f t="shared" si="9"/>
        <v>0</v>
      </c>
      <c r="H138" s="1067">
        <f t="shared" si="10"/>
        <v>0</v>
      </c>
      <c r="I138" s="1067">
        <f t="shared" si="11"/>
        <v>0</v>
      </c>
    </row>
    <row r="139" spans="1:9" hidden="1" outlineLevel="1" x14ac:dyDescent="0.3">
      <c r="A139" s="39"/>
      <c r="B139" s="63" t="s">
        <v>177</v>
      </c>
      <c r="C139" s="42" t="s">
        <v>62</v>
      </c>
      <c r="D139" s="1023">
        <f>(321.6*2+107.2*3+428.8*5+648.8*11+589.6*1+702.4*1+589.6*1+589.6*2+107.2*6+107.2*1+107.2*2)/1000*1.04</f>
        <v>14.842048</v>
      </c>
      <c r="E139" s="163"/>
      <c r="F139" s="108">
        <v>35100</v>
      </c>
      <c r="G139" s="1067">
        <f t="shared" si="9"/>
        <v>0</v>
      </c>
      <c r="H139" s="1067">
        <f t="shared" si="10"/>
        <v>520955.8848</v>
      </c>
      <c r="I139" s="1067">
        <f t="shared" si="11"/>
        <v>520955.8848</v>
      </c>
    </row>
    <row r="140" spans="1:9" hidden="1" outlineLevel="1" x14ac:dyDescent="0.3">
      <c r="A140" s="39"/>
      <c r="B140" s="63" t="s">
        <v>178</v>
      </c>
      <c r="C140" s="42" t="s">
        <v>62</v>
      </c>
      <c r="D140" s="1023">
        <f>(1159.6*2+687.2*3+732*5+732*11+836.4*1+766.8*1+834.2*1+834.2*2+991.8*6+1057.4*1+1066.8*2)/1000*1.04</f>
        <v>30.514016000000005</v>
      </c>
      <c r="E140" s="163"/>
      <c r="F140" s="108">
        <v>33500</v>
      </c>
      <c r="G140" s="1067">
        <f t="shared" si="9"/>
        <v>0</v>
      </c>
      <c r="H140" s="1067">
        <f t="shared" si="10"/>
        <v>1022219.5360000002</v>
      </c>
      <c r="I140" s="1067">
        <f t="shared" si="11"/>
        <v>1022219.5360000002</v>
      </c>
    </row>
    <row r="141" spans="1:9" hidden="1" outlineLevel="1" x14ac:dyDescent="0.3">
      <c r="A141" s="39"/>
      <c r="B141" s="63" t="s">
        <v>162</v>
      </c>
      <c r="C141" s="42" t="s">
        <v>62</v>
      </c>
      <c r="D141" s="1023">
        <f>(855.5*2+703.6*3+732.8*5+976.4*10+976.8*1+1099*2+967*1+967*2+1699.2*6+1853.2*1+2092*2)/1000*1.04</f>
        <v>41.140320000000003</v>
      </c>
      <c r="E141" s="163"/>
      <c r="F141" s="108">
        <v>34400</v>
      </c>
      <c r="G141" s="1067">
        <f t="shared" si="9"/>
        <v>0</v>
      </c>
      <c r="H141" s="1067">
        <f t="shared" si="10"/>
        <v>1415227.0080000001</v>
      </c>
      <c r="I141" s="1067">
        <f t="shared" si="11"/>
        <v>1415227.0080000001</v>
      </c>
    </row>
    <row r="142" spans="1:9" hidden="1" outlineLevel="1" x14ac:dyDescent="0.3">
      <c r="A142" s="39"/>
      <c r="B142" s="63" t="s">
        <v>163</v>
      </c>
      <c r="C142" s="42" t="s">
        <v>62</v>
      </c>
      <c r="D142" s="1023">
        <f>(843.7*2+540.7*3+571.2*5+669.1*11+767*1+765.2*1+726*1+726*2+1087.2*6+1182*1+1305.6*2)/1000*1.04</f>
        <v>28.654288000000005</v>
      </c>
      <c r="E142" s="163"/>
      <c r="F142" s="108">
        <v>39400</v>
      </c>
      <c r="G142" s="1067">
        <f t="shared" si="9"/>
        <v>0</v>
      </c>
      <c r="H142" s="1067">
        <f t="shared" si="10"/>
        <v>1128978.9472000003</v>
      </c>
      <c r="I142" s="1067">
        <f t="shared" si="11"/>
        <v>1128978.9472000003</v>
      </c>
    </row>
    <row r="143" spans="1:9" hidden="1" outlineLevel="1" x14ac:dyDescent="0.3">
      <c r="A143" s="39"/>
      <c r="B143" s="63" t="s">
        <v>179</v>
      </c>
      <c r="C143" s="42" t="s">
        <v>62</v>
      </c>
      <c r="D143" s="1023">
        <f>(4.2*2+0.3*3+117.5*5+155.8*10+155.9*1+176.1*1+174.9*1+162.8*1+162.8*2+246.2*6+272.5*1+296.1*2)/1000*1.04</f>
        <v>5.7116800000000003</v>
      </c>
      <c r="E143" s="163"/>
      <c r="F143" s="108">
        <v>40000</v>
      </c>
      <c r="G143" s="1067">
        <f t="shared" si="9"/>
        <v>0</v>
      </c>
      <c r="H143" s="1067">
        <f t="shared" si="10"/>
        <v>228467.20000000001</v>
      </c>
      <c r="I143" s="1067">
        <f t="shared" si="11"/>
        <v>228467.20000000001</v>
      </c>
    </row>
    <row r="144" spans="1:9" hidden="1" outlineLevel="1" x14ac:dyDescent="0.3">
      <c r="A144" s="39"/>
      <c r="B144" s="63" t="s">
        <v>187</v>
      </c>
      <c r="C144" s="42" t="s">
        <v>62</v>
      </c>
      <c r="D144" s="1023">
        <f>(146.4*2+99.8*3+96.7*2+99.8*3+99.8*11+99.8*1+96.7*1+99.8*1+96.7*2+96.7*6+96.7*1+92.8*2)/1000*1.04</f>
        <v>3.6764000000000006</v>
      </c>
      <c r="E144" s="163"/>
      <c r="F144" s="108">
        <v>78272.479999999996</v>
      </c>
      <c r="G144" s="1067">
        <f t="shared" si="9"/>
        <v>0</v>
      </c>
      <c r="H144" s="1067">
        <f t="shared" si="10"/>
        <v>287760.94547200005</v>
      </c>
      <c r="I144" s="1067">
        <f t="shared" si="11"/>
        <v>287760.94547200005</v>
      </c>
    </row>
    <row r="145" spans="1:9" hidden="1" outlineLevel="1" x14ac:dyDescent="0.3">
      <c r="A145" s="39"/>
      <c r="B145" s="63" t="s">
        <v>71</v>
      </c>
      <c r="C145" s="42" t="s">
        <v>62</v>
      </c>
      <c r="D145" s="43">
        <f>0.02*D138</f>
        <v>2.4907750400000004</v>
      </c>
      <c r="E145" s="108"/>
      <c r="F145" s="108">
        <v>53104</v>
      </c>
      <c r="G145" s="1067">
        <f t="shared" si="9"/>
        <v>0</v>
      </c>
      <c r="H145" s="1067">
        <f t="shared" si="10"/>
        <v>132270.11772416002</v>
      </c>
      <c r="I145" s="1067">
        <f t="shared" si="11"/>
        <v>132270.11772416002</v>
      </c>
    </row>
    <row r="146" spans="1:9" ht="28.8" hidden="1" outlineLevel="1" x14ac:dyDescent="0.3">
      <c r="A146" s="39"/>
      <c r="B146" s="1147" t="s">
        <v>188</v>
      </c>
      <c r="C146" s="1148" t="s">
        <v>62</v>
      </c>
      <c r="D146" s="1148">
        <f>0.046/2</f>
        <v>2.3E-2</v>
      </c>
      <c r="E146" s="108"/>
      <c r="F146" s="146">
        <v>35800</v>
      </c>
      <c r="G146" s="1067">
        <f t="shared" si="9"/>
        <v>0</v>
      </c>
      <c r="H146" s="1067">
        <f t="shared" si="10"/>
        <v>823.4</v>
      </c>
      <c r="I146" s="1067">
        <f t="shared" si="11"/>
        <v>823.4</v>
      </c>
    </row>
    <row r="147" spans="1:9" s="22" customFormat="1" ht="28.8" hidden="1" outlineLevel="1" x14ac:dyDescent="0.3">
      <c r="A147" s="39" t="s">
        <v>2590</v>
      </c>
      <c r="B147" s="41" t="s">
        <v>190</v>
      </c>
      <c r="C147" s="42" t="s">
        <v>34</v>
      </c>
      <c r="D147" s="43">
        <f>134.6+134.1+133.4*4+133.3*5+133*6+132.9*6+129.8+123.6</f>
        <v>3317.6000000000004</v>
      </c>
      <c r="E147" s="108">
        <v>2800</v>
      </c>
      <c r="F147" s="108"/>
      <c r="G147" s="1067">
        <f t="shared" si="9"/>
        <v>9289280.0000000019</v>
      </c>
      <c r="H147" s="1067">
        <f t="shared" si="10"/>
        <v>0</v>
      </c>
      <c r="I147" s="1067">
        <f t="shared" si="11"/>
        <v>9289280.0000000019</v>
      </c>
    </row>
    <row r="148" spans="1:9" hidden="1" outlineLevel="1" x14ac:dyDescent="0.3">
      <c r="A148" s="39" t="s">
        <v>2591</v>
      </c>
      <c r="B148" s="63" t="s">
        <v>175</v>
      </c>
      <c r="C148" s="42" t="s">
        <v>34</v>
      </c>
      <c r="D148" s="43">
        <f>D147*1.05</f>
        <v>3483.4800000000005</v>
      </c>
      <c r="E148" s="108"/>
      <c r="F148" s="108">
        <v>5200</v>
      </c>
      <c r="G148" s="1067">
        <f t="shared" si="9"/>
        <v>0</v>
      </c>
      <c r="H148" s="1067">
        <f t="shared" si="10"/>
        <v>18114096.000000004</v>
      </c>
      <c r="I148" s="1067">
        <f t="shared" si="11"/>
        <v>18114096.000000004</v>
      </c>
    </row>
    <row r="149" spans="1:9" hidden="1" outlineLevel="1" x14ac:dyDescent="0.3">
      <c r="A149" s="39" t="s">
        <v>2592</v>
      </c>
      <c r="B149" s="1145" t="s">
        <v>136</v>
      </c>
      <c r="C149" s="66"/>
      <c r="D149" s="58"/>
      <c r="E149" s="108"/>
      <c r="F149" s="108"/>
      <c r="G149" s="1067">
        <f t="shared" si="9"/>
        <v>0</v>
      </c>
      <c r="H149" s="1067">
        <f t="shared" si="10"/>
        <v>0</v>
      </c>
      <c r="I149" s="1067">
        <f t="shared" si="11"/>
        <v>0</v>
      </c>
    </row>
    <row r="150" spans="1:9" hidden="1" outlineLevel="1" x14ac:dyDescent="0.3">
      <c r="A150" s="39"/>
      <c r="B150" s="65" t="s">
        <v>113</v>
      </c>
      <c r="C150" s="66" t="s">
        <v>62</v>
      </c>
      <c r="D150" s="58">
        <f>(4960.7+5014.6+5147.9*4+5116.2*5+5116.8*6+5114.8*6+4955.9+4661.9)/1000*1.04</f>
        <v>132.241512</v>
      </c>
      <c r="E150" s="108"/>
      <c r="F150" s="108">
        <v>35100</v>
      </c>
      <c r="G150" s="1067">
        <f t="shared" si="9"/>
        <v>0</v>
      </c>
      <c r="H150" s="1067">
        <f t="shared" si="10"/>
        <v>4641677.0712000001</v>
      </c>
      <c r="I150" s="1067">
        <f t="shared" si="11"/>
        <v>4641677.0712000001</v>
      </c>
    </row>
    <row r="151" spans="1:9" hidden="1" outlineLevel="1" x14ac:dyDescent="0.3">
      <c r="A151" s="39"/>
      <c r="B151" s="65" t="s">
        <v>137</v>
      </c>
      <c r="C151" s="66" t="s">
        <v>62</v>
      </c>
      <c r="D151" s="58">
        <f>(28.2+28.2+28.2*4+89.8*5+39.4*6+28.2*6+32.4+25.4)/1000*1.04</f>
        <v>1.1248640000000001</v>
      </c>
      <c r="E151" s="108"/>
      <c r="F151" s="108">
        <v>34400</v>
      </c>
      <c r="G151" s="1067">
        <f t="shared" si="9"/>
        <v>0</v>
      </c>
      <c r="H151" s="1067">
        <f t="shared" si="10"/>
        <v>38695.321600000003</v>
      </c>
      <c r="I151" s="1067">
        <f t="shared" si="11"/>
        <v>38695.321600000003</v>
      </c>
    </row>
    <row r="152" spans="1:9" hidden="1" outlineLevel="1" x14ac:dyDescent="0.3">
      <c r="A152" s="39"/>
      <c r="B152" s="65" t="s">
        <v>138</v>
      </c>
      <c r="C152" s="66" t="s">
        <v>62</v>
      </c>
      <c r="D152" s="58">
        <f>(134.2+155.8+155.8*4+155.8*5+287.8*6+324.2*6+346.3+276.6)/1000*1.04</f>
        <v>6.2265840000000008</v>
      </c>
      <c r="E152" s="108"/>
      <c r="F152" s="108">
        <v>33500</v>
      </c>
      <c r="G152" s="1067">
        <f t="shared" si="9"/>
        <v>0</v>
      </c>
      <c r="H152" s="1067">
        <f t="shared" si="10"/>
        <v>208590.56400000001</v>
      </c>
      <c r="I152" s="1067">
        <f t="shared" si="11"/>
        <v>208590.56400000001</v>
      </c>
    </row>
    <row r="153" spans="1:9" hidden="1" outlineLevel="1" x14ac:dyDescent="0.3">
      <c r="A153" s="39"/>
      <c r="B153" s="65" t="s">
        <v>142</v>
      </c>
      <c r="C153" s="66" t="s">
        <v>62</v>
      </c>
      <c r="D153" s="58">
        <f>(35.2)/1000*1.04</f>
        <v>3.6608000000000002E-2</v>
      </c>
      <c r="E153" s="108"/>
      <c r="F153" s="108">
        <v>35100</v>
      </c>
      <c r="G153" s="1067">
        <f t="shared" si="9"/>
        <v>0</v>
      </c>
      <c r="H153" s="1067">
        <f t="shared" si="10"/>
        <v>1284.9408000000001</v>
      </c>
      <c r="I153" s="1067">
        <f t="shared" si="11"/>
        <v>1284.9408000000001</v>
      </c>
    </row>
    <row r="154" spans="1:9" hidden="1" outlineLevel="1" x14ac:dyDescent="0.3">
      <c r="A154" s="39"/>
      <c r="B154" s="65" t="s">
        <v>139</v>
      </c>
      <c r="C154" s="66" t="s">
        <v>62</v>
      </c>
      <c r="D154" s="58">
        <f>(534.2+533.6+533.6*4+533*5+531.9*6+468.7*6+476.6+470.4)/1000*1.04</f>
        <v>13.330512000000001</v>
      </c>
      <c r="E154" s="108"/>
      <c r="F154" s="108">
        <v>40000</v>
      </c>
      <c r="G154" s="1067">
        <f t="shared" si="9"/>
        <v>0</v>
      </c>
      <c r="H154" s="1067">
        <f t="shared" si="10"/>
        <v>533220.48</v>
      </c>
      <c r="I154" s="1067">
        <f t="shared" si="11"/>
        <v>533220.48</v>
      </c>
    </row>
    <row r="155" spans="1:9" hidden="1" outlineLevel="1" x14ac:dyDescent="0.3">
      <c r="A155" s="39"/>
      <c r="B155" s="65" t="s">
        <v>193</v>
      </c>
      <c r="C155" s="66" t="s">
        <v>62</v>
      </c>
      <c r="D155" s="58">
        <f>(15.6*4+15.6*5+15.6*6+15.6*6+15.6)/1000*1.04</f>
        <v>0.35692800000000008</v>
      </c>
      <c r="E155" s="108"/>
      <c r="F155" s="108">
        <v>35800</v>
      </c>
      <c r="G155" s="1067">
        <f t="shared" si="9"/>
        <v>0</v>
      </c>
      <c r="H155" s="1067">
        <f t="shared" si="10"/>
        <v>12778.022400000003</v>
      </c>
      <c r="I155" s="1067">
        <f t="shared" si="11"/>
        <v>12778.022400000003</v>
      </c>
    </row>
    <row r="156" spans="1:9" hidden="1" outlineLevel="1" x14ac:dyDescent="0.3">
      <c r="A156" s="39"/>
      <c r="B156" s="63" t="s">
        <v>71</v>
      </c>
      <c r="C156" s="42" t="s">
        <v>62</v>
      </c>
      <c r="D156" s="43">
        <f>0.02*(SUM(D150:D155))</f>
        <v>3.0663401600000002</v>
      </c>
      <c r="E156" s="108"/>
      <c r="F156" s="108">
        <v>53104</v>
      </c>
      <c r="G156" s="1067">
        <f t="shared" si="9"/>
        <v>0</v>
      </c>
      <c r="H156" s="1067">
        <f t="shared" si="10"/>
        <v>162834.92785664002</v>
      </c>
      <c r="I156" s="1067">
        <f t="shared" si="11"/>
        <v>162834.92785664002</v>
      </c>
    </row>
    <row r="157" spans="1:9" hidden="1" outlineLevel="1" x14ac:dyDescent="0.3">
      <c r="A157" s="39" t="s">
        <v>2593</v>
      </c>
      <c r="B157" s="1145" t="s">
        <v>141</v>
      </c>
      <c r="C157" s="66"/>
      <c r="D157" s="58"/>
      <c r="E157" s="108"/>
      <c r="F157" s="108"/>
      <c r="G157" s="1067">
        <f t="shared" si="9"/>
        <v>0</v>
      </c>
      <c r="H157" s="1067">
        <f t="shared" si="10"/>
        <v>0</v>
      </c>
      <c r="I157" s="1067">
        <f t="shared" si="11"/>
        <v>0</v>
      </c>
    </row>
    <row r="158" spans="1:9" hidden="1" outlineLevel="1" x14ac:dyDescent="0.3">
      <c r="A158" s="39"/>
      <c r="B158" s="65" t="s">
        <v>113</v>
      </c>
      <c r="C158" s="66" t="s">
        <v>62</v>
      </c>
      <c r="D158" s="58">
        <f>(7055.4+7078.9+7149.6*4+7118*5+7240.5*6+7162.4*6+6985.7+6478.9)/1000*1.04</f>
        <v>185.33288799999997</v>
      </c>
      <c r="E158" s="108"/>
      <c r="F158" s="108">
        <v>35100</v>
      </c>
      <c r="G158" s="1067">
        <f t="shared" si="9"/>
        <v>0</v>
      </c>
      <c r="H158" s="1067">
        <f t="shared" si="10"/>
        <v>6505184.3687999994</v>
      </c>
      <c r="I158" s="1067">
        <f t="shared" si="11"/>
        <v>6505184.3687999994</v>
      </c>
    </row>
    <row r="159" spans="1:9" hidden="1" outlineLevel="1" x14ac:dyDescent="0.3">
      <c r="A159" s="39"/>
      <c r="B159" s="65" t="s">
        <v>142</v>
      </c>
      <c r="C159" s="66" t="s">
        <v>62</v>
      </c>
      <c r="D159" s="58">
        <f>(512.6+512.6+512.6*4+512.6*5+512.6*6+512.6*6+512.6+74.4)/1000*1.04</f>
        <v>12.871872000000002</v>
      </c>
      <c r="E159" s="108"/>
      <c r="F159" s="108">
        <v>35100</v>
      </c>
      <c r="G159" s="1067">
        <f t="shared" si="9"/>
        <v>0</v>
      </c>
      <c r="H159" s="1067">
        <f t="shared" si="10"/>
        <v>451802.70720000006</v>
      </c>
      <c r="I159" s="1067">
        <f t="shared" si="11"/>
        <v>451802.70720000006</v>
      </c>
    </row>
    <row r="160" spans="1:9" hidden="1" outlineLevel="1" x14ac:dyDescent="0.3">
      <c r="A160" s="39"/>
      <c r="B160" s="65" t="s">
        <v>138</v>
      </c>
      <c r="C160" s="66" t="s">
        <v>62</v>
      </c>
      <c r="D160" s="58">
        <f>(25.4+50.1+50.1*4+50.1*5+182.1*6+206.5*6+228.6+257)/1000*1.04</f>
        <v>3.477344</v>
      </c>
      <c r="E160" s="108"/>
      <c r="F160" s="108">
        <v>33500</v>
      </c>
      <c r="G160" s="1067">
        <f t="shared" si="9"/>
        <v>0</v>
      </c>
      <c r="H160" s="1067">
        <f t="shared" si="10"/>
        <v>116491.024</v>
      </c>
      <c r="I160" s="1067">
        <f t="shared" si="11"/>
        <v>116491.024</v>
      </c>
    </row>
    <row r="161" spans="1:9" hidden="1" outlineLevel="1" x14ac:dyDescent="0.3">
      <c r="A161" s="39"/>
      <c r="B161" s="65" t="s">
        <v>137</v>
      </c>
      <c r="C161" s="66" t="s">
        <v>62</v>
      </c>
      <c r="D161" s="58">
        <f>(28.2+28.2+28.2*4+89.8*5+39.4*6+28.2*6+32.4+15.2)/1000*1.04</f>
        <v>1.1142560000000001</v>
      </c>
      <c r="E161" s="108"/>
      <c r="F161" s="108">
        <v>34400</v>
      </c>
      <c r="G161" s="1067">
        <f t="shared" si="9"/>
        <v>0</v>
      </c>
      <c r="H161" s="1067">
        <f t="shared" si="10"/>
        <v>38330.406400000007</v>
      </c>
      <c r="I161" s="1067">
        <f t="shared" si="11"/>
        <v>38330.406400000007</v>
      </c>
    </row>
    <row r="162" spans="1:9" hidden="1" outlineLevel="1" x14ac:dyDescent="0.3">
      <c r="A162" s="39"/>
      <c r="B162" s="65" t="s">
        <v>139</v>
      </c>
      <c r="C162" s="66" t="s">
        <v>62</v>
      </c>
      <c r="D162" s="58">
        <f>(65.4+68.5*4+68.5*5+68.5*6+68.5*6+68.5+7.8)/1000*1.04</f>
        <v>1.6434080000000002</v>
      </c>
      <c r="E162" s="108"/>
      <c r="F162" s="108">
        <v>40000</v>
      </c>
      <c r="G162" s="1067">
        <f t="shared" si="9"/>
        <v>0</v>
      </c>
      <c r="H162" s="1067">
        <f t="shared" si="10"/>
        <v>65736.320000000007</v>
      </c>
      <c r="I162" s="1067">
        <f t="shared" si="11"/>
        <v>65736.320000000007</v>
      </c>
    </row>
    <row r="163" spans="1:9" hidden="1" outlineLevel="1" x14ac:dyDescent="0.3">
      <c r="A163" s="39"/>
      <c r="B163" s="63" t="s">
        <v>71</v>
      </c>
      <c r="C163" s="42" t="s">
        <v>62</v>
      </c>
      <c r="D163" s="43">
        <f>0.02*(SUM(D158:D162))</f>
        <v>4.0887953599999989</v>
      </c>
      <c r="E163" s="108"/>
      <c r="F163" s="108">
        <v>53104</v>
      </c>
      <c r="G163" s="1067">
        <f t="shared" si="9"/>
        <v>0</v>
      </c>
      <c r="H163" s="1067">
        <f t="shared" si="10"/>
        <v>217131.38879743995</v>
      </c>
      <c r="I163" s="1067">
        <f t="shared" si="11"/>
        <v>217131.38879743995</v>
      </c>
    </row>
    <row r="164" spans="1:9" hidden="1" outlineLevel="1" x14ac:dyDescent="0.3">
      <c r="A164" s="39" t="s">
        <v>2594</v>
      </c>
      <c r="B164" s="1145" t="s">
        <v>144</v>
      </c>
      <c r="C164" s="66" t="s">
        <v>44</v>
      </c>
      <c r="D164" s="58">
        <f>72+72+72*4+72*5+72*6+72*6+8</f>
        <v>1664</v>
      </c>
      <c r="E164" s="108"/>
      <c r="F164" s="108"/>
      <c r="G164" s="1067">
        <f t="shared" si="9"/>
        <v>0</v>
      </c>
      <c r="H164" s="1067">
        <f t="shared" si="10"/>
        <v>0</v>
      </c>
      <c r="I164" s="1067">
        <f t="shared" si="11"/>
        <v>0</v>
      </c>
    </row>
    <row r="165" spans="1:9" hidden="1" outlineLevel="1" x14ac:dyDescent="0.3">
      <c r="A165" s="39"/>
      <c r="B165" s="65" t="s">
        <v>163</v>
      </c>
      <c r="C165" s="66" t="s">
        <v>62</v>
      </c>
      <c r="D165" s="58">
        <f>(4*0.06*72*23+4*0.06*8)/1000</f>
        <v>0.39936000000000005</v>
      </c>
      <c r="E165" s="108"/>
      <c r="F165" s="108">
        <v>39400</v>
      </c>
      <c r="G165" s="1067">
        <f t="shared" si="9"/>
        <v>0</v>
      </c>
      <c r="H165" s="1067">
        <f t="shared" si="10"/>
        <v>15734.784000000001</v>
      </c>
      <c r="I165" s="1067">
        <f t="shared" si="11"/>
        <v>15734.784000000001</v>
      </c>
    </row>
    <row r="166" spans="1:9" hidden="1" outlineLevel="1" x14ac:dyDescent="0.3">
      <c r="A166" s="39"/>
      <c r="B166" s="65" t="s">
        <v>145</v>
      </c>
      <c r="C166" s="66" t="s">
        <v>62</v>
      </c>
      <c r="D166" s="58">
        <f>(1*0.08*72*23+1*0.08*8)/1000</f>
        <v>0.13311999999999999</v>
      </c>
      <c r="E166" s="108"/>
      <c r="F166" s="108">
        <v>46300</v>
      </c>
      <c r="G166" s="1067">
        <f t="shared" si="9"/>
        <v>0</v>
      </c>
      <c r="H166" s="1067">
        <f t="shared" si="10"/>
        <v>6163.4559999999992</v>
      </c>
      <c r="I166" s="1067">
        <f t="shared" si="11"/>
        <v>6163.4559999999992</v>
      </c>
    </row>
    <row r="167" spans="1:9" hidden="1" outlineLevel="1" x14ac:dyDescent="0.3">
      <c r="A167" s="39" t="s">
        <v>2595</v>
      </c>
      <c r="B167" s="1145" t="s">
        <v>197</v>
      </c>
      <c r="C167" s="66" t="s">
        <v>44</v>
      </c>
      <c r="D167" s="58">
        <v>56</v>
      </c>
      <c r="E167" s="108"/>
      <c r="F167" s="108"/>
      <c r="G167" s="1067">
        <f t="shared" si="9"/>
        <v>0</v>
      </c>
      <c r="H167" s="1067">
        <f t="shared" si="10"/>
        <v>0</v>
      </c>
      <c r="I167" s="1067">
        <f t="shared" si="11"/>
        <v>0</v>
      </c>
    </row>
    <row r="168" spans="1:9" hidden="1" outlineLevel="1" x14ac:dyDescent="0.3">
      <c r="A168" s="39"/>
      <c r="B168" s="65" t="s">
        <v>163</v>
      </c>
      <c r="C168" s="66" t="s">
        <v>62</v>
      </c>
      <c r="D168" s="58">
        <f>(2*0.119*56)/1000</f>
        <v>1.3328E-2</v>
      </c>
      <c r="E168" s="108"/>
      <c r="F168" s="108">
        <v>39400</v>
      </c>
      <c r="G168" s="1067">
        <f t="shared" si="9"/>
        <v>0</v>
      </c>
      <c r="H168" s="1067">
        <f t="shared" si="10"/>
        <v>525.1232</v>
      </c>
      <c r="I168" s="1067">
        <f t="shared" si="11"/>
        <v>525.1232</v>
      </c>
    </row>
    <row r="169" spans="1:9" hidden="1" outlineLevel="1" x14ac:dyDescent="0.3">
      <c r="A169" s="39"/>
      <c r="B169" s="65" t="s">
        <v>198</v>
      </c>
      <c r="C169" s="66" t="s">
        <v>62</v>
      </c>
      <c r="D169" s="58">
        <f>(1*0.157*56)/1000</f>
        <v>8.7919999999999995E-3</v>
      </c>
      <c r="E169" s="108"/>
      <c r="F169" s="108">
        <v>46300</v>
      </c>
      <c r="G169" s="1067">
        <f t="shared" si="9"/>
        <v>0</v>
      </c>
      <c r="H169" s="1067">
        <f t="shared" si="10"/>
        <v>407.06959999999998</v>
      </c>
      <c r="I169" s="1067">
        <f t="shared" si="11"/>
        <v>407.06959999999998</v>
      </c>
    </row>
    <row r="170" spans="1:9" hidden="1" outlineLevel="1" x14ac:dyDescent="0.3">
      <c r="A170" s="39" t="s">
        <v>2596</v>
      </c>
      <c r="B170" s="1145" t="s">
        <v>200</v>
      </c>
      <c r="C170" s="66" t="s">
        <v>44</v>
      </c>
      <c r="D170" s="58">
        <f>64</f>
        <v>64</v>
      </c>
      <c r="E170" s="108"/>
      <c r="F170" s="108"/>
      <c r="G170" s="1067">
        <f t="shared" si="9"/>
        <v>0</v>
      </c>
      <c r="H170" s="1067">
        <f t="shared" si="10"/>
        <v>0</v>
      </c>
      <c r="I170" s="1067">
        <f t="shared" si="11"/>
        <v>0</v>
      </c>
    </row>
    <row r="171" spans="1:9" hidden="1" outlineLevel="1" x14ac:dyDescent="0.3">
      <c r="A171" s="39"/>
      <c r="B171" s="65" t="s">
        <v>201</v>
      </c>
      <c r="C171" s="66" t="s">
        <v>62</v>
      </c>
      <c r="D171" s="58">
        <f>(8*0.133*64)/1000</f>
        <v>6.8096000000000004E-2</v>
      </c>
      <c r="E171" s="108"/>
      <c r="F171" s="108">
        <v>34400</v>
      </c>
      <c r="G171" s="1067">
        <f t="shared" si="9"/>
        <v>0</v>
      </c>
      <c r="H171" s="1067">
        <f t="shared" si="10"/>
        <v>2342.5024000000003</v>
      </c>
      <c r="I171" s="1067">
        <f t="shared" si="11"/>
        <v>2342.5024000000003</v>
      </c>
    </row>
    <row r="172" spans="1:9" hidden="1" outlineLevel="1" x14ac:dyDescent="0.3">
      <c r="A172" s="39"/>
      <c r="B172" s="65" t="s">
        <v>202</v>
      </c>
      <c r="C172" s="66" t="s">
        <v>62</v>
      </c>
      <c r="D172" s="58">
        <f>(1*0.471*64)/1000</f>
        <v>3.0143999999999997E-2</v>
      </c>
      <c r="E172" s="108"/>
      <c r="F172" s="108">
        <v>43000</v>
      </c>
      <c r="G172" s="1067">
        <f t="shared" si="9"/>
        <v>0</v>
      </c>
      <c r="H172" s="1067">
        <f t="shared" si="10"/>
        <v>1296.1919999999998</v>
      </c>
      <c r="I172" s="1067">
        <f t="shared" si="11"/>
        <v>1296.1919999999998</v>
      </c>
    </row>
    <row r="173" spans="1:9" hidden="1" outlineLevel="1" x14ac:dyDescent="0.3">
      <c r="A173" s="39" t="s">
        <v>2597</v>
      </c>
      <c r="B173" s="1145" t="s">
        <v>147</v>
      </c>
      <c r="C173" s="66"/>
      <c r="D173" s="58"/>
      <c r="E173" s="108"/>
      <c r="F173" s="108"/>
      <c r="G173" s="1067">
        <f t="shared" si="9"/>
        <v>0</v>
      </c>
      <c r="H173" s="1067">
        <f t="shared" si="10"/>
        <v>0</v>
      </c>
      <c r="I173" s="1067">
        <f t="shared" si="11"/>
        <v>0</v>
      </c>
    </row>
    <row r="174" spans="1:9" hidden="1" outlineLevel="1" x14ac:dyDescent="0.3">
      <c r="A174" s="39"/>
      <c r="B174" s="65" t="s">
        <v>148</v>
      </c>
      <c r="C174" s="66" t="s">
        <v>62</v>
      </c>
      <c r="D174" s="1143">
        <f>(15*3.61*24)/1000</f>
        <v>1.2995999999999999</v>
      </c>
      <c r="E174" s="108"/>
      <c r="F174" s="108">
        <v>49067.5</v>
      </c>
      <c r="G174" s="1067">
        <f t="shared" si="9"/>
        <v>0</v>
      </c>
      <c r="H174" s="1067">
        <f t="shared" si="10"/>
        <v>63768.122999999992</v>
      </c>
      <c r="I174" s="1067">
        <f t="shared" si="11"/>
        <v>63768.122999999992</v>
      </c>
    </row>
    <row r="175" spans="1:9" hidden="1" outlineLevel="1" x14ac:dyDescent="0.3">
      <c r="A175" s="39"/>
      <c r="B175" s="65" t="s">
        <v>149</v>
      </c>
      <c r="C175" s="66" t="s">
        <v>62</v>
      </c>
      <c r="D175" s="1143">
        <f>(7*1.87*24)/1000</f>
        <v>0.31415999999999999</v>
      </c>
      <c r="E175" s="108"/>
      <c r="F175" s="108">
        <v>49067.5</v>
      </c>
      <c r="G175" s="1067">
        <f t="shared" si="9"/>
        <v>0</v>
      </c>
      <c r="H175" s="1067">
        <f t="shared" si="10"/>
        <v>15415.0458</v>
      </c>
      <c r="I175" s="1067">
        <f t="shared" si="11"/>
        <v>15415.0458</v>
      </c>
    </row>
    <row r="176" spans="1:9" hidden="1" outlineLevel="1" x14ac:dyDescent="0.3">
      <c r="A176" s="39" t="s">
        <v>2598</v>
      </c>
      <c r="B176" s="1149" t="s">
        <v>205</v>
      </c>
      <c r="C176" s="48"/>
      <c r="D176" s="43"/>
      <c r="E176" s="108"/>
      <c r="F176" s="108"/>
      <c r="G176" s="1067">
        <f t="shared" si="9"/>
        <v>0</v>
      </c>
      <c r="H176" s="1067">
        <f t="shared" si="10"/>
        <v>0</v>
      </c>
      <c r="I176" s="1067">
        <f t="shared" si="11"/>
        <v>0</v>
      </c>
    </row>
    <row r="177" spans="1:9" hidden="1" outlineLevel="1" x14ac:dyDescent="0.3">
      <c r="A177" s="39"/>
      <c r="B177" s="65" t="s">
        <v>139</v>
      </c>
      <c r="C177" s="66" t="s">
        <v>62</v>
      </c>
      <c r="D177" s="58">
        <f>(569.5*6+569.5*5+569.5*6+569.5*6+569.5+353)/1000*1.04</f>
        <v>14.581840000000001</v>
      </c>
      <c r="E177" s="108"/>
      <c r="F177" s="108">
        <v>40000</v>
      </c>
      <c r="G177" s="1067">
        <f t="shared" si="9"/>
        <v>0</v>
      </c>
      <c r="H177" s="1067">
        <f t="shared" si="10"/>
        <v>583273.60000000009</v>
      </c>
      <c r="I177" s="1067">
        <f t="shared" si="11"/>
        <v>583273.60000000009</v>
      </c>
    </row>
    <row r="178" spans="1:9" hidden="1" outlineLevel="1" x14ac:dyDescent="0.3">
      <c r="A178" s="39" t="s">
        <v>2599</v>
      </c>
      <c r="B178" s="1149" t="s">
        <v>155</v>
      </c>
      <c r="C178" s="42"/>
      <c r="D178" s="1023"/>
      <c r="E178" s="108"/>
      <c r="F178" s="108"/>
      <c r="G178" s="1067">
        <f t="shared" si="9"/>
        <v>0</v>
      </c>
      <c r="H178" s="1067">
        <f t="shared" si="10"/>
        <v>0</v>
      </c>
      <c r="I178" s="1067">
        <f t="shared" si="11"/>
        <v>0</v>
      </c>
    </row>
    <row r="179" spans="1:9" hidden="1" outlineLevel="1" x14ac:dyDescent="0.3">
      <c r="A179" s="39"/>
      <c r="B179" s="41" t="s">
        <v>156</v>
      </c>
      <c r="C179" s="42" t="s">
        <v>34</v>
      </c>
      <c r="D179" s="1023">
        <f>(0.6*0.15*29+0.5*0.15*3+0.4*0.15*5+0.55*0.15*12+0.5*0.15*4*23+0.4*0.15*6*23+0.6*0.15*27*23+0.55*0.15*13*23+0.55*0.15*2+0.6*0.15*7)*0.2</f>
        <v>20.131500000000003</v>
      </c>
      <c r="E179" s="108"/>
      <c r="F179" s="108">
        <v>4200</v>
      </c>
      <c r="G179" s="1067">
        <f t="shared" si="9"/>
        <v>0</v>
      </c>
      <c r="H179" s="1067">
        <f t="shared" si="10"/>
        <v>84552.300000000017</v>
      </c>
      <c r="I179" s="1067">
        <f t="shared" si="11"/>
        <v>84552.300000000017</v>
      </c>
    </row>
    <row r="180" spans="1:9" hidden="1" outlineLevel="1" x14ac:dyDescent="0.3">
      <c r="A180" s="39" t="s">
        <v>2600</v>
      </c>
      <c r="B180" s="1145" t="s">
        <v>208</v>
      </c>
      <c r="C180" s="66" t="s">
        <v>44</v>
      </c>
      <c r="D180" s="58">
        <f>456</f>
        <v>456</v>
      </c>
      <c r="E180" s="108"/>
      <c r="F180" s="108"/>
      <c r="G180" s="1067">
        <f t="shared" si="9"/>
        <v>0</v>
      </c>
      <c r="H180" s="1067">
        <f t="shared" si="10"/>
        <v>0</v>
      </c>
      <c r="I180" s="1067">
        <f t="shared" si="11"/>
        <v>0</v>
      </c>
    </row>
    <row r="181" spans="1:9" hidden="1" outlineLevel="1" x14ac:dyDescent="0.3">
      <c r="A181" s="39"/>
      <c r="B181" s="65" t="s">
        <v>142</v>
      </c>
      <c r="C181" s="66" t="s">
        <v>62</v>
      </c>
      <c r="D181" s="58">
        <f>2*5.3*456/1000*1.04</f>
        <v>5.0269439999999994</v>
      </c>
      <c r="E181" s="108"/>
      <c r="F181" s="108">
        <v>35100</v>
      </c>
      <c r="G181" s="1067">
        <f t="shared" si="9"/>
        <v>0</v>
      </c>
      <c r="H181" s="1067">
        <f t="shared" si="10"/>
        <v>176445.73439999999</v>
      </c>
      <c r="I181" s="1067">
        <f t="shared" si="11"/>
        <v>176445.73439999999</v>
      </c>
    </row>
    <row r="182" spans="1:9" hidden="1" outlineLevel="1" x14ac:dyDescent="0.3">
      <c r="A182" s="39"/>
      <c r="B182" s="65" t="s">
        <v>113</v>
      </c>
      <c r="C182" s="66" t="s">
        <v>62</v>
      </c>
      <c r="D182" s="58">
        <f>2*1.4*456/1000*1.04</f>
        <v>1.3278719999999999</v>
      </c>
      <c r="E182" s="108"/>
      <c r="F182" s="108">
        <v>35100</v>
      </c>
      <c r="G182" s="1067">
        <f t="shared" si="9"/>
        <v>0</v>
      </c>
      <c r="H182" s="1067">
        <f t="shared" si="10"/>
        <v>46608.307199999996</v>
      </c>
      <c r="I182" s="1067">
        <f t="shared" si="11"/>
        <v>46608.307199999996</v>
      </c>
    </row>
    <row r="183" spans="1:9" hidden="1" outlineLevel="1" x14ac:dyDescent="0.3">
      <c r="A183" s="39"/>
      <c r="B183" s="65" t="s">
        <v>139</v>
      </c>
      <c r="C183" s="66" t="s">
        <v>62</v>
      </c>
      <c r="D183" s="58">
        <f>5*0.26*456/1000*1.04</f>
        <v>0.61651200000000017</v>
      </c>
      <c r="E183" s="108"/>
      <c r="F183" s="108">
        <v>40000</v>
      </c>
      <c r="G183" s="1067">
        <f t="shared" si="9"/>
        <v>0</v>
      </c>
      <c r="H183" s="1067">
        <f t="shared" si="10"/>
        <v>24660.480000000007</v>
      </c>
      <c r="I183" s="1067">
        <f t="shared" si="11"/>
        <v>24660.480000000007</v>
      </c>
    </row>
    <row r="184" spans="1:9" hidden="1" outlineLevel="1" x14ac:dyDescent="0.3">
      <c r="A184" s="39" t="s">
        <v>2601</v>
      </c>
      <c r="B184" s="1145" t="s">
        <v>210</v>
      </c>
      <c r="C184" s="66" t="s">
        <v>44</v>
      </c>
      <c r="D184" s="58">
        <v>336</v>
      </c>
      <c r="E184" s="108"/>
      <c r="F184" s="108"/>
      <c r="G184" s="1067">
        <f t="shared" si="9"/>
        <v>0</v>
      </c>
      <c r="H184" s="1067">
        <f t="shared" si="10"/>
        <v>0</v>
      </c>
      <c r="I184" s="1067">
        <f t="shared" si="11"/>
        <v>0</v>
      </c>
    </row>
    <row r="185" spans="1:9" hidden="1" outlineLevel="1" x14ac:dyDescent="0.3">
      <c r="A185" s="39"/>
      <c r="B185" s="65" t="s">
        <v>142</v>
      </c>
      <c r="C185" s="66" t="s">
        <v>62</v>
      </c>
      <c r="D185" s="58">
        <f>2*5.3*336/1000*1.04</f>
        <v>3.7040639999999998</v>
      </c>
      <c r="E185" s="108"/>
      <c r="F185" s="108">
        <v>35100</v>
      </c>
      <c r="G185" s="1067">
        <f t="shared" si="9"/>
        <v>0</v>
      </c>
      <c r="H185" s="1067">
        <f t="shared" si="10"/>
        <v>130012.6464</v>
      </c>
      <c r="I185" s="1067">
        <f t="shared" si="11"/>
        <v>130012.6464</v>
      </c>
    </row>
    <row r="186" spans="1:9" hidden="1" outlineLevel="1" x14ac:dyDescent="0.3">
      <c r="A186" s="39"/>
      <c r="B186" s="65" t="s">
        <v>113</v>
      </c>
      <c r="C186" s="66" t="s">
        <v>62</v>
      </c>
      <c r="D186" s="58">
        <f>2*1.4*336/1000*1.04</f>
        <v>0.97843199999999997</v>
      </c>
      <c r="E186" s="108"/>
      <c r="F186" s="108">
        <v>35100</v>
      </c>
      <c r="G186" s="1067">
        <f t="shared" si="9"/>
        <v>0</v>
      </c>
      <c r="H186" s="1067">
        <f t="shared" si="10"/>
        <v>34342.963199999998</v>
      </c>
      <c r="I186" s="1067">
        <f t="shared" si="11"/>
        <v>34342.963199999998</v>
      </c>
    </row>
    <row r="187" spans="1:9" hidden="1" outlineLevel="1" x14ac:dyDescent="0.3">
      <c r="A187" s="39"/>
      <c r="B187" s="65" t="s">
        <v>139</v>
      </c>
      <c r="C187" s="66" t="s">
        <v>62</v>
      </c>
      <c r="D187" s="58">
        <f>5*0.26*336/1000*1.04</f>
        <v>0.45427200000000006</v>
      </c>
      <c r="E187" s="108"/>
      <c r="F187" s="108">
        <v>40000</v>
      </c>
      <c r="G187" s="1067">
        <f t="shared" ref="G187:G236" si="12">D187*E187</f>
        <v>0</v>
      </c>
      <c r="H187" s="1067">
        <f t="shared" ref="H187:H236" si="13">D187*F187</f>
        <v>18170.88</v>
      </c>
      <c r="I187" s="1067">
        <f t="shared" ref="I187:I236" si="14">G187+H187</f>
        <v>18170.88</v>
      </c>
    </row>
    <row r="188" spans="1:9" hidden="1" outlineLevel="1" x14ac:dyDescent="0.3">
      <c r="A188" s="39" t="s">
        <v>2602</v>
      </c>
      <c r="B188" s="1145" t="s">
        <v>212</v>
      </c>
      <c r="C188" s="66" t="s">
        <v>44</v>
      </c>
      <c r="D188" s="58">
        <v>192</v>
      </c>
      <c r="E188" s="108"/>
      <c r="F188" s="108"/>
      <c r="G188" s="1067">
        <f t="shared" si="12"/>
        <v>0</v>
      </c>
      <c r="H188" s="1067">
        <f t="shared" si="13"/>
        <v>0</v>
      </c>
      <c r="I188" s="1067">
        <f t="shared" si="14"/>
        <v>0</v>
      </c>
    </row>
    <row r="189" spans="1:9" hidden="1" outlineLevel="1" x14ac:dyDescent="0.3">
      <c r="A189" s="39"/>
      <c r="B189" s="65" t="s">
        <v>142</v>
      </c>
      <c r="C189" s="66" t="s">
        <v>62</v>
      </c>
      <c r="D189" s="58">
        <f>2*5.6*192/1000*1.04</f>
        <v>2.2364159999999993</v>
      </c>
      <c r="E189" s="108"/>
      <c r="F189" s="108">
        <v>35100</v>
      </c>
      <c r="G189" s="1067">
        <f t="shared" si="12"/>
        <v>0</v>
      </c>
      <c r="H189" s="1067">
        <f t="shared" si="13"/>
        <v>78498.201599999971</v>
      </c>
      <c r="I189" s="1067">
        <f t="shared" si="14"/>
        <v>78498.201599999971</v>
      </c>
    </row>
    <row r="190" spans="1:9" hidden="1" outlineLevel="1" x14ac:dyDescent="0.3">
      <c r="A190" s="39"/>
      <c r="B190" s="65" t="s">
        <v>113</v>
      </c>
      <c r="C190" s="66" t="s">
        <v>62</v>
      </c>
      <c r="D190" s="58">
        <f>2*1.5*192/1000*1.04</f>
        <v>0.59904000000000002</v>
      </c>
      <c r="E190" s="108"/>
      <c r="F190" s="108">
        <v>35100</v>
      </c>
      <c r="G190" s="1067">
        <f t="shared" si="12"/>
        <v>0</v>
      </c>
      <c r="H190" s="1067">
        <f t="shared" si="13"/>
        <v>21026.304</v>
      </c>
      <c r="I190" s="1067">
        <f t="shared" si="14"/>
        <v>21026.304</v>
      </c>
    </row>
    <row r="191" spans="1:9" hidden="1" outlineLevel="1" x14ac:dyDescent="0.3">
      <c r="A191" s="39"/>
      <c r="B191" s="65" t="s">
        <v>139</v>
      </c>
      <c r="C191" s="66" t="s">
        <v>62</v>
      </c>
      <c r="D191" s="58">
        <f>5*0.26*192/1000*1.04</f>
        <v>0.25958400000000004</v>
      </c>
      <c r="E191" s="108"/>
      <c r="F191" s="108">
        <v>40000</v>
      </c>
      <c r="G191" s="1067">
        <f t="shared" si="12"/>
        <v>0</v>
      </c>
      <c r="H191" s="1067">
        <f t="shared" si="13"/>
        <v>10383.36</v>
      </c>
      <c r="I191" s="1067">
        <f t="shared" si="14"/>
        <v>10383.36</v>
      </c>
    </row>
    <row r="192" spans="1:9" hidden="1" outlineLevel="1" x14ac:dyDescent="0.3">
      <c r="A192" s="39" t="s">
        <v>2602</v>
      </c>
      <c r="B192" s="1145" t="s">
        <v>214</v>
      </c>
      <c r="C192" s="66" t="s">
        <v>44</v>
      </c>
      <c r="D192" s="58">
        <v>149</v>
      </c>
      <c r="E192" s="108"/>
      <c r="F192" s="108"/>
      <c r="G192" s="1067">
        <f t="shared" si="12"/>
        <v>0</v>
      </c>
      <c r="H192" s="1067">
        <f t="shared" si="13"/>
        <v>0</v>
      </c>
      <c r="I192" s="1067">
        <f t="shared" si="14"/>
        <v>0</v>
      </c>
    </row>
    <row r="193" spans="1:9" hidden="1" outlineLevel="1" x14ac:dyDescent="0.3">
      <c r="A193" s="39"/>
      <c r="B193" s="65" t="s">
        <v>142</v>
      </c>
      <c r="C193" s="66" t="s">
        <v>62</v>
      </c>
      <c r="D193" s="58">
        <f>2*6.1*149/1000*1.04</f>
        <v>1.890512</v>
      </c>
      <c r="E193" s="108"/>
      <c r="F193" s="108">
        <v>35100</v>
      </c>
      <c r="G193" s="1067">
        <f t="shared" si="12"/>
        <v>0</v>
      </c>
      <c r="H193" s="1067">
        <f t="shared" si="13"/>
        <v>66356.9712</v>
      </c>
      <c r="I193" s="1067">
        <f t="shared" si="14"/>
        <v>66356.9712</v>
      </c>
    </row>
    <row r="194" spans="1:9" hidden="1" outlineLevel="1" x14ac:dyDescent="0.3">
      <c r="A194" s="39"/>
      <c r="B194" s="65" t="s">
        <v>113</v>
      </c>
      <c r="C194" s="66" t="s">
        <v>62</v>
      </c>
      <c r="D194" s="58">
        <f>2*1.6*149/1000*1.04</f>
        <v>0.49587200000000003</v>
      </c>
      <c r="E194" s="108"/>
      <c r="F194" s="108">
        <v>35100</v>
      </c>
      <c r="G194" s="1067">
        <f t="shared" si="12"/>
        <v>0</v>
      </c>
      <c r="H194" s="1067">
        <f t="shared" si="13"/>
        <v>17405.107200000002</v>
      </c>
      <c r="I194" s="1067">
        <f t="shared" si="14"/>
        <v>17405.107200000002</v>
      </c>
    </row>
    <row r="195" spans="1:9" hidden="1" outlineLevel="1" x14ac:dyDescent="0.3">
      <c r="A195" s="39"/>
      <c r="B195" s="65" t="s">
        <v>139</v>
      </c>
      <c r="C195" s="66" t="s">
        <v>62</v>
      </c>
      <c r="D195" s="58">
        <f>5*0.26*149/1000*1.04</f>
        <v>0.20144800000000002</v>
      </c>
      <c r="E195" s="108"/>
      <c r="F195" s="108">
        <v>40000</v>
      </c>
      <c r="G195" s="1067">
        <f t="shared" si="12"/>
        <v>0</v>
      </c>
      <c r="H195" s="1067">
        <f t="shared" si="13"/>
        <v>8057.920000000001</v>
      </c>
      <c r="I195" s="1067">
        <f t="shared" si="14"/>
        <v>8057.920000000001</v>
      </c>
    </row>
    <row r="196" spans="1:9" s="22" customFormat="1" ht="28.8" hidden="1" outlineLevel="1" x14ac:dyDescent="0.3">
      <c r="A196" s="39" t="s">
        <v>2603</v>
      </c>
      <c r="B196" s="41" t="s">
        <v>216</v>
      </c>
      <c r="C196" s="42" t="s">
        <v>34</v>
      </c>
      <c r="D196" s="43">
        <f>9.67+9.54*23+6.57</f>
        <v>235.65999999999997</v>
      </c>
      <c r="E196" s="108">
        <v>2700</v>
      </c>
      <c r="F196" s="108"/>
      <c r="G196" s="1067">
        <f t="shared" si="12"/>
        <v>636281.99999999988</v>
      </c>
      <c r="H196" s="1067">
        <f t="shared" si="13"/>
        <v>0</v>
      </c>
      <c r="I196" s="1067">
        <f t="shared" si="14"/>
        <v>636281.99999999988</v>
      </c>
    </row>
    <row r="197" spans="1:9" hidden="1" outlineLevel="1" x14ac:dyDescent="0.3">
      <c r="A197" s="39" t="s">
        <v>2604</v>
      </c>
      <c r="B197" s="63" t="s">
        <v>171</v>
      </c>
      <c r="C197" s="42" t="s">
        <v>34</v>
      </c>
      <c r="D197" s="1150">
        <f>(9.67+9.54*4)*1.05</f>
        <v>50.221499999999999</v>
      </c>
      <c r="E197" s="108"/>
      <c r="F197" s="108">
        <v>5450</v>
      </c>
      <c r="G197" s="1067">
        <f t="shared" si="12"/>
        <v>0</v>
      </c>
      <c r="H197" s="1067">
        <f t="shared" si="13"/>
        <v>273707.17499999999</v>
      </c>
      <c r="I197" s="1067">
        <f t="shared" si="14"/>
        <v>273707.17499999999</v>
      </c>
    </row>
    <row r="198" spans="1:9" hidden="1" outlineLevel="1" x14ac:dyDescent="0.3">
      <c r="A198" s="39" t="s">
        <v>2605</v>
      </c>
      <c r="B198" s="110" t="s">
        <v>175</v>
      </c>
      <c r="C198" s="1021" t="s">
        <v>34</v>
      </c>
      <c r="D198" s="1151">
        <f>(9.54*19+6.57)*1.05</f>
        <v>197.22149999999999</v>
      </c>
      <c r="E198" s="146"/>
      <c r="F198" s="146">
        <v>5300</v>
      </c>
      <c r="G198" s="1067">
        <f t="shared" si="12"/>
        <v>0</v>
      </c>
      <c r="H198" s="1067">
        <f t="shared" si="13"/>
        <v>1045273.95</v>
      </c>
      <c r="I198" s="1067">
        <f t="shared" si="14"/>
        <v>1045273.95</v>
      </c>
    </row>
    <row r="199" spans="1:9" hidden="1" outlineLevel="1" x14ac:dyDescent="0.3">
      <c r="A199" s="39" t="s">
        <v>2606</v>
      </c>
      <c r="B199" s="63" t="s">
        <v>60</v>
      </c>
      <c r="C199" s="42" t="s">
        <v>62</v>
      </c>
      <c r="D199" s="43">
        <f>SUM(D200:D203)</f>
        <v>26.12012</v>
      </c>
      <c r="E199" s="108"/>
      <c r="F199" s="108"/>
      <c r="G199" s="1067">
        <f t="shared" si="12"/>
        <v>0</v>
      </c>
      <c r="H199" s="1067">
        <f t="shared" si="13"/>
        <v>0</v>
      </c>
      <c r="I199" s="1067">
        <f t="shared" si="14"/>
        <v>0</v>
      </c>
    </row>
    <row r="200" spans="1:9" hidden="1" outlineLevel="1" x14ac:dyDescent="0.3">
      <c r="A200" s="39"/>
      <c r="B200" s="63" t="s">
        <v>178</v>
      </c>
      <c r="C200" s="42" t="s">
        <v>62</v>
      </c>
      <c r="D200" s="43">
        <f>(268.8+264.8*22+264.8+112.8)/1000*1.04</f>
        <v>6.7308800000000018</v>
      </c>
      <c r="E200" s="163"/>
      <c r="F200" s="108">
        <v>33500</v>
      </c>
      <c r="G200" s="1067">
        <f t="shared" si="12"/>
        <v>0</v>
      </c>
      <c r="H200" s="1067">
        <f t="shared" si="13"/>
        <v>225484.48000000007</v>
      </c>
      <c r="I200" s="1067">
        <f t="shared" si="14"/>
        <v>225484.48000000007</v>
      </c>
    </row>
    <row r="201" spans="1:9" hidden="1" outlineLevel="1" x14ac:dyDescent="0.3">
      <c r="A201" s="39"/>
      <c r="B201" s="63" t="s">
        <v>162</v>
      </c>
      <c r="C201" s="42" t="s">
        <v>62</v>
      </c>
      <c r="D201" s="43">
        <f>(448+435.4*22+444.4+290)/1000*1.04</f>
        <v>11.191647999999999</v>
      </c>
      <c r="E201" s="163"/>
      <c r="F201" s="108">
        <v>34400</v>
      </c>
      <c r="G201" s="1067">
        <f t="shared" si="12"/>
        <v>0</v>
      </c>
      <c r="H201" s="1067">
        <f t="shared" si="13"/>
        <v>384992.69119999994</v>
      </c>
      <c r="I201" s="1067">
        <f t="shared" si="14"/>
        <v>384992.69119999994</v>
      </c>
    </row>
    <row r="202" spans="1:9" hidden="1" outlineLevel="1" x14ac:dyDescent="0.3">
      <c r="A202" s="39"/>
      <c r="B202" s="63" t="s">
        <v>163</v>
      </c>
      <c r="C202" s="42" t="s">
        <v>62</v>
      </c>
      <c r="D202" s="43">
        <f>(236.1+244.2*22+244.2+185.7)/1000*1.04</f>
        <v>6.2799359999999993</v>
      </c>
      <c r="E202" s="163"/>
      <c r="F202" s="108">
        <v>39400</v>
      </c>
      <c r="G202" s="1067">
        <f t="shared" si="12"/>
        <v>0</v>
      </c>
      <c r="H202" s="1067">
        <f t="shared" si="13"/>
        <v>247429.47839999996</v>
      </c>
      <c r="I202" s="1067">
        <f t="shared" si="14"/>
        <v>247429.47839999996</v>
      </c>
    </row>
    <row r="203" spans="1:9" hidden="1" outlineLevel="1" x14ac:dyDescent="0.3">
      <c r="A203" s="39"/>
      <c r="B203" s="63" t="s">
        <v>179</v>
      </c>
      <c r="C203" s="42" t="s">
        <v>62</v>
      </c>
      <c r="D203" s="43">
        <f>(74.7+74.7*22+74.7+51.1)/1000*1.04</f>
        <v>1.9176560000000002</v>
      </c>
      <c r="E203" s="163"/>
      <c r="F203" s="108">
        <v>40000</v>
      </c>
      <c r="G203" s="1067">
        <f t="shared" si="12"/>
        <v>0</v>
      </c>
      <c r="H203" s="1067">
        <f t="shared" si="13"/>
        <v>76706.240000000005</v>
      </c>
      <c r="I203" s="1067">
        <f t="shared" si="14"/>
        <v>76706.240000000005</v>
      </c>
    </row>
    <row r="204" spans="1:9" hidden="1" outlineLevel="1" x14ac:dyDescent="0.3">
      <c r="A204" s="39"/>
      <c r="B204" s="63" t="s">
        <v>71</v>
      </c>
      <c r="C204" s="42" t="s">
        <v>62</v>
      </c>
      <c r="D204" s="43">
        <f>0.02*D199</f>
        <v>0.52240240000000004</v>
      </c>
      <c r="E204" s="108"/>
      <c r="F204" s="108">
        <v>53104</v>
      </c>
      <c r="G204" s="1067">
        <f t="shared" si="12"/>
        <v>0</v>
      </c>
      <c r="H204" s="1067">
        <f t="shared" si="13"/>
        <v>27741.657049600002</v>
      </c>
      <c r="I204" s="1067">
        <f t="shared" si="14"/>
        <v>27741.657049600002</v>
      </c>
    </row>
    <row r="205" spans="1:9" s="22" customFormat="1" ht="28.8" hidden="1" outlineLevel="1" x14ac:dyDescent="0.3">
      <c r="A205" s="39" t="s">
        <v>2607</v>
      </c>
      <c r="B205" s="41" t="s">
        <v>221</v>
      </c>
      <c r="C205" s="42" t="s">
        <v>34</v>
      </c>
      <c r="D205" s="43">
        <f>5.42+5.35*23+3.75</f>
        <v>132.22</v>
      </c>
      <c r="E205" s="108">
        <v>2700</v>
      </c>
      <c r="F205" s="108"/>
      <c r="G205" s="1067">
        <f t="shared" si="12"/>
        <v>356994</v>
      </c>
      <c r="H205" s="1067">
        <f t="shared" si="13"/>
        <v>0</v>
      </c>
      <c r="I205" s="1067">
        <f t="shared" si="14"/>
        <v>356994</v>
      </c>
    </row>
    <row r="206" spans="1:9" hidden="1" outlineLevel="1" x14ac:dyDescent="0.3">
      <c r="A206" s="39" t="s">
        <v>2608</v>
      </c>
      <c r="B206" s="63" t="s">
        <v>171</v>
      </c>
      <c r="C206" s="42" t="s">
        <v>34</v>
      </c>
      <c r="D206" s="1150">
        <f>(5.42+5.35*4)*1.05</f>
        <v>28.161000000000001</v>
      </c>
      <c r="E206" s="108"/>
      <c r="F206" s="108">
        <v>5450</v>
      </c>
      <c r="G206" s="1067">
        <f t="shared" si="12"/>
        <v>0</v>
      </c>
      <c r="H206" s="1067">
        <f t="shared" si="13"/>
        <v>153477.45000000001</v>
      </c>
      <c r="I206" s="1067">
        <f t="shared" si="14"/>
        <v>153477.45000000001</v>
      </c>
    </row>
    <row r="207" spans="1:9" hidden="1" outlineLevel="1" x14ac:dyDescent="0.3">
      <c r="A207" s="39" t="s">
        <v>2609</v>
      </c>
      <c r="B207" s="110" t="s">
        <v>175</v>
      </c>
      <c r="C207" s="1021" t="s">
        <v>34</v>
      </c>
      <c r="D207" s="1151">
        <f>(5.35*19+3.75)*1.05</f>
        <v>110.67</v>
      </c>
      <c r="E207" s="146"/>
      <c r="F207" s="146">
        <v>5300</v>
      </c>
      <c r="G207" s="1067">
        <f t="shared" si="12"/>
        <v>0</v>
      </c>
      <c r="H207" s="1067">
        <f t="shared" si="13"/>
        <v>586551</v>
      </c>
      <c r="I207" s="1067">
        <f t="shared" si="14"/>
        <v>586551</v>
      </c>
    </row>
    <row r="208" spans="1:9" hidden="1" outlineLevel="1" x14ac:dyDescent="0.3">
      <c r="A208" s="39" t="s">
        <v>2610</v>
      </c>
      <c r="B208" s="63" t="s">
        <v>60</v>
      </c>
      <c r="C208" s="42" t="s">
        <v>62</v>
      </c>
      <c r="D208" s="43">
        <f>SUM(D209:D212)</f>
        <v>15.347176000000001</v>
      </c>
      <c r="E208" s="108"/>
      <c r="F208" s="108"/>
      <c r="G208" s="1067">
        <f t="shared" si="12"/>
        <v>0</v>
      </c>
      <c r="H208" s="1067">
        <f t="shared" si="13"/>
        <v>0</v>
      </c>
      <c r="I208" s="1067">
        <f t="shared" si="14"/>
        <v>0</v>
      </c>
    </row>
    <row r="209" spans="1:9" hidden="1" outlineLevel="1" x14ac:dyDescent="0.3">
      <c r="A209" s="39"/>
      <c r="B209" s="63" t="s">
        <v>178</v>
      </c>
      <c r="C209" s="42" t="s">
        <v>62</v>
      </c>
      <c r="D209" s="43">
        <f>(161.2+158.8*22+175.2+69.2)/1000*1.04</f>
        <v>4.0551680000000001</v>
      </c>
      <c r="E209" s="163"/>
      <c r="F209" s="108">
        <v>33500</v>
      </c>
      <c r="G209" s="1067">
        <f t="shared" si="12"/>
        <v>0</v>
      </c>
      <c r="H209" s="1067">
        <f t="shared" si="13"/>
        <v>135848.128</v>
      </c>
      <c r="I209" s="1067">
        <f t="shared" si="14"/>
        <v>135848.128</v>
      </c>
    </row>
    <row r="210" spans="1:9" hidden="1" outlineLevel="1" x14ac:dyDescent="0.3">
      <c r="A210" s="39"/>
      <c r="B210" s="63" t="s">
        <v>162</v>
      </c>
      <c r="C210" s="42" t="s">
        <v>62</v>
      </c>
      <c r="D210" s="43">
        <f>(254.4+247.4*22+253.7+209.3)/1000*1.04</f>
        <v>6.4066080000000003</v>
      </c>
      <c r="E210" s="163"/>
      <c r="F210" s="108">
        <v>34400</v>
      </c>
      <c r="G210" s="1067">
        <f t="shared" si="12"/>
        <v>0</v>
      </c>
      <c r="H210" s="1067">
        <f t="shared" si="13"/>
        <v>220387.31520000001</v>
      </c>
      <c r="I210" s="1067">
        <f t="shared" si="14"/>
        <v>220387.31520000001</v>
      </c>
    </row>
    <row r="211" spans="1:9" hidden="1" outlineLevel="1" x14ac:dyDescent="0.3">
      <c r="A211" s="39"/>
      <c r="B211" s="63" t="s">
        <v>163</v>
      </c>
      <c r="C211" s="42" t="s">
        <v>62</v>
      </c>
      <c r="D211" s="43">
        <f>(143.6+149.1*22+149.1+98.6)/1000*1.04</f>
        <v>3.8183599999999998</v>
      </c>
      <c r="E211" s="163"/>
      <c r="F211" s="108">
        <v>39400</v>
      </c>
      <c r="G211" s="1067">
        <f t="shared" si="12"/>
        <v>0</v>
      </c>
      <c r="H211" s="1067">
        <f t="shared" si="13"/>
        <v>150443.38399999999</v>
      </c>
      <c r="I211" s="1067">
        <f t="shared" si="14"/>
        <v>150443.38399999999</v>
      </c>
    </row>
    <row r="212" spans="1:9" hidden="1" outlineLevel="1" x14ac:dyDescent="0.3">
      <c r="A212" s="39"/>
      <c r="B212" s="63" t="s">
        <v>179</v>
      </c>
      <c r="C212" s="42" t="s">
        <v>62</v>
      </c>
      <c r="D212" s="43">
        <f>(41.8+41.6*22+41.6+27.4)/1000*1.04</f>
        <v>1.06704</v>
      </c>
      <c r="E212" s="163"/>
      <c r="F212" s="108">
        <v>40000</v>
      </c>
      <c r="G212" s="1067">
        <f t="shared" si="12"/>
        <v>0</v>
      </c>
      <c r="H212" s="1067">
        <f t="shared" si="13"/>
        <v>42681.599999999999</v>
      </c>
      <c r="I212" s="1067">
        <f t="shared" si="14"/>
        <v>42681.599999999999</v>
      </c>
    </row>
    <row r="213" spans="1:9" hidden="1" outlineLevel="1" x14ac:dyDescent="0.3">
      <c r="A213" s="39"/>
      <c r="B213" s="63" t="s">
        <v>71</v>
      </c>
      <c r="C213" s="42" t="s">
        <v>62</v>
      </c>
      <c r="D213" s="43">
        <f>0.02*D208</f>
        <v>0.30694352000000003</v>
      </c>
      <c r="E213" s="108"/>
      <c r="F213" s="108">
        <v>53104</v>
      </c>
      <c r="G213" s="1067">
        <f t="shared" si="12"/>
        <v>0</v>
      </c>
      <c r="H213" s="1067">
        <f t="shared" si="13"/>
        <v>16299.928686080002</v>
      </c>
      <c r="I213" s="1067">
        <f t="shared" si="14"/>
        <v>16299.928686080002</v>
      </c>
    </row>
    <row r="214" spans="1:9" s="22" customFormat="1" ht="28.8" hidden="1" outlineLevel="1" x14ac:dyDescent="0.3">
      <c r="A214" s="39" t="s">
        <v>2611</v>
      </c>
      <c r="B214" s="41" t="s">
        <v>226</v>
      </c>
      <c r="C214" s="42" t="s">
        <v>34</v>
      </c>
      <c r="D214" s="43">
        <f>10.06+9.92*23+6.15</f>
        <v>244.37</v>
      </c>
      <c r="E214" s="108">
        <v>2700</v>
      </c>
      <c r="F214" s="108"/>
      <c r="G214" s="1067">
        <f t="shared" si="12"/>
        <v>659799</v>
      </c>
      <c r="H214" s="1067">
        <f t="shared" si="13"/>
        <v>0</v>
      </c>
      <c r="I214" s="1067">
        <f t="shared" si="14"/>
        <v>659799</v>
      </c>
    </row>
    <row r="215" spans="1:9" hidden="1" outlineLevel="1" x14ac:dyDescent="0.3">
      <c r="A215" s="39" t="s">
        <v>2612</v>
      </c>
      <c r="B215" s="63" t="s">
        <v>171</v>
      </c>
      <c r="C215" s="42" t="s">
        <v>34</v>
      </c>
      <c r="D215" s="1150">
        <f>(10.06+9.92*22)*1.05</f>
        <v>239.71500000000003</v>
      </c>
      <c r="E215" s="108"/>
      <c r="F215" s="108">
        <v>5450</v>
      </c>
      <c r="G215" s="1067">
        <f t="shared" si="12"/>
        <v>0</v>
      </c>
      <c r="H215" s="1067">
        <f t="shared" si="13"/>
        <v>1306446.7500000002</v>
      </c>
      <c r="I215" s="1067">
        <f t="shared" si="14"/>
        <v>1306446.7500000002</v>
      </c>
    </row>
    <row r="216" spans="1:9" hidden="1" outlineLevel="1" x14ac:dyDescent="0.3">
      <c r="A216" s="39" t="s">
        <v>2613</v>
      </c>
      <c r="B216" s="110" t="s">
        <v>175</v>
      </c>
      <c r="C216" s="1021" t="s">
        <v>34</v>
      </c>
      <c r="D216" s="1151">
        <f>(9.92+6.15)*1.05</f>
        <v>16.8735</v>
      </c>
      <c r="E216" s="146"/>
      <c r="F216" s="146">
        <v>5300</v>
      </c>
      <c r="G216" s="1067">
        <f t="shared" si="12"/>
        <v>0</v>
      </c>
      <c r="H216" s="1067">
        <f t="shared" si="13"/>
        <v>89429.55</v>
      </c>
      <c r="I216" s="1067">
        <f t="shared" si="14"/>
        <v>89429.55</v>
      </c>
    </row>
    <row r="217" spans="1:9" hidden="1" outlineLevel="1" x14ac:dyDescent="0.3">
      <c r="A217" s="39" t="s">
        <v>2614</v>
      </c>
      <c r="B217" s="63" t="s">
        <v>60</v>
      </c>
      <c r="C217" s="42" t="s">
        <v>62</v>
      </c>
      <c r="D217" s="43">
        <f>SUM(D218:D221)</f>
        <v>23.235264000000001</v>
      </c>
      <c r="E217" s="108"/>
      <c r="F217" s="108"/>
      <c r="G217" s="1067">
        <f t="shared" si="12"/>
        <v>0</v>
      </c>
      <c r="H217" s="1067">
        <f t="shared" si="13"/>
        <v>0</v>
      </c>
      <c r="I217" s="1067">
        <f t="shared" si="14"/>
        <v>0</v>
      </c>
    </row>
    <row r="218" spans="1:9" hidden="1" outlineLevel="1" x14ac:dyDescent="0.3">
      <c r="A218" s="39"/>
      <c r="B218" s="63" t="s">
        <v>178</v>
      </c>
      <c r="C218" s="42" t="s">
        <v>62</v>
      </c>
      <c r="D218" s="43">
        <f>(118+116*22+111.6+51.2)/1000*1.04</f>
        <v>2.9461119999999998</v>
      </c>
      <c r="E218" s="163"/>
      <c r="F218" s="108">
        <v>33500</v>
      </c>
      <c r="G218" s="1067">
        <f t="shared" si="12"/>
        <v>0</v>
      </c>
      <c r="H218" s="1067">
        <f t="shared" si="13"/>
        <v>98694.751999999993</v>
      </c>
      <c r="I218" s="1067">
        <f t="shared" si="14"/>
        <v>98694.751999999993</v>
      </c>
    </row>
    <row r="219" spans="1:9" hidden="1" outlineLevel="1" x14ac:dyDescent="0.3">
      <c r="A219" s="39"/>
      <c r="B219" s="63" t="s">
        <v>162</v>
      </c>
      <c r="C219" s="42" t="s">
        <v>62</v>
      </c>
      <c r="D219" s="43">
        <f>(521.6+506.4*22+503.2+294.4)/1000*1.04</f>
        <v>12.958400000000001</v>
      </c>
      <c r="E219" s="163"/>
      <c r="F219" s="108">
        <v>34400</v>
      </c>
      <c r="G219" s="1067">
        <f t="shared" si="12"/>
        <v>0</v>
      </c>
      <c r="H219" s="1067">
        <f t="shared" si="13"/>
        <v>445768.96000000002</v>
      </c>
      <c r="I219" s="1067">
        <f t="shared" si="14"/>
        <v>445768.96000000002</v>
      </c>
    </row>
    <row r="220" spans="1:9" hidden="1" outlineLevel="1" x14ac:dyDescent="0.3">
      <c r="A220" s="39"/>
      <c r="B220" s="63" t="s">
        <v>163</v>
      </c>
      <c r="C220" s="42" t="s">
        <v>62</v>
      </c>
      <c r="D220" s="43">
        <f>(225.5+225.5*22+225.5+152.2)/1000*1.04</f>
        <v>5.7867679999999995</v>
      </c>
      <c r="E220" s="163"/>
      <c r="F220" s="108">
        <v>39400</v>
      </c>
      <c r="G220" s="1067">
        <f t="shared" si="12"/>
        <v>0</v>
      </c>
      <c r="H220" s="1067">
        <f t="shared" si="13"/>
        <v>227998.65919999997</v>
      </c>
      <c r="I220" s="1067">
        <f t="shared" si="14"/>
        <v>227998.65919999997</v>
      </c>
    </row>
    <row r="221" spans="1:9" hidden="1" outlineLevel="1" x14ac:dyDescent="0.3">
      <c r="A221" s="39"/>
      <c r="B221" s="63" t="s">
        <v>179</v>
      </c>
      <c r="C221" s="42" t="s">
        <v>62</v>
      </c>
      <c r="D221" s="43">
        <f>(60.6+60.6*22+60.6+30.2)/1000*1.04</f>
        <v>1.543984</v>
      </c>
      <c r="E221" s="163"/>
      <c r="F221" s="108">
        <v>40000</v>
      </c>
      <c r="G221" s="1067">
        <f t="shared" si="12"/>
        <v>0</v>
      </c>
      <c r="H221" s="1067">
        <f t="shared" si="13"/>
        <v>61759.360000000001</v>
      </c>
      <c r="I221" s="1067">
        <f t="shared" si="14"/>
        <v>61759.360000000001</v>
      </c>
    </row>
    <row r="222" spans="1:9" hidden="1" outlineLevel="1" x14ac:dyDescent="0.3">
      <c r="A222" s="39"/>
      <c r="B222" s="63" t="s">
        <v>71</v>
      </c>
      <c r="C222" s="42" t="s">
        <v>62</v>
      </c>
      <c r="D222" s="43">
        <f>0.02*D217</f>
        <v>0.46470528</v>
      </c>
      <c r="E222" s="108"/>
      <c r="F222" s="108">
        <v>53104</v>
      </c>
      <c r="G222" s="1067">
        <f t="shared" si="12"/>
        <v>0</v>
      </c>
      <c r="H222" s="1067">
        <f t="shared" si="13"/>
        <v>24677.70918912</v>
      </c>
      <c r="I222" s="1067">
        <f t="shared" si="14"/>
        <v>24677.70918912</v>
      </c>
    </row>
    <row r="223" spans="1:9" s="22" customFormat="1" ht="28.8" hidden="1" outlineLevel="1" x14ac:dyDescent="0.3">
      <c r="A223" s="39" t="s">
        <v>2615</v>
      </c>
      <c r="B223" s="41" t="s">
        <v>231</v>
      </c>
      <c r="C223" s="42" t="s">
        <v>34</v>
      </c>
      <c r="D223" s="1023">
        <f>0.82*24+0.83</f>
        <v>20.509999999999998</v>
      </c>
      <c r="E223" s="108">
        <v>2700</v>
      </c>
      <c r="F223" s="108"/>
      <c r="G223" s="1067">
        <f t="shared" si="12"/>
        <v>55376.999999999993</v>
      </c>
      <c r="H223" s="1067">
        <f t="shared" si="13"/>
        <v>0</v>
      </c>
      <c r="I223" s="1067">
        <f t="shared" si="14"/>
        <v>55376.999999999993</v>
      </c>
    </row>
    <row r="224" spans="1:9" hidden="1" outlineLevel="1" x14ac:dyDescent="0.3">
      <c r="A224" s="39" t="s">
        <v>2616</v>
      </c>
      <c r="B224" s="63" t="s">
        <v>175</v>
      </c>
      <c r="C224" s="42" t="s">
        <v>34</v>
      </c>
      <c r="D224" s="1023">
        <f>D223*1.04</f>
        <v>21.330399999999997</v>
      </c>
      <c r="E224" s="108"/>
      <c r="F224" s="108">
        <v>5300</v>
      </c>
      <c r="G224" s="1067">
        <f t="shared" si="12"/>
        <v>0</v>
      </c>
      <c r="H224" s="1067">
        <f t="shared" si="13"/>
        <v>113051.11999999998</v>
      </c>
      <c r="I224" s="1067">
        <f t="shared" si="14"/>
        <v>113051.11999999998</v>
      </c>
    </row>
    <row r="225" spans="1:9" hidden="1" outlineLevel="1" x14ac:dyDescent="0.3">
      <c r="A225" s="39" t="s">
        <v>2617</v>
      </c>
      <c r="B225" s="63" t="s">
        <v>60</v>
      </c>
      <c r="C225" s="42" t="s">
        <v>62</v>
      </c>
      <c r="D225" s="1023">
        <v>2.7456</v>
      </c>
      <c r="E225" s="108"/>
      <c r="F225" s="108"/>
      <c r="G225" s="1067">
        <f t="shared" si="12"/>
        <v>0</v>
      </c>
      <c r="H225" s="1067">
        <f t="shared" si="13"/>
        <v>0</v>
      </c>
      <c r="I225" s="1067">
        <f t="shared" si="14"/>
        <v>0</v>
      </c>
    </row>
    <row r="226" spans="1:9" hidden="1" outlineLevel="1" x14ac:dyDescent="0.3">
      <c r="A226" s="39"/>
      <c r="B226" s="63" t="s">
        <v>178</v>
      </c>
      <c r="C226" s="42" t="s">
        <v>62</v>
      </c>
      <c r="D226" s="43">
        <f>(765)/1000*1.04</f>
        <v>0.79560000000000008</v>
      </c>
      <c r="E226" s="163"/>
      <c r="F226" s="108">
        <v>33500</v>
      </c>
      <c r="G226" s="1067">
        <f t="shared" si="12"/>
        <v>0</v>
      </c>
      <c r="H226" s="1067">
        <f t="shared" si="13"/>
        <v>26652.600000000002</v>
      </c>
      <c r="I226" s="1067">
        <f t="shared" si="14"/>
        <v>26652.600000000002</v>
      </c>
    </row>
    <row r="227" spans="1:9" hidden="1" outlineLevel="1" x14ac:dyDescent="0.3">
      <c r="A227" s="39"/>
      <c r="B227" s="63" t="s">
        <v>234</v>
      </c>
      <c r="C227" s="42" t="s">
        <v>62</v>
      </c>
      <c r="D227" s="43">
        <f>(1791)/1000*1.04</f>
        <v>1.8626400000000001</v>
      </c>
      <c r="E227" s="163"/>
      <c r="F227" s="108">
        <v>35100</v>
      </c>
      <c r="G227" s="1067">
        <f t="shared" si="12"/>
        <v>0</v>
      </c>
      <c r="H227" s="1067">
        <f t="shared" si="13"/>
        <v>65378.664000000004</v>
      </c>
      <c r="I227" s="1067">
        <f t="shared" si="14"/>
        <v>65378.664000000004</v>
      </c>
    </row>
    <row r="228" spans="1:9" hidden="1" outlineLevel="1" x14ac:dyDescent="0.3">
      <c r="A228" s="39"/>
      <c r="B228" s="63" t="s">
        <v>179</v>
      </c>
      <c r="C228" s="42" t="s">
        <v>62</v>
      </c>
      <c r="D228" s="43">
        <f>(111+46.9)/1000*1.04</f>
        <v>0.16421600000000003</v>
      </c>
      <c r="E228" s="163"/>
      <c r="F228" s="108">
        <v>40000</v>
      </c>
      <c r="G228" s="1067">
        <f t="shared" si="12"/>
        <v>0</v>
      </c>
      <c r="H228" s="1067">
        <f t="shared" si="13"/>
        <v>6568.6400000000012</v>
      </c>
      <c r="I228" s="1067">
        <f t="shared" si="14"/>
        <v>6568.6400000000012</v>
      </c>
    </row>
    <row r="229" spans="1:9" hidden="1" outlineLevel="1" x14ac:dyDescent="0.3">
      <c r="A229" s="39"/>
      <c r="B229" s="63" t="s">
        <v>71</v>
      </c>
      <c r="C229" s="42" t="s">
        <v>62</v>
      </c>
      <c r="D229" s="43">
        <f>0.02*D225</f>
        <v>5.4912000000000002E-2</v>
      </c>
      <c r="E229" s="108"/>
      <c r="F229" s="108">
        <v>53104</v>
      </c>
      <c r="G229" s="1067">
        <f t="shared" si="12"/>
        <v>0</v>
      </c>
      <c r="H229" s="1067">
        <f t="shared" si="13"/>
        <v>2916.046848</v>
      </c>
      <c r="I229" s="1067">
        <f t="shared" si="14"/>
        <v>2916.046848</v>
      </c>
    </row>
    <row r="230" spans="1:9" s="22" customFormat="1" hidden="1" outlineLevel="1" x14ac:dyDescent="0.3">
      <c r="A230" s="39" t="s">
        <v>2618</v>
      </c>
      <c r="B230" s="84" t="s">
        <v>236</v>
      </c>
      <c r="C230" s="42"/>
      <c r="D230" s="43"/>
      <c r="E230" s="108"/>
      <c r="F230" s="108"/>
      <c r="G230" s="1067">
        <f t="shared" si="12"/>
        <v>0</v>
      </c>
      <c r="H230" s="1067">
        <f t="shared" si="13"/>
        <v>0</v>
      </c>
      <c r="I230" s="1067">
        <f t="shared" si="14"/>
        <v>0</v>
      </c>
    </row>
    <row r="231" spans="1:9" hidden="1" outlineLevel="1" x14ac:dyDescent="0.3">
      <c r="A231" s="39" t="s">
        <v>2619</v>
      </c>
      <c r="B231" s="1147" t="s">
        <v>238</v>
      </c>
      <c r="C231" s="442" t="s">
        <v>44</v>
      </c>
      <c r="D231" s="442">
        <f>902</f>
        <v>902</v>
      </c>
      <c r="E231" s="1140">
        <v>15</v>
      </c>
      <c r="F231" s="108"/>
      <c r="G231" s="1067">
        <f t="shared" si="12"/>
        <v>13530</v>
      </c>
      <c r="H231" s="1067">
        <f t="shared" si="13"/>
        <v>0</v>
      </c>
      <c r="I231" s="1067">
        <f t="shared" si="14"/>
        <v>13530</v>
      </c>
    </row>
    <row r="232" spans="1:9" hidden="1" outlineLevel="1" x14ac:dyDescent="0.3">
      <c r="A232" s="39" t="s">
        <v>2620</v>
      </c>
      <c r="B232" s="1147" t="s">
        <v>240</v>
      </c>
      <c r="C232" s="442" t="s">
        <v>44</v>
      </c>
      <c r="D232" s="442">
        <f>809+806+806*5+917*5+919*4+920*3+920+921</f>
        <v>18507</v>
      </c>
      <c r="E232" s="1140">
        <v>15</v>
      </c>
      <c r="F232" s="108"/>
      <c r="G232" s="1067">
        <f t="shared" si="12"/>
        <v>277605</v>
      </c>
      <c r="H232" s="1067">
        <f t="shared" si="13"/>
        <v>0</v>
      </c>
      <c r="I232" s="1067">
        <f t="shared" si="14"/>
        <v>277605</v>
      </c>
    </row>
    <row r="233" spans="1:9" ht="28.8" hidden="1" outlineLevel="1" x14ac:dyDescent="0.3">
      <c r="A233" s="39" t="s">
        <v>2621</v>
      </c>
      <c r="B233" s="1147" t="s">
        <v>242</v>
      </c>
      <c r="C233" s="442" t="s">
        <v>44</v>
      </c>
      <c r="D233" s="442">
        <f>1274</f>
        <v>1274</v>
      </c>
      <c r="E233" s="1140">
        <v>50</v>
      </c>
      <c r="F233" s="108"/>
      <c r="G233" s="1067">
        <f t="shared" si="12"/>
        <v>63700</v>
      </c>
      <c r="H233" s="1067">
        <f t="shared" si="13"/>
        <v>0</v>
      </c>
      <c r="I233" s="1067">
        <f t="shared" si="14"/>
        <v>63700</v>
      </c>
    </row>
    <row r="234" spans="1:9" hidden="1" outlineLevel="1" x14ac:dyDescent="0.3">
      <c r="A234" s="39" t="s">
        <v>2622</v>
      </c>
      <c r="B234" s="1147" t="s">
        <v>244</v>
      </c>
      <c r="C234" s="442" t="s">
        <v>44</v>
      </c>
      <c r="D234" s="442">
        <f>1*18</f>
        <v>18</v>
      </c>
      <c r="E234" s="1140">
        <v>15</v>
      </c>
      <c r="F234" s="108"/>
      <c r="G234" s="1067">
        <f t="shared" si="12"/>
        <v>270</v>
      </c>
      <c r="H234" s="1067">
        <f t="shared" si="13"/>
        <v>0</v>
      </c>
      <c r="I234" s="1067">
        <f t="shared" si="14"/>
        <v>270</v>
      </c>
    </row>
    <row r="235" spans="1:9" hidden="1" outlineLevel="1" x14ac:dyDescent="0.3">
      <c r="A235" s="39" t="s">
        <v>2623</v>
      </c>
      <c r="B235" s="1147" t="s">
        <v>246</v>
      </c>
      <c r="C235" s="442" t="s">
        <v>44</v>
      </c>
      <c r="D235" s="442">
        <f>24*47+36*2</f>
        <v>1200</v>
      </c>
      <c r="E235" s="1140">
        <v>15</v>
      </c>
      <c r="F235" s="108"/>
      <c r="G235" s="1067">
        <f t="shared" si="12"/>
        <v>18000</v>
      </c>
      <c r="H235" s="1067">
        <f t="shared" si="13"/>
        <v>0</v>
      </c>
      <c r="I235" s="1067">
        <f t="shared" si="14"/>
        <v>18000</v>
      </c>
    </row>
    <row r="236" spans="1:9" hidden="1" outlineLevel="1" x14ac:dyDescent="0.3">
      <c r="A236" s="39" t="s">
        <v>2624</v>
      </c>
      <c r="B236" s="1152" t="s">
        <v>248</v>
      </c>
      <c r="C236" s="442" t="s">
        <v>44</v>
      </c>
      <c r="D236" s="42">
        <f>1*47+2*2</f>
        <v>51</v>
      </c>
      <c r="E236" s="1140">
        <v>15</v>
      </c>
      <c r="F236" s="108"/>
      <c r="G236" s="1067">
        <f t="shared" si="12"/>
        <v>765</v>
      </c>
      <c r="H236" s="1067">
        <f t="shared" si="13"/>
        <v>0</v>
      </c>
      <c r="I236" s="1067">
        <f t="shared" si="14"/>
        <v>765</v>
      </c>
    </row>
    <row r="237" spans="1:9" hidden="1" outlineLevel="1" x14ac:dyDescent="0.3">
      <c r="A237" s="17"/>
      <c r="B237" s="18" t="s">
        <v>5</v>
      </c>
      <c r="C237" s="19"/>
      <c r="D237" s="88"/>
      <c r="E237" s="1078"/>
      <c r="F237" s="1065"/>
      <c r="G237" s="1057"/>
      <c r="H237" s="1057"/>
      <c r="I237" s="1057"/>
    </row>
    <row r="238" spans="1:9" s="22" customFormat="1" hidden="1" outlineLevel="1" x14ac:dyDescent="0.3">
      <c r="A238" s="39" t="s">
        <v>2626</v>
      </c>
      <c r="B238" s="41" t="s">
        <v>251</v>
      </c>
      <c r="C238" s="42" t="s">
        <v>44</v>
      </c>
      <c r="D238" s="92">
        <f>49</f>
        <v>49</v>
      </c>
      <c r="E238" s="163">
        <v>1100</v>
      </c>
      <c r="F238" s="108"/>
      <c r="G238" s="1068">
        <f>D238*E238</f>
        <v>53900</v>
      </c>
      <c r="H238" s="1068">
        <f>D238*F238</f>
        <v>0</v>
      </c>
      <c r="I238" s="1068">
        <f>G238+H238</f>
        <v>53900</v>
      </c>
    </row>
    <row r="239" spans="1:9" hidden="1" outlineLevel="1" x14ac:dyDescent="0.3">
      <c r="A239" s="39" t="s">
        <v>2627</v>
      </c>
      <c r="B239" s="41" t="s">
        <v>253</v>
      </c>
      <c r="C239" s="42" t="s">
        <v>44</v>
      </c>
      <c r="D239" s="92">
        <f>49</f>
        <v>49</v>
      </c>
      <c r="E239" s="163"/>
      <c r="F239" s="108">
        <v>15850</v>
      </c>
      <c r="G239" s="1068">
        <f>D239*E239</f>
        <v>0</v>
      </c>
      <c r="H239" s="1068">
        <f>D239*F239</f>
        <v>776650</v>
      </c>
      <c r="I239" s="1068">
        <f>G239+H239</f>
        <v>776650</v>
      </c>
    </row>
    <row r="240" spans="1:9" hidden="1" outlineLevel="1" x14ac:dyDescent="0.3">
      <c r="A240" s="39" t="s">
        <v>2630</v>
      </c>
      <c r="B240" s="41" t="s">
        <v>255</v>
      </c>
      <c r="C240" s="42" t="s">
        <v>62</v>
      </c>
      <c r="D240" s="1022">
        <f>4.52/1000*1.04</f>
        <v>4.7007999999999998E-3</v>
      </c>
      <c r="E240" s="163"/>
      <c r="F240" s="108">
        <v>44100</v>
      </c>
      <c r="G240" s="1068">
        <f>D240*E240</f>
        <v>0</v>
      </c>
      <c r="H240" s="1068">
        <f>D240*F240</f>
        <v>207.30527999999998</v>
      </c>
      <c r="I240" s="1068">
        <f>G240+H240</f>
        <v>207.30527999999998</v>
      </c>
    </row>
    <row r="241" spans="1:10" hidden="1" outlineLevel="1" x14ac:dyDescent="0.3">
      <c r="A241" s="39" t="s">
        <v>2631</v>
      </c>
      <c r="B241" s="41" t="s">
        <v>257</v>
      </c>
      <c r="C241" s="42" t="s">
        <v>44</v>
      </c>
      <c r="D241" s="92">
        <v>2</v>
      </c>
      <c r="E241" s="163"/>
      <c r="F241" s="108">
        <v>27.96</v>
      </c>
      <c r="G241" s="1068">
        <f>D241*E241</f>
        <v>0</v>
      </c>
      <c r="H241" s="1068">
        <f>D241*F241</f>
        <v>55.92</v>
      </c>
      <c r="I241" s="1068">
        <f>G241+H241</f>
        <v>55.92</v>
      </c>
      <c r="J241" s="300"/>
    </row>
    <row r="242" spans="1:10" hidden="1" outlineLevel="1" x14ac:dyDescent="0.3">
      <c r="A242" s="39" t="s">
        <v>2632</v>
      </c>
      <c r="B242" s="63" t="s">
        <v>259</v>
      </c>
      <c r="C242" s="42" t="s">
        <v>62</v>
      </c>
      <c r="D242" s="42">
        <v>2.5</v>
      </c>
      <c r="E242" s="163">
        <v>25000</v>
      </c>
      <c r="F242" s="108">
        <v>45000</v>
      </c>
      <c r="G242" s="1068">
        <f>D242*E242</f>
        <v>62500</v>
      </c>
      <c r="H242" s="1068">
        <f>D242*F242</f>
        <v>112500</v>
      </c>
      <c r="I242" s="1068">
        <f>G242+H242</f>
        <v>175000</v>
      </c>
    </row>
    <row r="243" spans="1:10" hidden="1" outlineLevel="1" x14ac:dyDescent="0.3">
      <c r="A243" s="17"/>
      <c r="B243" s="18" t="s">
        <v>260</v>
      </c>
      <c r="C243" s="101"/>
      <c r="D243" s="102"/>
      <c r="E243" s="1065"/>
      <c r="F243" s="1065"/>
      <c r="G243" s="1066"/>
      <c r="H243" s="1066"/>
      <c r="I243" s="1066"/>
    </row>
    <row r="244" spans="1:10" s="22" customFormat="1" ht="28.8" hidden="1" outlineLevel="1" x14ac:dyDescent="0.3">
      <c r="A244" s="39" t="s">
        <v>2628</v>
      </c>
      <c r="B244" s="41" t="s">
        <v>262</v>
      </c>
      <c r="C244" s="42" t="s">
        <v>34</v>
      </c>
      <c r="D244" s="1023">
        <f>SUM(D245,D251)</f>
        <v>27.699999999999996</v>
      </c>
      <c r="E244" s="108"/>
      <c r="F244" s="108"/>
      <c r="G244" s="1067">
        <f>D244*E244</f>
        <v>0</v>
      </c>
      <c r="H244" s="1067">
        <f>D244*F244</f>
        <v>0</v>
      </c>
      <c r="I244" s="1067">
        <f>G244+H244</f>
        <v>0</v>
      </c>
    </row>
    <row r="245" spans="1:10" hidden="1" outlineLevel="1" x14ac:dyDescent="0.3">
      <c r="A245" s="39" t="s">
        <v>2629</v>
      </c>
      <c r="B245" s="1149" t="s">
        <v>263</v>
      </c>
      <c r="C245" s="42" t="s">
        <v>34</v>
      </c>
      <c r="D245" s="1023">
        <v>11.62</v>
      </c>
      <c r="E245" s="108"/>
      <c r="F245" s="108"/>
      <c r="G245" s="1067">
        <f t="shared" ref="G245:G275" si="15">D245*E245</f>
        <v>0</v>
      </c>
      <c r="H245" s="1067">
        <f t="shared" ref="H245:H275" si="16">D245*F245</f>
        <v>0</v>
      </c>
      <c r="I245" s="1067">
        <f t="shared" ref="I245:I275" si="17">G245+H245</f>
        <v>0</v>
      </c>
    </row>
    <row r="246" spans="1:10" hidden="1" outlineLevel="1" x14ac:dyDescent="0.3">
      <c r="A246" s="39"/>
      <c r="B246" s="63" t="s">
        <v>264</v>
      </c>
      <c r="C246" s="42" t="s">
        <v>34</v>
      </c>
      <c r="D246" s="1023">
        <f>11.62*1.05</f>
        <v>12.201000000000001</v>
      </c>
      <c r="E246" s="108">
        <v>2700</v>
      </c>
      <c r="F246" s="108">
        <v>5450</v>
      </c>
      <c r="G246" s="1067">
        <f t="shared" si="15"/>
        <v>32942.700000000004</v>
      </c>
      <c r="H246" s="1067">
        <f t="shared" si="16"/>
        <v>66495.45</v>
      </c>
      <c r="I246" s="1067">
        <f t="shared" si="17"/>
        <v>99438.15</v>
      </c>
    </row>
    <row r="247" spans="1:10" hidden="1" outlineLevel="1" x14ac:dyDescent="0.3">
      <c r="A247" s="39"/>
      <c r="B247" s="63" t="s">
        <v>60</v>
      </c>
      <c r="C247" s="42" t="s">
        <v>62</v>
      </c>
      <c r="D247" s="1023">
        <f>SUM(D248:D249)</f>
        <v>1.3126776000000002</v>
      </c>
      <c r="E247" s="108"/>
      <c r="F247" s="108"/>
      <c r="G247" s="1067">
        <f t="shared" si="15"/>
        <v>0</v>
      </c>
      <c r="H247" s="1067">
        <f t="shared" si="16"/>
        <v>0</v>
      </c>
      <c r="I247" s="1067">
        <f t="shared" si="17"/>
        <v>0</v>
      </c>
    </row>
    <row r="248" spans="1:10" hidden="1" outlineLevel="1" x14ac:dyDescent="0.3">
      <c r="A248" s="39"/>
      <c r="B248" s="63" t="s">
        <v>162</v>
      </c>
      <c r="C248" s="42" t="s">
        <v>62</v>
      </c>
      <c r="D248" s="43">
        <f>1231.68/1000*1.04</f>
        <v>1.2809472000000002</v>
      </c>
      <c r="E248" s="163"/>
      <c r="F248" s="108">
        <v>34400</v>
      </c>
      <c r="G248" s="1067">
        <f t="shared" si="15"/>
        <v>0</v>
      </c>
      <c r="H248" s="1067">
        <f t="shared" si="16"/>
        <v>44064.583680000003</v>
      </c>
      <c r="I248" s="1067">
        <f t="shared" si="17"/>
        <v>44064.583680000003</v>
      </c>
    </row>
    <row r="249" spans="1:10" hidden="1" outlineLevel="1" x14ac:dyDescent="0.3">
      <c r="A249" s="39"/>
      <c r="B249" s="63" t="s">
        <v>179</v>
      </c>
      <c r="C249" s="42" t="s">
        <v>62</v>
      </c>
      <c r="D249" s="43">
        <f>30.51/1000*1.04</f>
        <v>3.1730400000000006E-2</v>
      </c>
      <c r="E249" s="163"/>
      <c r="F249" s="108">
        <v>40000</v>
      </c>
      <c r="G249" s="1067">
        <f t="shared" si="15"/>
        <v>0</v>
      </c>
      <c r="H249" s="1067">
        <f t="shared" si="16"/>
        <v>1269.2160000000001</v>
      </c>
      <c r="I249" s="1067">
        <f t="shared" si="17"/>
        <v>1269.2160000000001</v>
      </c>
    </row>
    <row r="250" spans="1:10" hidden="1" outlineLevel="1" x14ac:dyDescent="0.3">
      <c r="A250" s="39"/>
      <c r="B250" s="63" t="s">
        <v>71</v>
      </c>
      <c r="C250" s="42" t="s">
        <v>62</v>
      </c>
      <c r="D250" s="43">
        <f>0.02*D247</f>
        <v>2.6253552000000006E-2</v>
      </c>
      <c r="E250" s="108"/>
      <c r="F250" s="108">
        <v>53104</v>
      </c>
      <c r="G250" s="1067">
        <f t="shared" si="15"/>
        <v>0</v>
      </c>
      <c r="H250" s="1067">
        <f t="shared" si="16"/>
        <v>1394.1686254080003</v>
      </c>
      <c r="I250" s="1067">
        <f t="shared" si="17"/>
        <v>1394.1686254080003</v>
      </c>
    </row>
    <row r="251" spans="1:10" hidden="1" outlineLevel="1" x14ac:dyDescent="0.3">
      <c r="A251" s="39" t="s">
        <v>2633</v>
      </c>
      <c r="B251" s="1146" t="s">
        <v>265</v>
      </c>
      <c r="C251" s="42" t="s">
        <v>34</v>
      </c>
      <c r="D251" s="1023">
        <f>11.69+4.39</f>
        <v>16.079999999999998</v>
      </c>
      <c r="E251" s="108"/>
      <c r="F251" s="108"/>
      <c r="G251" s="1067">
        <f t="shared" si="15"/>
        <v>0</v>
      </c>
      <c r="H251" s="1067">
        <f t="shared" si="16"/>
        <v>0</v>
      </c>
      <c r="I251" s="1067">
        <f t="shared" si="17"/>
        <v>0</v>
      </c>
    </row>
    <row r="252" spans="1:10" hidden="1" outlineLevel="1" x14ac:dyDescent="0.3">
      <c r="A252" s="39"/>
      <c r="B252" s="63" t="s">
        <v>264</v>
      </c>
      <c r="C252" s="42" t="s">
        <v>34</v>
      </c>
      <c r="D252" s="1023">
        <f>11.69*1.05</f>
        <v>12.2745</v>
      </c>
      <c r="E252" s="108">
        <v>2700</v>
      </c>
      <c r="F252" s="108">
        <v>5450</v>
      </c>
      <c r="G252" s="1067">
        <f t="shared" si="15"/>
        <v>33141.15</v>
      </c>
      <c r="H252" s="1067">
        <f t="shared" si="16"/>
        <v>66896.024999999994</v>
      </c>
      <c r="I252" s="1067">
        <f t="shared" si="17"/>
        <v>100037.17499999999</v>
      </c>
    </row>
    <row r="253" spans="1:10" hidden="1" outlineLevel="1" x14ac:dyDescent="0.3">
      <c r="A253" s="39"/>
      <c r="B253" s="63" t="s">
        <v>266</v>
      </c>
      <c r="C253" s="42" t="s">
        <v>34</v>
      </c>
      <c r="D253" s="1023">
        <f>4.39*1.05</f>
        <v>4.6094999999999997</v>
      </c>
      <c r="E253" s="108">
        <v>1200</v>
      </c>
      <c r="F253" s="108">
        <v>4300</v>
      </c>
      <c r="G253" s="1067">
        <f t="shared" si="15"/>
        <v>5531.4</v>
      </c>
      <c r="H253" s="1067">
        <f t="shared" si="16"/>
        <v>19820.849999999999</v>
      </c>
      <c r="I253" s="1067">
        <f t="shared" si="17"/>
        <v>25352.25</v>
      </c>
    </row>
    <row r="254" spans="1:10" hidden="1" outlineLevel="1" x14ac:dyDescent="0.3">
      <c r="A254" s="39"/>
      <c r="B254" s="63" t="s">
        <v>60</v>
      </c>
      <c r="C254" s="42" t="s">
        <v>62</v>
      </c>
      <c r="D254" s="1023">
        <f>SUM(D255:D256)</f>
        <v>1.6348383999999998</v>
      </c>
      <c r="E254" s="108"/>
      <c r="F254" s="108"/>
      <c r="G254" s="1067">
        <f t="shared" si="15"/>
        <v>0</v>
      </c>
      <c r="H254" s="1067">
        <f t="shared" si="16"/>
        <v>0</v>
      </c>
      <c r="I254" s="1067">
        <f t="shared" si="17"/>
        <v>0</v>
      </c>
    </row>
    <row r="255" spans="1:10" hidden="1" outlineLevel="1" x14ac:dyDescent="0.3">
      <c r="A255" s="39"/>
      <c r="B255" s="63" t="s">
        <v>162</v>
      </c>
      <c r="C255" s="42" t="s">
        <v>62</v>
      </c>
      <c r="D255" s="43">
        <f>1534.34/1000*1.04</f>
        <v>1.5957135999999998</v>
      </c>
      <c r="E255" s="163"/>
      <c r="F255" s="108">
        <v>34400</v>
      </c>
      <c r="G255" s="1067">
        <f t="shared" si="15"/>
        <v>0</v>
      </c>
      <c r="H255" s="1067">
        <f t="shared" si="16"/>
        <v>54892.547839999992</v>
      </c>
      <c r="I255" s="1067">
        <f t="shared" si="17"/>
        <v>54892.547839999992</v>
      </c>
    </row>
    <row r="256" spans="1:10" hidden="1" outlineLevel="1" x14ac:dyDescent="0.3">
      <c r="A256" s="39"/>
      <c r="B256" s="63" t="s">
        <v>267</v>
      </c>
      <c r="C256" s="42" t="s">
        <v>62</v>
      </c>
      <c r="D256" s="43">
        <f>37.62/1000*1.04</f>
        <v>3.9124800000000001E-2</v>
      </c>
      <c r="E256" s="163"/>
      <c r="F256" s="108">
        <v>40000</v>
      </c>
      <c r="G256" s="1067">
        <f t="shared" si="15"/>
        <v>0</v>
      </c>
      <c r="H256" s="1067">
        <f t="shared" si="16"/>
        <v>1564.992</v>
      </c>
      <c r="I256" s="1067">
        <f t="shared" si="17"/>
        <v>1564.992</v>
      </c>
    </row>
    <row r="257" spans="1:9" hidden="1" outlineLevel="1" x14ac:dyDescent="0.3">
      <c r="A257" s="39"/>
      <c r="B257" s="63" t="s">
        <v>71</v>
      </c>
      <c r="C257" s="42" t="s">
        <v>62</v>
      </c>
      <c r="D257" s="43">
        <f>0.02*D254</f>
        <v>3.2696767999999994E-2</v>
      </c>
      <c r="E257" s="108"/>
      <c r="F257" s="108">
        <v>53104</v>
      </c>
      <c r="G257" s="1067">
        <f t="shared" si="15"/>
        <v>0</v>
      </c>
      <c r="H257" s="1067">
        <f t="shared" si="16"/>
        <v>1736.3291678719997</v>
      </c>
      <c r="I257" s="1067">
        <f t="shared" si="17"/>
        <v>1736.3291678719997</v>
      </c>
    </row>
    <row r="258" spans="1:9" hidden="1" outlineLevel="1" x14ac:dyDescent="0.3">
      <c r="A258" s="39" t="s">
        <v>2634</v>
      </c>
      <c r="B258" s="41" t="s">
        <v>268</v>
      </c>
      <c r="C258" s="42" t="s">
        <v>34</v>
      </c>
      <c r="D258" s="43">
        <f>((1.05+0.78+1.13+0.84+0.84+1.12+3.69+1.43+0.9+1.06+1+0.84+1.16+4.715+1.065)*0.15*0.27)*1.05</f>
        <v>0.9193905</v>
      </c>
      <c r="E258" s="163"/>
      <c r="F258" s="108">
        <v>4200</v>
      </c>
      <c r="G258" s="1067">
        <f t="shared" si="15"/>
        <v>0</v>
      </c>
      <c r="H258" s="1067">
        <f t="shared" si="16"/>
        <v>3861.4400999999998</v>
      </c>
      <c r="I258" s="1067">
        <f t="shared" si="17"/>
        <v>3861.4400999999998</v>
      </c>
    </row>
    <row r="259" spans="1:9" hidden="1" outlineLevel="1" x14ac:dyDescent="0.3">
      <c r="A259" s="39" t="s">
        <v>2635</v>
      </c>
      <c r="B259" s="41" t="s">
        <v>269</v>
      </c>
      <c r="C259" s="42" t="s">
        <v>74</v>
      </c>
      <c r="D259" s="43">
        <f>(2.2*1.82*14+2.4*1.82*10)</f>
        <v>99.736000000000018</v>
      </c>
      <c r="E259" s="163"/>
      <c r="F259" s="108">
        <v>209.96</v>
      </c>
      <c r="G259" s="1067">
        <f t="shared" si="15"/>
        <v>0</v>
      </c>
      <c r="H259" s="1067">
        <f t="shared" si="16"/>
        <v>20940.570560000004</v>
      </c>
      <c r="I259" s="1067">
        <f t="shared" si="17"/>
        <v>20940.570560000004</v>
      </c>
    </row>
    <row r="260" spans="1:9" s="22" customFormat="1" hidden="1" outlineLevel="1" x14ac:dyDescent="0.3">
      <c r="A260" s="39" t="s">
        <v>2636</v>
      </c>
      <c r="B260" s="41" t="s">
        <v>271</v>
      </c>
      <c r="C260" s="42" t="s">
        <v>34</v>
      </c>
      <c r="D260" s="1023">
        <f>SUM(D261,D267)</f>
        <v>7.2200000000000006</v>
      </c>
      <c r="E260" s="108"/>
      <c r="F260" s="108"/>
      <c r="G260" s="1067">
        <f t="shared" si="15"/>
        <v>0</v>
      </c>
      <c r="H260" s="1067">
        <f t="shared" si="16"/>
        <v>0</v>
      </c>
      <c r="I260" s="1067">
        <f t="shared" si="17"/>
        <v>0</v>
      </c>
    </row>
    <row r="261" spans="1:9" hidden="1" outlineLevel="1" x14ac:dyDescent="0.3">
      <c r="A261" s="39" t="s">
        <v>2637</v>
      </c>
      <c r="B261" s="1149" t="s">
        <v>263</v>
      </c>
      <c r="C261" s="42" t="s">
        <v>34</v>
      </c>
      <c r="D261" s="1023">
        <v>2.82</v>
      </c>
      <c r="E261" s="108"/>
      <c r="F261" s="108"/>
      <c r="G261" s="1067">
        <f t="shared" si="15"/>
        <v>0</v>
      </c>
      <c r="H261" s="1067">
        <f t="shared" si="16"/>
        <v>0</v>
      </c>
      <c r="I261" s="1067">
        <f t="shared" si="17"/>
        <v>0</v>
      </c>
    </row>
    <row r="262" spans="1:9" hidden="1" outlineLevel="1" x14ac:dyDescent="0.3">
      <c r="A262" s="39"/>
      <c r="B262" s="63" t="s">
        <v>264</v>
      </c>
      <c r="C262" s="42" t="s">
        <v>34</v>
      </c>
      <c r="D262" s="1023">
        <f>2.82*1.05</f>
        <v>2.9609999999999999</v>
      </c>
      <c r="E262" s="108">
        <v>2700</v>
      </c>
      <c r="F262" s="108">
        <v>5450</v>
      </c>
      <c r="G262" s="1067">
        <f t="shared" si="15"/>
        <v>7994.7</v>
      </c>
      <c r="H262" s="1067">
        <f t="shared" si="16"/>
        <v>16137.449999999999</v>
      </c>
      <c r="I262" s="1067">
        <f t="shared" si="17"/>
        <v>24132.149999999998</v>
      </c>
    </row>
    <row r="263" spans="1:9" hidden="1" outlineLevel="1" x14ac:dyDescent="0.3">
      <c r="A263" s="39"/>
      <c r="B263" s="63" t="s">
        <v>60</v>
      </c>
      <c r="C263" s="42" t="s">
        <v>62</v>
      </c>
      <c r="D263" s="1023">
        <f>SUM(D264:D265)</f>
        <v>0.41533439999999999</v>
      </c>
      <c r="E263" s="108"/>
      <c r="F263" s="108"/>
      <c r="G263" s="1067">
        <f t="shared" si="15"/>
        <v>0</v>
      </c>
      <c r="H263" s="1067">
        <f t="shared" si="16"/>
        <v>0</v>
      </c>
      <c r="I263" s="1067">
        <f t="shared" si="17"/>
        <v>0</v>
      </c>
    </row>
    <row r="264" spans="1:9" hidden="1" outlineLevel="1" x14ac:dyDescent="0.3">
      <c r="A264" s="39"/>
      <c r="B264" s="63" t="s">
        <v>162</v>
      </c>
      <c r="C264" s="42" t="s">
        <v>62</v>
      </c>
      <c r="D264" s="43">
        <f>389.22/1000*1.04</f>
        <v>0.4047888</v>
      </c>
      <c r="E264" s="163"/>
      <c r="F264" s="108">
        <v>34400</v>
      </c>
      <c r="G264" s="1067">
        <f t="shared" si="15"/>
        <v>0</v>
      </c>
      <c r="H264" s="1067">
        <f t="shared" si="16"/>
        <v>13924.73472</v>
      </c>
      <c r="I264" s="1067">
        <f t="shared" si="17"/>
        <v>13924.73472</v>
      </c>
    </row>
    <row r="265" spans="1:9" hidden="1" outlineLevel="1" x14ac:dyDescent="0.3">
      <c r="A265" s="39"/>
      <c r="B265" s="63" t="s">
        <v>179</v>
      </c>
      <c r="C265" s="42" t="s">
        <v>62</v>
      </c>
      <c r="D265" s="43">
        <f>10.14/1000*1.04</f>
        <v>1.05456E-2</v>
      </c>
      <c r="E265" s="163"/>
      <c r="F265" s="108">
        <v>40000</v>
      </c>
      <c r="G265" s="1067">
        <f t="shared" si="15"/>
        <v>0</v>
      </c>
      <c r="H265" s="1067">
        <f t="shared" si="16"/>
        <v>421.82400000000001</v>
      </c>
      <c r="I265" s="1067">
        <f t="shared" si="17"/>
        <v>421.82400000000001</v>
      </c>
    </row>
    <row r="266" spans="1:9" hidden="1" outlineLevel="1" x14ac:dyDescent="0.3">
      <c r="A266" s="39"/>
      <c r="B266" s="63" t="s">
        <v>71</v>
      </c>
      <c r="C266" s="42" t="s">
        <v>62</v>
      </c>
      <c r="D266" s="43">
        <f>0.02*D263</f>
        <v>8.3066879999999996E-3</v>
      </c>
      <c r="E266" s="108"/>
      <c r="F266" s="108">
        <v>53104</v>
      </c>
      <c r="G266" s="1067">
        <f t="shared" si="15"/>
        <v>0</v>
      </c>
      <c r="H266" s="1067">
        <f t="shared" si="16"/>
        <v>441.11835955199996</v>
      </c>
      <c r="I266" s="1067">
        <f t="shared" si="17"/>
        <v>441.11835955199996</v>
      </c>
    </row>
    <row r="267" spans="1:9" hidden="1" outlineLevel="1" x14ac:dyDescent="0.3">
      <c r="A267" s="39" t="s">
        <v>2638</v>
      </c>
      <c r="B267" s="1146" t="s">
        <v>265</v>
      </c>
      <c r="C267" s="42" t="s">
        <v>34</v>
      </c>
      <c r="D267" s="1023">
        <f>3.08+1.32</f>
        <v>4.4000000000000004</v>
      </c>
      <c r="E267" s="108"/>
      <c r="F267" s="108"/>
      <c r="G267" s="1067">
        <f t="shared" si="15"/>
        <v>0</v>
      </c>
      <c r="H267" s="1067">
        <f t="shared" si="16"/>
        <v>0</v>
      </c>
      <c r="I267" s="1067">
        <f t="shared" si="17"/>
        <v>0</v>
      </c>
    </row>
    <row r="268" spans="1:9" hidden="1" outlineLevel="1" x14ac:dyDescent="0.3">
      <c r="A268" s="39"/>
      <c r="B268" s="63" t="s">
        <v>264</v>
      </c>
      <c r="C268" s="42" t="s">
        <v>34</v>
      </c>
      <c r="D268" s="1023">
        <f>3.08*1.05</f>
        <v>3.2340000000000004</v>
      </c>
      <c r="E268" s="108">
        <v>2700</v>
      </c>
      <c r="F268" s="108">
        <v>5450</v>
      </c>
      <c r="G268" s="1067">
        <f t="shared" si="15"/>
        <v>8731.8000000000011</v>
      </c>
      <c r="H268" s="1067">
        <f t="shared" si="16"/>
        <v>17625.300000000003</v>
      </c>
      <c r="I268" s="1067">
        <f t="shared" si="17"/>
        <v>26357.100000000006</v>
      </c>
    </row>
    <row r="269" spans="1:9" hidden="1" outlineLevel="1" x14ac:dyDescent="0.3">
      <c r="A269" s="39"/>
      <c r="B269" s="63" t="s">
        <v>266</v>
      </c>
      <c r="C269" s="42" t="s">
        <v>34</v>
      </c>
      <c r="D269" s="1023">
        <f>1.32*1.05</f>
        <v>1.3860000000000001</v>
      </c>
      <c r="E269" s="108">
        <v>1200</v>
      </c>
      <c r="F269" s="108">
        <v>4300</v>
      </c>
      <c r="G269" s="1067">
        <f t="shared" si="15"/>
        <v>1663.2</v>
      </c>
      <c r="H269" s="1067">
        <f t="shared" si="16"/>
        <v>5959.8</v>
      </c>
      <c r="I269" s="1067">
        <f t="shared" si="17"/>
        <v>7623</v>
      </c>
    </row>
    <row r="270" spans="1:9" hidden="1" outlineLevel="1" x14ac:dyDescent="0.3">
      <c r="A270" s="39"/>
      <c r="B270" s="63" t="s">
        <v>60</v>
      </c>
      <c r="C270" s="42" t="s">
        <v>62</v>
      </c>
      <c r="D270" s="1023">
        <f>SUM(D271:D272)</f>
        <v>0.39605280000000004</v>
      </c>
      <c r="E270" s="108"/>
      <c r="F270" s="108"/>
      <c r="G270" s="1067">
        <f t="shared" si="15"/>
        <v>0</v>
      </c>
      <c r="H270" s="1067">
        <f t="shared" si="16"/>
        <v>0</v>
      </c>
      <c r="I270" s="1067">
        <f t="shared" si="17"/>
        <v>0</v>
      </c>
    </row>
    <row r="271" spans="1:9" hidden="1" outlineLevel="1" x14ac:dyDescent="0.3">
      <c r="A271" s="39"/>
      <c r="B271" s="63" t="s">
        <v>162</v>
      </c>
      <c r="C271" s="42" t="s">
        <v>62</v>
      </c>
      <c r="D271" s="43">
        <f>370.34/1000*1.04</f>
        <v>0.38515360000000004</v>
      </c>
      <c r="E271" s="163"/>
      <c r="F271" s="108">
        <v>34400</v>
      </c>
      <c r="G271" s="1067">
        <f t="shared" si="15"/>
        <v>0</v>
      </c>
      <c r="H271" s="1067">
        <f t="shared" si="16"/>
        <v>13249.283840000002</v>
      </c>
      <c r="I271" s="1067">
        <f t="shared" si="17"/>
        <v>13249.283840000002</v>
      </c>
    </row>
    <row r="272" spans="1:9" hidden="1" outlineLevel="1" x14ac:dyDescent="0.3">
      <c r="A272" s="39"/>
      <c r="B272" s="63" t="s">
        <v>274</v>
      </c>
      <c r="C272" s="42" t="s">
        <v>62</v>
      </c>
      <c r="D272" s="43">
        <f>10.48/1000*1.04</f>
        <v>1.08992E-2</v>
      </c>
      <c r="E272" s="163"/>
      <c r="F272" s="108">
        <v>40000</v>
      </c>
      <c r="G272" s="1067">
        <f t="shared" si="15"/>
        <v>0</v>
      </c>
      <c r="H272" s="1067">
        <f t="shared" si="16"/>
        <v>435.96799999999996</v>
      </c>
      <c r="I272" s="1067">
        <f t="shared" si="17"/>
        <v>435.96799999999996</v>
      </c>
    </row>
    <row r="273" spans="1:12" hidden="1" outlineLevel="1" x14ac:dyDescent="0.3">
      <c r="A273" s="39"/>
      <c r="B273" s="63" t="s">
        <v>71</v>
      </c>
      <c r="C273" s="42" t="s">
        <v>62</v>
      </c>
      <c r="D273" s="43">
        <f>0.02*D270</f>
        <v>7.921056000000001E-3</v>
      </c>
      <c r="E273" s="108"/>
      <c r="F273" s="108">
        <v>53104</v>
      </c>
      <c r="G273" s="1067">
        <f t="shared" si="15"/>
        <v>0</v>
      </c>
      <c r="H273" s="1067">
        <f t="shared" si="16"/>
        <v>420.63975782400007</v>
      </c>
      <c r="I273" s="1067">
        <f t="shared" si="17"/>
        <v>420.63975782400007</v>
      </c>
    </row>
    <row r="274" spans="1:12" hidden="1" outlineLevel="1" x14ac:dyDescent="0.3">
      <c r="A274" s="39" t="s">
        <v>2639</v>
      </c>
      <c r="B274" s="63" t="s">
        <v>268</v>
      </c>
      <c r="C274" s="42" t="s">
        <v>34</v>
      </c>
      <c r="D274" s="43">
        <f>(3.31*0.15*0.27)*1.05</f>
        <v>0.14075775000000001</v>
      </c>
      <c r="E274" s="163"/>
      <c r="F274" s="108">
        <v>4200</v>
      </c>
      <c r="G274" s="1067">
        <f t="shared" si="15"/>
        <v>0</v>
      </c>
      <c r="H274" s="1067">
        <f t="shared" si="16"/>
        <v>591.18255000000011</v>
      </c>
      <c r="I274" s="1067">
        <f t="shared" si="17"/>
        <v>591.18255000000011</v>
      </c>
    </row>
    <row r="275" spans="1:12" hidden="1" outlineLevel="1" x14ac:dyDescent="0.3">
      <c r="A275" s="39" t="s">
        <v>2640</v>
      </c>
      <c r="B275" s="63" t="s">
        <v>269</v>
      </c>
      <c r="C275" s="42" t="s">
        <v>74</v>
      </c>
      <c r="D275" s="43">
        <f>(2.2*2.6*4+2.4*2.6*2)</f>
        <v>35.36</v>
      </c>
      <c r="E275" s="163"/>
      <c r="F275" s="108">
        <v>209.96</v>
      </c>
      <c r="G275" s="1067">
        <f t="shared" si="15"/>
        <v>0</v>
      </c>
      <c r="H275" s="1067">
        <f t="shared" si="16"/>
        <v>7424.1855999999998</v>
      </c>
      <c r="I275" s="1067">
        <f t="shared" si="17"/>
        <v>7424.1855999999998</v>
      </c>
    </row>
    <row r="276" spans="1:12" collapsed="1" x14ac:dyDescent="0.3">
      <c r="A276" s="17" t="s">
        <v>296</v>
      </c>
      <c r="B276" s="18" t="s">
        <v>6</v>
      </c>
      <c r="C276" s="19" t="s">
        <v>34</v>
      </c>
      <c r="D276" s="88">
        <f>D277+D333+D341+D359+D302*0.12</f>
        <v>1045.1069900000002</v>
      </c>
      <c r="E276" s="1065"/>
      <c r="F276" s="1065"/>
      <c r="G276" s="1066">
        <f>SUM(G277:G362)</f>
        <v>3737877.3174999994</v>
      </c>
      <c r="H276" s="1066">
        <f t="shared" ref="H276:I276" si="18">SUM(H277:H362)</f>
        <v>6659757.884019725</v>
      </c>
      <c r="I276" s="1066">
        <f t="shared" si="18"/>
        <v>10397635.201519731</v>
      </c>
    </row>
    <row r="277" spans="1:12" s="22" customFormat="1" hidden="1" outlineLevel="1" x14ac:dyDescent="0.3">
      <c r="A277" s="39" t="s">
        <v>168</v>
      </c>
      <c r="B277" s="63" t="s">
        <v>297</v>
      </c>
      <c r="C277" s="42" t="s">
        <v>34</v>
      </c>
      <c r="D277" s="1022">
        <f>(152.59+132.12*23+159.5)*0.25</f>
        <v>837.71250000000009</v>
      </c>
      <c r="E277" s="108">
        <v>1650</v>
      </c>
      <c r="F277" s="108"/>
      <c r="G277" s="1067">
        <f t="shared" ref="G277:G320" si="19">D277*E277</f>
        <v>1382225.6250000002</v>
      </c>
      <c r="H277" s="1067">
        <f t="shared" ref="H277:H340" si="20">D277*F277</f>
        <v>0</v>
      </c>
      <c r="I277" s="1067">
        <f t="shared" ref="I277:I340" si="21">G277+H277</f>
        <v>1382225.6250000002</v>
      </c>
    </row>
    <row r="278" spans="1:12" s="22" customFormat="1" hidden="1" outlineLevel="1" x14ac:dyDescent="0.3">
      <c r="A278" s="39"/>
      <c r="B278" s="825" t="s">
        <v>1118</v>
      </c>
      <c r="C278" s="826" t="s">
        <v>34</v>
      </c>
      <c r="D278" s="849">
        <f>0.02*0.2*24</f>
        <v>9.6000000000000002E-2</v>
      </c>
      <c r="E278" s="108"/>
      <c r="F278" s="108">
        <v>3900</v>
      </c>
      <c r="G278" s="1067">
        <f>D278*E278</f>
        <v>0</v>
      </c>
      <c r="H278" s="1067">
        <f>D278*F278</f>
        <v>374.40000000000003</v>
      </c>
      <c r="I278" s="1067">
        <f>G278+H278</f>
        <v>374.40000000000003</v>
      </c>
    </row>
    <row r="279" spans="1:12" hidden="1" outlineLevel="1" x14ac:dyDescent="0.3">
      <c r="A279" s="39" t="s">
        <v>170</v>
      </c>
      <c r="B279" s="63" t="s">
        <v>298</v>
      </c>
      <c r="C279" s="48" t="s">
        <v>34</v>
      </c>
      <c r="D279" s="1022">
        <f>D277*1.01</f>
        <v>846.08962500000007</v>
      </c>
      <c r="E279" s="108"/>
      <c r="F279" s="146">
        <v>3100</v>
      </c>
      <c r="G279" s="1067">
        <f t="shared" si="19"/>
        <v>0</v>
      </c>
      <c r="H279" s="1067">
        <f t="shared" si="20"/>
        <v>2622877.8375000004</v>
      </c>
      <c r="I279" s="1067">
        <f t="shared" si="21"/>
        <v>2622877.8375000004</v>
      </c>
    </row>
    <row r="280" spans="1:12" hidden="1" outlineLevel="1" x14ac:dyDescent="0.3">
      <c r="A280" s="39" t="s">
        <v>172</v>
      </c>
      <c r="B280" s="63" t="s">
        <v>299</v>
      </c>
      <c r="C280" s="42" t="s">
        <v>300</v>
      </c>
      <c r="D280" s="1022">
        <f>ROUND(D277*1.6/25,0.1)</f>
        <v>54</v>
      </c>
      <c r="E280" s="108"/>
      <c r="F280" s="108">
        <v>240</v>
      </c>
      <c r="G280" s="1067">
        <f t="shared" si="19"/>
        <v>0</v>
      </c>
      <c r="H280" s="1067">
        <f t="shared" si="20"/>
        <v>12960</v>
      </c>
      <c r="I280" s="1067">
        <f t="shared" si="21"/>
        <v>12960</v>
      </c>
    </row>
    <row r="281" spans="1:12" hidden="1" outlineLevel="1" x14ac:dyDescent="0.3">
      <c r="A281" s="39" t="s">
        <v>174</v>
      </c>
      <c r="B281" s="63" t="s">
        <v>301</v>
      </c>
      <c r="C281" s="42" t="s">
        <v>62</v>
      </c>
      <c r="D281" s="1022">
        <f>2*0.25*8.5/1000</f>
        <v>4.2500000000000003E-3</v>
      </c>
      <c r="E281" s="108"/>
      <c r="F281" s="163">
        <v>45950</v>
      </c>
      <c r="G281" s="1067">
        <f t="shared" si="19"/>
        <v>0</v>
      </c>
      <c r="H281" s="1067">
        <f t="shared" si="20"/>
        <v>195.28750000000002</v>
      </c>
      <c r="I281" s="1067">
        <f t="shared" si="21"/>
        <v>195.28750000000002</v>
      </c>
    </row>
    <row r="282" spans="1:12" hidden="1" outlineLevel="1" x14ac:dyDescent="0.3">
      <c r="A282" s="39" t="s">
        <v>176</v>
      </c>
      <c r="B282" s="1153" t="s">
        <v>302</v>
      </c>
      <c r="C282" s="1154"/>
      <c r="D282" s="1155"/>
      <c r="E282" s="108"/>
      <c r="F282" s="108"/>
      <c r="G282" s="1067">
        <f t="shared" si="19"/>
        <v>0</v>
      </c>
      <c r="H282" s="1067">
        <f t="shared" si="20"/>
        <v>0</v>
      </c>
      <c r="I282" s="1067">
        <f t="shared" si="21"/>
        <v>0</v>
      </c>
      <c r="J282" s="120"/>
      <c r="K282" s="120"/>
      <c r="L282" s="120"/>
    </row>
    <row r="283" spans="1:12" hidden="1" outlineLevel="1" x14ac:dyDescent="0.3">
      <c r="A283" s="39"/>
      <c r="B283" s="63" t="s">
        <v>163</v>
      </c>
      <c r="C283" s="42" t="s">
        <v>62</v>
      </c>
      <c r="D283" s="1022">
        <f>3410.67/1000*1.04</f>
        <v>3.5470968000000003</v>
      </c>
      <c r="E283" s="108"/>
      <c r="F283" s="108">
        <v>40000</v>
      </c>
      <c r="G283" s="1067">
        <f t="shared" si="19"/>
        <v>0</v>
      </c>
      <c r="H283" s="1067">
        <f t="shared" si="20"/>
        <v>141883.872</v>
      </c>
      <c r="I283" s="1067">
        <f t="shared" si="21"/>
        <v>141883.872</v>
      </c>
      <c r="J283" s="120"/>
      <c r="K283" s="120"/>
      <c r="L283" s="120"/>
    </row>
    <row r="284" spans="1:12" hidden="1" outlineLevel="1" x14ac:dyDescent="0.3">
      <c r="A284" s="39"/>
      <c r="B284" s="63" t="s">
        <v>3648</v>
      </c>
      <c r="C284" s="42" t="s">
        <v>62</v>
      </c>
      <c r="D284" s="1022">
        <f>342.81/1000*1.04</f>
        <v>0.35652240000000002</v>
      </c>
      <c r="E284" s="108"/>
      <c r="F284" s="108">
        <v>37500</v>
      </c>
      <c r="G284" s="1067">
        <f t="shared" si="19"/>
        <v>0</v>
      </c>
      <c r="H284" s="1067">
        <f t="shared" si="20"/>
        <v>13369.59</v>
      </c>
      <c r="I284" s="1067">
        <f t="shared" si="21"/>
        <v>13369.59</v>
      </c>
      <c r="J284" s="120"/>
      <c r="K284" s="120"/>
      <c r="L284" s="120"/>
    </row>
    <row r="285" spans="1:12" hidden="1" outlineLevel="1" x14ac:dyDescent="0.3">
      <c r="A285" s="39"/>
      <c r="B285" s="63" t="s">
        <v>162</v>
      </c>
      <c r="C285" s="42" t="s">
        <v>62</v>
      </c>
      <c r="D285" s="1022">
        <f>4104.34/1000*1.04</f>
        <v>4.2685136000000004</v>
      </c>
      <c r="E285" s="108"/>
      <c r="F285" s="108">
        <v>34400</v>
      </c>
      <c r="G285" s="1067">
        <f t="shared" si="19"/>
        <v>0</v>
      </c>
      <c r="H285" s="1067">
        <f t="shared" si="20"/>
        <v>146836.86784000002</v>
      </c>
      <c r="I285" s="1067">
        <f t="shared" si="21"/>
        <v>146836.86784000002</v>
      </c>
      <c r="J285" s="120"/>
      <c r="K285" s="120"/>
      <c r="L285" s="120"/>
    </row>
    <row r="286" spans="1:12" hidden="1" outlineLevel="1" x14ac:dyDescent="0.3">
      <c r="A286" s="39"/>
      <c r="B286" s="63" t="s">
        <v>304</v>
      </c>
      <c r="C286" s="42" t="s">
        <v>44</v>
      </c>
      <c r="D286" s="1022">
        <v>5344</v>
      </c>
      <c r="E286" s="1156"/>
      <c r="F286" s="108">
        <v>10</v>
      </c>
      <c r="G286" s="1067">
        <f t="shared" si="19"/>
        <v>0</v>
      </c>
      <c r="H286" s="1067">
        <f t="shared" si="20"/>
        <v>53440</v>
      </c>
      <c r="I286" s="1067">
        <f t="shared" si="21"/>
        <v>53440</v>
      </c>
      <c r="J286" s="120"/>
      <c r="K286" s="120"/>
      <c r="L286" s="120"/>
    </row>
    <row r="287" spans="1:12" hidden="1" outlineLevel="1" x14ac:dyDescent="0.3">
      <c r="A287" s="39" t="s">
        <v>305</v>
      </c>
      <c r="B287" s="1157" t="s">
        <v>306</v>
      </c>
      <c r="C287" s="123" t="s">
        <v>44</v>
      </c>
      <c r="D287" s="124">
        <f>797+52+113+290</f>
        <v>1252</v>
      </c>
      <c r="E287" s="151">
        <v>123</v>
      </c>
      <c r="F287" s="151"/>
      <c r="G287" s="1067">
        <f t="shared" si="19"/>
        <v>153996</v>
      </c>
      <c r="H287" s="1067">
        <f t="shared" si="20"/>
        <v>0</v>
      </c>
      <c r="I287" s="1067">
        <f t="shared" si="21"/>
        <v>153996</v>
      </c>
    </row>
    <row r="288" spans="1:12" hidden="1" outlineLevel="1" x14ac:dyDescent="0.3">
      <c r="A288" s="39"/>
      <c r="B288" s="152" t="s">
        <v>307</v>
      </c>
      <c r="C288" s="123" t="s">
        <v>62</v>
      </c>
      <c r="D288" s="144">
        <f>(3*0.94*797+3*0.94*52+2*0.94*113+2*0.94*290)*1.05/1000</f>
        <v>3.3094109999999999</v>
      </c>
      <c r="E288" s="151"/>
      <c r="F288" s="151">
        <v>45790</v>
      </c>
      <c r="G288" s="1067">
        <f t="shared" si="19"/>
        <v>0</v>
      </c>
      <c r="H288" s="1067">
        <f t="shared" si="20"/>
        <v>151537.92968999999</v>
      </c>
      <c r="I288" s="1067">
        <f t="shared" si="21"/>
        <v>151537.92968999999</v>
      </c>
    </row>
    <row r="289" spans="1:9" hidden="1" outlineLevel="1" x14ac:dyDescent="0.3">
      <c r="A289" s="39"/>
      <c r="B289" s="152" t="s">
        <v>308</v>
      </c>
      <c r="C289" s="123" t="s">
        <v>62</v>
      </c>
      <c r="D289" s="144">
        <f>(1*1.7*797+1*1.13*52+1*0.57*113+1*0.44*290)*1.05/1000</f>
        <v>1.6859534999999999</v>
      </c>
      <c r="E289" s="151"/>
      <c r="F289" s="151">
        <v>35000</v>
      </c>
      <c r="G289" s="1067">
        <f t="shared" si="19"/>
        <v>0</v>
      </c>
      <c r="H289" s="1067">
        <f t="shared" si="20"/>
        <v>59008.372499999998</v>
      </c>
      <c r="I289" s="1067">
        <f t="shared" si="21"/>
        <v>59008.372499999998</v>
      </c>
    </row>
    <row r="290" spans="1:9" hidden="1" outlineLevel="1" x14ac:dyDescent="0.3">
      <c r="A290" s="39"/>
      <c r="B290" s="152" t="s">
        <v>309</v>
      </c>
      <c r="C290" s="123" t="s">
        <v>79</v>
      </c>
      <c r="D290" s="144">
        <v>73</v>
      </c>
      <c r="E290" s="151"/>
      <c r="F290" s="151">
        <v>84.43</v>
      </c>
      <c r="G290" s="1067">
        <f t="shared" si="19"/>
        <v>0</v>
      </c>
      <c r="H290" s="1067">
        <f t="shared" si="20"/>
        <v>6163.39</v>
      </c>
      <c r="I290" s="1067">
        <f t="shared" si="21"/>
        <v>6163.39</v>
      </c>
    </row>
    <row r="291" spans="1:9" hidden="1" outlineLevel="1" x14ac:dyDescent="0.3">
      <c r="A291" s="39"/>
      <c r="B291" s="152" t="s">
        <v>310</v>
      </c>
      <c r="C291" s="123" t="s">
        <v>311</v>
      </c>
      <c r="D291" s="144">
        <v>3.59</v>
      </c>
      <c r="E291" s="151"/>
      <c r="F291" s="151">
        <v>97.6</v>
      </c>
      <c r="G291" s="1067">
        <f t="shared" si="19"/>
        <v>0</v>
      </c>
      <c r="H291" s="1067">
        <f t="shared" si="20"/>
        <v>350.38399999999996</v>
      </c>
      <c r="I291" s="1067">
        <f t="shared" si="21"/>
        <v>350.38399999999996</v>
      </c>
    </row>
    <row r="292" spans="1:9" hidden="1" outlineLevel="1" x14ac:dyDescent="0.3">
      <c r="A292" s="39" t="s">
        <v>312</v>
      </c>
      <c r="B292" s="1157" t="s">
        <v>313</v>
      </c>
      <c r="C292" s="1021" t="s">
        <v>44</v>
      </c>
      <c r="D292" s="131">
        <f>49+147+85+140+24+32+134+78+8+3</f>
        <v>700</v>
      </c>
      <c r="E292" s="133">
        <v>160</v>
      </c>
      <c r="F292" s="133"/>
      <c r="G292" s="1067">
        <f t="shared" si="19"/>
        <v>112000</v>
      </c>
      <c r="H292" s="1067">
        <f t="shared" si="20"/>
        <v>0</v>
      </c>
      <c r="I292" s="1067">
        <f t="shared" si="21"/>
        <v>112000</v>
      </c>
    </row>
    <row r="293" spans="1:9" hidden="1" outlineLevel="1" x14ac:dyDescent="0.3">
      <c r="A293" s="39"/>
      <c r="B293" s="110" t="s">
        <v>290</v>
      </c>
      <c r="C293" s="1021" t="s">
        <v>62</v>
      </c>
      <c r="D293" s="144">
        <f>(2*10.44*49+2*8.99*147+1*1.04*147+2*11.6*85+1*1.04*140+2*10.15*140+1*1.04*24+2*8.7*24+2*12.47*32+1*1.04*134+2*11.02*134+1*1.04*78+2*13.34*78+2*7.54*8+2*8.7*3)*1.05/1000</f>
        <v>16.219371000000002</v>
      </c>
      <c r="E293" s="151"/>
      <c r="F293" s="151">
        <v>48280.01</v>
      </c>
      <c r="G293" s="1067">
        <f t="shared" si="19"/>
        <v>0</v>
      </c>
      <c r="H293" s="1067">
        <f t="shared" si="20"/>
        <v>783071.39407371019</v>
      </c>
      <c r="I293" s="1067">
        <f t="shared" si="21"/>
        <v>783071.39407371019</v>
      </c>
    </row>
    <row r="294" spans="1:9" hidden="1" outlineLevel="1" x14ac:dyDescent="0.3">
      <c r="A294" s="39"/>
      <c r="B294" s="110" t="s">
        <v>314</v>
      </c>
      <c r="C294" s="1021" t="s">
        <v>44</v>
      </c>
      <c r="D294" s="131">
        <f>2*147+2*140+2*24+2*134+2*78</f>
        <v>1046</v>
      </c>
      <c r="E294" s="151"/>
      <c r="F294" s="151">
        <v>4.96</v>
      </c>
      <c r="G294" s="1067">
        <f t="shared" si="19"/>
        <v>0</v>
      </c>
      <c r="H294" s="1067">
        <f t="shared" si="20"/>
        <v>5188.16</v>
      </c>
      <c r="I294" s="1067">
        <f t="shared" si="21"/>
        <v>5188.16</v>
      </c>
    </row>
    <row r="295" spans="1:9" hidden="1" outlineLevel="1" x14ac:dyDescent="0.3">
      <c r="A295" s="39"/>
      <c r="B295" s="110" t="s">
        <v>315</v>
      </c>
      <c r="C295" s="1021" t="s">
        <v>79</v>
      </c>
      <c r="D295" s="131">
        <f>D293*2*2.42</f>
        <v>78.501755640000013</v>
      </c>
      <c r="E295" s="151"/>
      <c r="F295" s="108">
        <v>65</v>
      </c>
      <c r="G295" s="1067">
        <f t="shared" si="19"/>
        <v>0</v>
      </c>
      <c r="H295" s="1067">
        <f t="shared" si="20"/>
        <v>5102.6141166000007</v>
      </c>
      <c r="I295" s="1067">
        <f t="shared" si="21"/>
        <v>5102.6141166000007</v>
      </c>
    </row>
    <row r="296" spans="1:9" hidden="1" outlineLevel="1" x14ac:dyDescent="0.3">
      <c r="A296" s="39"/>
      <c r="B296" s="110" t="s">
        <v>316</v>
      </c>
      <c r="C296" s="1021" t="s">
        <v>79</v>
      </c>
      <c r="D296" s="131">
        <f>D293*2*2.15</f>
        <v>69.743295300000014</v>
      </c>
      <c r="E296" s="151"/>
      <c r="F296" s="108">
        <v>88.45</v>
      </c>
      <c r="G296" s="1067">
        <f t="shared" si="19"/>
        <v>0</v>
      </c>
      <c r="H296" s="1067">
        <f t="shared" si="20"/>
        <v>6168.7944692850015</v>
      </c>
      <c r="I296" s="1067">
        <f t="shared" si="21"/>
        <v>6168.7944692850015</v>
      </c>
    </row>
    <row r="297" spans="1:9" hidden="1" outlineLevel="1" x14ac:dyDescent="0.3">
      <c r="A297" s="39"/>
      <c r="B297" s="1158" t="s">
        <v>317</v>
      </c>
      <c r="C297" s="1021" t="s">
        <v>318</v>
      </c>
      <c r="D297" s="131">
        <f>D298+D299</f>
        <v>6968</v>
      </c>
      <c r="E297" s="151">
        <v>150</v>
      </c>
      <c r="F297" s="151"/>
      <c r="G297" s="1067">
        <f t="shared" si="19"/>
        <v>1045200</v>
      </c>
      <c r="H297" s="1067">
        <f t="shared" si="20"/>
        <v>0</v>
      </c>
      <c r="I297" s="1067">
        <f t="shared" si="21"/>
        <v>1045200</v>
      </c>
    </row>
    <row r="298" spans="1:9" hidden="1" outlineLevel="1" x14ac:dyDescent="0.3">
      <c r="A298" s="39" t="s">
        <v>319</v>
      </c>
      <c r="B298" s="110" t="s">
        <v>3649</v>
      </c>
      <c r="C298" s="1021" t="s">
        <v>318</v>
      </c>
      <c r="D298" s="131">
        <f>ROUND(23*2.82*2*25,0)</f>
        <v>3243</v>
      </c>
      <c r="E298" s="146"/>
      <c r="F298" s="146">
        <v>6</v>
      </c>
      <c r="G298" s="1159">
        <f t="shared" si="19"/>
        <v>0</v>
      </c>
      <c r="H298" s="1159">
        <f t="shared" si="20"/>
        <v>19458</v>
      </c>
      <c r="I298" s="1159">
        <f t="shared" si="21"/>
        <v>19458</v>
      </c>
    </row>
    <row r="299" spans="1:9" hidden="1" outlineLevel="1" x14ac:dyDescent="0.3">
      <c r="A299" s="39"/>
      <c r="B299" s="110" t="s">
        <v>3650</v>
      </c>
      <c r="C299" s="1021" t="s">
        <v>318</v>
      </c>
      <c r="D299" s="1160">
        <f>ROUND(74.5*2*25,0)</f>
        <v>3725</v>
      </c>
      <c r="E299" s="146"/>
      <c r="F299" s="146">
        <v>23.77</v>
      </c>
      <c r="G299" s="1159">
        <f t="shared" si="19"/>
        <v>0</v>
      </c>
      <c r="H299" s="1159">
        <f t="shared" si="20"/>
        <v>88543.25</v>
      </c>
      <c r="I299" s="1159">
        <f t="shared" si="21"/>
        <v>88543.25</v>
      </c>
    </row>
    <row r="300" spans="1:9" hidden="1" outlineLevel="1" x14ac:dyDescent="0.3">
      <c r="A300" s="39"/>
      <c r="B300" s="436" t="s">
        <v>322</v>
      </c>
      <c r="C300" s="437" t="s">
        <v>44</v>
      </c>
      <c r="D300" s="437">
        <v>250</v>
      </c>
      <c r="E300" s="428"/>
      <c r="F300" s="1161">
        <v>174</v>
      </c>
      <c r="G300" s="1159">
        <f t="shared" si="19"/>
        <v>0</v>
      </c>
      <c r="H300" s="1159">
        <f t="shared" si="20"/>
        <v>43500</v>
      </c>
      <c r="I300" s="1159">
        <f t="shared" si="21"/>
        <v>43500</v>
      </c>
    </row>
    <row r="301" spans="1:9" hidden="1" outlineLevel="1" x14ac:dyDescent="0.3">
      <c r="A301" s="39"/>
      <c r="B301" s="436" t="s">
        <v>323</v>
      </c>
      <c r="C301" s="437" t="s">
        <v>34</v>
      </c>
      <c r="D301" s="437">
        <f>23*2.82*0.15*0.05*24</f>
        <v>11.674799999999999</v>
      </c>
      <c r="E301" s="428"/>
      <c r="F301" s="1161">
        <v>1365</v>
      </c>
      <c r="G301" s="1159">
        <f t="shared" si="19"/>
        <v>0</v>
      </c>
      <c r="H301" s="1159">
        <f t="shared" si="20"/>
        <v>15936.101999999999</v>
      </c>
      <c r="I301" s="1159">
        <f t="shared" si="21"/>
        <v>15936.101999999999</v>
      </c>
    </row>
    <row r="302" spans="1:9" s="22" customFormat="1" hidden="1" outlineLevel="1" x14ac:dyDescent="0.3">
      <c r="A302" s="39" t="s">
        <v>181</v>
      </c>
      <c r="B302" s="63" t="s">
        <v>324</v>
      </c>
      <c r="C302" s="42" t="s">
        <v>74</v>
      </c>
      <c r="D302" s="1022">
        <f>5.36*1.3*24+32.05*1.3*23</f>
        <v>1125.527</v>
      </c>
      <c r="E302" s="108"/>
      <c r="F302" s="108"/>
      <c r="G302" s="1067">
        <f t="shared" si="19"/>
        <v>0</v>
      </c>
      <c r="H302" s="1067">
        <f t="shared" si="20"/>
        <v>0</v>
      </c>
      <c r="I302" s="1067">
        <f t="shared" si="21"/>
        <v>0</v>
      </c>
    </row>
    <row r="303" spans="1:9" s="22" customFormat="1" hidden="1" outlineLevel="1" x14ac:dyDescent="0.3">
      <c r="A303" s="39" t="s">
        <v>183</v>
      </c>
      <c r="B303" s="1153" t="s">
        <v>325</v>
      </c>
      <c r="C303" s="42" t="s">
        <v>74</v>
      </c>
      <c r="D303" s="1022">
        <f>5.36*1.3*24+32.05*1.3*23</f>
        <v>1125.527</v>
      </c>
      <c r="E303" s="108">
        <v>450</v>
      </c>
      <c r="F303" s="108"/>
      <c r="G303" s="1067">
        <f t="shared" si="19"/>
        <v>506487.15</v>
      </c>
      <c r="H303" s="1067">
        <f t="shared" si="20"/>
        <v>0</v>
      </c>
      <c r="I303" s="1067">
        <f t="shared" si="21"/>
        <v>506487.15</v>
      </c>
    </row>
    <row r="304" spans="1:9" hidden="1" outlineLevel="1" x14ac:dyDescent="0.3">
      <c r="A304" s="39"/>
      <c r="B304" s="63" t="s">
        <v>326</v>
      </c>
      <c r="C304" s="42" t="s">
        <v>44</v>
      </c>
      <c r="D304" s="92">
        <f>D302/100*5040</f>
        <v>56726.560800000007</v>
      </c>
      <c r="E304" s="108"/>
      <c r="F304" s="108">
        <v>10.3</v>
      </c>
      <c r="G304" s="1067">
        <f t="shared" si="19"/>
        <v>0</v>
      </c>
      <c r="H304" s="1067">
        <f t="shared" si="20"/>
        <v>584283.57624000008</v>
      </c>
      <c r="I304" s="1067">
        <f t="shared" si="21"/>
        <v>584283.57624000008</v>
      </c>
    </row>
    <row r="305" spans="1:9" hidden="1" outlineLevel="1" x14ac:dyDescent="0.3">
      <c r="A305" s="39"/>
      <c r="B305" s="63" t="s">
        <v>327</v>
      </c>
      <c r="C305" s="42" t="s">
        <v>34</v>
      </c>
      <c r="D305" s="1022">
        <f>D302/100*2.3</f>
        <v>25.887121</v>
      </c>
      <c r="E305" s="108"/>
      <c r="F305" s="108">
        <v>3900</v>
      </c>
      <c r="G305" s="1067">
        <f t="shared" si="19"/>
        <v>0</v>
      </c>
      <c r="H305" s="1067">
        <f t="shared" si="20"/>
        <v>100959.77190000001</v>
      </c>
      <c r="I305" s="1067">
        <f t="shared" si="21"/>
        <v>100959.77190000001</v>
      </c>
    </row>
    <row r="306" spans="1:9" hidden="1" outlineLevel="1" x14ac:dyDescent="0.3">
      <c r="A306" s="39"/>
      <c r="B306" s="63" t="s">
        <v>328</v>
      </c>
      <c r="C306" s="42" t="s">
        <v>62</v>
      </c>
      <c r="D306" s="1022">
        <f>(15.09*23+12.62*23+11.39*23+9.96*23+9.96*23+9.96*24)/1000*1.04</f>
        <v>1.6603599999999998</v>
      </c>
      <c r="E306" s="108"/>
      <c r="F306" s="108">
        <v>41965</v>
      </c>
      <c r="G306" s="1067">
        <f t="shared" si="19"/>
        <v>0</v>
      </c>
      <c r="H306" s="1067">
        <f t="shared" si="20"/>
        <v>69677.007399999988</v>
      </c>
      <c r="I306" s="1067">
        <f t="shared" si="21"/>
        <v>69677.007399999988</v>
      </c>
    </row>
    <row r="307" spans="1:9" hidden="1" outlineLevel="1" x14ac:dyDescent="0.3">
      <c r="A307" s="39" t="s">
        <v>184</v>
      </c>
      <c r="B307" s="1153" t="s">
        <v>329</v>
      </c>
      <c r="C307" s="42" t="s">
        <v>62</v>
      </c>
      <c r="D307" s="1022">
        <f>SUM(D308:D313,D315)</f>
        <v>11.124755200000001</v>
      </c>
      <c r="E307" s="108">
        <v>25000</v>
      </c>
      <c r="F307" s="108"/>
      <c r="G307" s="1067">
        <f t="shared" si="19"/>
        <v>278118.88</v>
      </c>
      <c r="H307" s="1067">
        <f t="shared" si="20"/>
        <v>0</v>
      </c>
      <c r="I307" s="1067">
        <f t="shared" si="21"/>
        <v>278118.88</v>
      </c>
    </row>
    <row r="308" spans="1:9" hidden="1" outlineLevel="1" x14ac:dyDescent="0.3">
      <c r="A308" s="39"/>
      <c r="B308" s="63" t="s">
        <v>1194</v>
      </c>
      <c r="C308" s="42" t="s">
        <v>62</v>
      </c>
      <c r="D308" s="1022">
        <f>(2*2.82*23+1*13.83*23+1*13.34*23+1*3.17*23+1*15.25*23+1*7.28*23+2*2.82*23+1*7.28*23+2*2.82*23+1*7.28*24+2*2.82*24)/1000*1.04</f>
        <v>2.1659975999999999</v>
      </c>
      <c r="E308" s="108"/>
      <c r="F308" s="108">
        <v>44100</v>
      </c>
      <c r="G308" s="1067">
        <f t="shared" si="19"/>
        <v>0</v>
      </c>
      <c r="H308" s="1067">
        <f t="shared" si="20"/>
        <v>95520.494159999987</v>
      </c>
      <c r="I308" s="1067">
        <f t="shared" si="21"/>
        <v>95520.494159999987</v>
      </c>
    </row>
    <row r="309" spans="1:9" hidden="1" outlineLevel="1" x14ac:dyDescent="0.3">
      <c r="A309" s="39"/>
      <c r="B309" s="63" t="s">
        <v>330</v>
      </c>
      <c r="C309" s="42" t="s">
        <v>62</v>
      </c>
      <c r="D309" s="1022">
        <f>(2*0.53*23+1*0.53*23+2*0.53*23+2*0.53*23+2*0.53*24)/1000*1.04</f>
        <v>0.11520080000000001</v>
      </c>
      <c r="E309" s="108"/>
      <c r="F309" s="108">
        <v>40400</v>
      </c>
      <c r="G309" s="1067">
        <f t="shared" si="19"/>
        <v>0</v>
      </c>
      <c r="H309" s="1067">
        <f t="shared" si="20"/>
        <v>4654.1123200000002</v>
      </c>
      <c r="I309" s="1067">
        <f t="shared" si="21"/>
        <v>4654.1123200000002</v>
      </c>
    </row>
    <row r="310" spans="1:9" hidden="1" outlineLevel="1" x14ac:dyDescent="0.3">
      <c r="A310" s="39"/>
      <c r="B310" s="63" t="s">
        <v>331</v>
      </c>
      <c r="C310" s="42" t="s">
        <v>62</v>
      </c>
      <c r="D310" s="1022">
        <f>(1*0.64*23)/1000*1.04</f>
        <v>1.5308800000000001E-2</v>
      </c>
      <c r="E310" s="108"/>
      <c r="F310" s="108">
        <v>40400</v>
      </c>
      <c r="G310" s="1067">
        <f t="shared" si="19"/>
        <v>0</v>
      </c>
      <c r="H310" s="1067">
        <f t="shared" si="20"/>
        <v>618.47552000000007</v>
      </c>
      <c r="I310" s="1067">
        <f t="shared" si="21"/>
        <v>618.47552000000007</v>
      </c>
    </row>
    <row r="311" spans="1:9" hidden="1" outlineLevel="1" x14ac:dyDescent="0.3">
      <c r="A311" s="39"/>
      <c r="B311" s="63" t="s">
        <v>332</v>
      </c>
      <c r="C311" s="42" t="s">
        <v>62</v>
      </c>
      <c r="D311" s="1022">
        <f>(1*0.55*23)/1000*1.04</f>
        <v>1.3156000000000001E-2</v>
      </c>
      <c r="E311" s="108"/>
      <c r="F311" s="108">
        <v>54600</v>
      </c>
      <c r="G311" s="1067">
        <f t="shared" si="19"/>
        <v>0</v>
      </c>
      <c r="H311" s="1067">
        <f t="shared" si="20"/>
        <v>718.31760000000008</v>
      </c>
      <c r="I311" s="1067">
        <f t="shared" si="21"/>
        <v>718.31760000000008</v>
      </c>
    </row>
    <row r="312" spans="1:9" hidden="1" outlineLevel="1" x14ac:dyDescent="0.3">
      <c r="A312" s="39"/>
      <c r="B312" s="63" t="s">
        <v>333</v>
      </c>
      <c r="C312" s="42" t="s">
        <v>62</v>
      </c>
      <c r="D312" s="1022">
        <f>(2*0.2*23)/1000*1.04</f>
        <v>9.5680000000000019E-3</v>
      </c>
      <c r="E312" s="108"/>
      <c r="F312" s="108">
        <v>54600</v>
      </c>
      <c r="G312" s="1067">
        <f t="shared" si="19"/>
        <v>0</v>
      </c>
      <c r="H312" s="1067">
        <f t="shared" si="20"/>
        <v>522.41280000000006</v>
      </c>
      <c r="I312" s="1067">
        <f t="shared" si="21"/>
        <v>522.41280000000006</v>
      </c>
    </row>
    <row r="313" spans="1:9" hidden="1" outlineLevel="1" x14ac:dyDescent="0.3">
      <c r="A313" s="39"/>
      <c r="B313" s="63" t="s">
        <v>334</v>
      </c>
      <c r="C313" s="42" t="s">
        <v>62</v>
      </c>
      <c r="D313" s="1022">
        <f>(1*0.22*23+1*0.22*24)/1000*1.04</f>
        <v>1.07536E-2</v>
      </c>
      <c r="E313" s="108"/>
      <c r="F313" s="108">
        <v>54600</v>
      </c>
      <c r="G313" s="1067">
        <f t="shared" si="19"/>
        <v>0</v>
      </c>
      <c r="H313" s="1067">
        <f t="shared" si="20"/>
        <v>587.14656000000002</v>
      </c>
      <c r="I313" s="1067">
        <f t="shared" si="21"/>
        <v>587.14656000000002</v>
      </c>
    </row>
    <row r="314" spans="1:9" hidden="1" outlineLevel="1" x14ac:dyDescent="0.3">
      <c r="A314" s="39" t="s">
        <v>185</v>
      </c>
      <c r="B314" s="1153" t="s">
        <v>335</v>
      </c>
      <c r="C314" s="42" t="s">
        <v>44</v>
      </c>
      <c r="D314" s="92">
        <f>14*23+12*23+11*23+9*23+9*23+9*24</f>
        <v>1481</v>
      </c>
      <c r="E314" s="108"/>
      <c r="F314" s="108">
        <v>0</v>
      </c>
      <c r="G314" s="1067">
        <f t="shared" si="19"/>
        <v>0</v>
      </c>
      <c r="H314" s="1067">
        <f>D314*F314</f>
        <v>0</v>
      </c>
      <c r="I314" s="1067">
        <f>G314+H314</f>
        <v>0</v>
      </c>
    </row>
    <row r="315" spans="1:9" hidden="1" outlineLevel="1" x14ac:dyDescent="0.3">
      <c r="A315" s="39"/>
      <c r="B315" s="63" t="s">
        <v>60</v>
      </c>
      <c r="C315" s="42" t="s">
        <v>62</v>
      </c>
      <c r="D315" s="1022">
        <f>SUM(D316:D318)</f>
        <v>8.7947704000000009</v>
      </c>
      <c r="E315" s="108"/>
      <c r="F315" s="108">
        <v>0</v>
      </c>
      <c r="G315" s="1067">
        <f t="shared" si="19"/>
        <v>0</v>
      </c>
      <c r="H315" s="1067">
        <f>D315*F315</f>
        <v>0</v>
      </c>
      <c r="I315" s="1067">
        <f>G315+H315</f>
        <v>0</v>
      </c>
    </row>
    <row r="316" spans="1:9" hidden="1" outlineLevel="1" x14ac:dyDescent="0.3">
      <c r="A316" s="39"/>
      <c r="B316" s="63" t="s">
        <v>336</v>
      </c>
      <c r="C316" s="42" t="s">
        <v>62</v>
      </c>
      <c r="D316" s="1022">
        <f>(5.43*1481)/1000*1.04</f>
        <v>8.3635032000000002</v>
      </c>
      <c r="E316" s="108"/>
      <c r="F316" s="108">
        <v>46000</v>
      </c>
      <c r="G316" s="1067">
        <f t="shared" si="19"/>
        <v>0</v>
      </c>
      <c r="H316" s="1067">
        <f t="shared" si="20"/>
        <v>384721.14720000001</v>
      </c>
      <c r="I316" s="1067">
        <f t="shared" si="21"/>
        <v>384721.14720000001</v>
      </c>
    </row>
    <row r="317" spans="1:9" hidden="1" outlineLevel="1" x14ac:dyDescent="0.3">
      <c r="A317" s="39"/>
      <c r="B317" s="63" t="s">
        <v>337</v>
      </c>
      <c r="C317" s="42" t="s">
        <v>62</v>
      </c>
      <c r="D317" s="1022">
        <f>(0.23*1481)/1000*1.04</f>
        <v>0.35425519999999999</v>
      </c>
      <c r="E317" s="108"/>
      <c r="F317" s="108">
        <v>40400</v>
      </c>
      <c r="G317" s="1067">
        <f t="shared" si="19"/>
        <v>0</v>
      </c>
      <c r="H317" s="1067">
        <f t="shared" si="20"/>
        <v>14311.91008</v>
      </c>
      <c r="I317" s="1067">
        <f t="shared" si="21"/>
        <v>14311.91008</v>
      </c>
    </row>
    <row r="318" spans="1:9" hidden="1" outlineLevel="1" x14ac:dyDescent="0.3">
      <c r="A318" s="39"/>
      <c r="B318" s="63" t="s">
        <v>338</v>
      </c>
      <c r="C318" s="42" t="s">
        <v>62</v>
      </c>
      <c r="D318" s="1022">
        <f>(0.05*1481)/1000*1.04</f>
        <v>7.7011999999999997E-2</v>
      </c>
      <c r="E318" s="108"/>
      <c r="F318" s="108">
        <v>54600</v>
      </c>
      <c r="G318" s="1067">
        <f t="shared" si="19"/>
        <v>0</v>
      </c>
      <c r="H318" s="1067">
        <f t="shared" si="20"/>
        <v>4204.8552</v>
      </c>
      <c r="I318" s="1067">
        <f t="shared" si="21"/>
        <v>4204.8552</v>
      </c>
    </row>
    <row r="319" spans="1:9" hidden="1" outlineLevel="1" x14ac:dyDescent="0.3">
      <c r="A319" s="39" t="s">
        <v>186</v>
      </c>
      <c r="B319" s="63" t="s">
        <v>339</v>
      </c>
      <c r="C319" s="42" t="s">
        <v>44</v>
      </c>
      <c r="D319" s="1022">
        <f>4*23+2*23+2*23+2*23+4*23+2*24</f>
        <v>370</v>
      </c>
      <c r="E319" s="108"/>
      <c r="F319" s="108">
        <v>75</v>
      </c>
      <c r="G319" s="1067">
        <f t="shared" si="19"/>
        <v>0</v>
      </c>
      <c r="H319" s="1067">
        <f t="shared" si="20"/>
        <v>27750</v>
      </c>
      <c r="I319" s="1067">
        <f t="shared" si="21"/>
        <v>27750</v>
      </c>
    </row>
    <row r="320" spans="1:9" hidden="1" outlineLevel="1" x14ac:dyDescent="0.3">
      <c r="A320" s="39" t="s">
        <v>340</v>
      </c>
      <c r="B320" s="63" t="s">
        <v>341</v>
      </c>
      <c r="C320" s="42" t="s">
        <v>44</v>
      </c>
      <c r="D320" s="1022">
        <f>2*23+2*23+2*24</f>
        <v>140</v>
      </c>
      <c r="E320" s="108"/>
      <c r="F320" s="108">
        <v>14.15</v>
      </c>
      <c r="G320" s="1067">
        <f t="shared" si="19"/>
        <v>0</v>
      </c>
      <c r="H320" s="1067">
        <f t="shared" si="20"/>
        <v>1981</v>
      </c>
      <c r="I320" s="1067">
        <f t="shared" si="21"/>
        <v>1981</v>
      </c>
    </row>
    <row r="321" spans="1:9" s="22" customFormat="1" hidden="1" outlineLevel="1" x14ac:dyDescent="0.3">
      <c r="A321" s="39" t="s">
        <v>189</v>
      </c>
      <c r="B321" s="63" t="s">
        <v>342</v>
      </c>
      <c r="C321" s="42" t="s">
        <v>44</v>
      </c>
      <c r="D321" s="1022">
        <v>24</v>
      </c>
      <c r="E321" s="108">
        <v>25000</v>
      </c>
      <c r="F321" s="108"/>
      <c r="G321" s="1067">
        <f>D322*E321</f>
        <v>89356.800000000003</v>
      </c>
      <c r="H321" s="1067">
        <f t="shared" si="20"/>
        <v>0</v>
      </c>
      <c r="I321" s="1067">
        <f t="shared" si="21"/>
        <v>89356.800000000003</v>
      </c>
    </row>
    <row r="322" spans="1:9" hidden="1" outlineLevel="1" x14ac:dyDescent="0.3">
      <c r="A322" s="39" t="s">
        <v>191</v>
      </c>
      <c r="B322" s="63" t="s">
        <v>343</v>
      </c>
      <c r="C322" s="42" t="s">
        <v>62</v>
      </c>
      <c r="D322" s="1022">
        <f>SUM(D323:D329)</f>
        <v>3.5742720000000001</v>
      </c>
      <c r="E322" s="108"/>
      <c r="F322" s="108"/>
      <c r="G322" s="1067">
        <f t="shared" ref="G322:G362" si="22">D322*E322</f>
        <v>0</v>
      </c>
      <c r="H322" s="1067">
        <f t="shared" si="20"/>
        <v>0</v>
      </c>
      <c r="I322" s="1067">
        <f t="shared" si="21"/>
        <v>0</v>
      </c>
    </row>
    <row r="323" spans="1:9" hidden="1" outlineLevel="1" x14ac:dyDescent="0.3">
      <c r="A323" s="39"/>
      <c r="B323" s="63" t="s">
        <v>336</v>
      </c>
      <c r="C323" s="42" t="s">
        <v>62</v>
      </c>
      <c r="D323" s="1022">
        <f>(8*4.97*24)/1000*1.04</f>
        <v>0.9924096</v>
      </c>
      <c r="E323" s="108"/>
      <c r="F323" s="108">
        <v>46000</v>
      </c>
      <c r="G323" s="1067">
        <f t="shared" si="22"/>
        <v>0</v>
      </c>
      <c r="H323" s="1067">
        <f t="shared" si="20"/>
        <v>45650.8416</v>
      </c>
      <c r="I323" s="1067">
        <f t="shared" si="21"/>
        <v>45650.8416</v>
      </c>
    </row>
    <row r="324" spans="1:9" hidden="1" outlineLevel="1" x14ac:dyDescent="0.3">
      <c r="A324" s="39"/>
      <c r="B324" s="63" t="s">
        <v>344</v>
      </c>
      <c r="C324" s="42" t="s">
        <v>62</v>
      </c>
      <c r="D324" s="1022">
        <f>(1*23.27*24)/1000*1.04</f>
        <v>0.58081919999999998</v>
      </c>
      <c r="E324" s="108"/>
      <c r="F324" s="108">
        <v>47200</v>
      </c>
      <c r="G324" s="1067">
        <f t="shared" si="22"/>
        <v>0</v>
      </c>
      <c r="H324" s="1067">
        <f t="shared" si="20"/>
        <v>27414.666239999999</v>
      </c>
      <c r="I324" s="1067">
        <f t="shared" si="21"/>
        <v>27414.666239999999</v>
      </c>
    </row>
    <row r="325" spans="1:9" hidden="1" outlineLevel="1" x14ac:dyDescent="0.3">
      <c r="A325" s="39"/>
      <c r="B325" s="63" t="s">
        <v>345</v>
      </c>
      <c r="C325" s="42" t="s">
        <v>62</v>
      </c>
      <c r="D325" s="1022">
        <f>(7*1.7*24)/1000*1.04</f>
        <v>0.29702400000000001</v>
      </c>
      <c r="E325" s="108"/>
      <c r="F325" s="108">
        <v>48700</v>
      </c>
      <c r="G325" s="1067">
        <f t="shared" si="22"/>
        <v>0</v>
      </c>
      <c r="H325" s="1067">
        <f t="shared" si="20"/>
        <v>14465.068800000001</v>
      </c>
      <c r="I325" s="1067">
        <f t="shared" si="21"/>
        <v>14465.068800000001</v>
      </c>
    </row>
    <row r="326" spans="1:9" hidden="1" outlineLevel="1" x14ac:dyDescent="0.3">
      <c r="A326" s="39"/>
      <c r="B326" s="63" t="s">
        <v>337</v>
      </c>
      <c r="C326" s="42" t="s">
        <v>62</v>
      </c>
      <c r="D326" s="1022">
        <f>(8*0.23*24)/1000*1.04</f>
        <v>4.5926400000000006E-2</v>
      </c>
      <c r="E326" s="108"/>
      <c r="F326" s="108">
        <v>40400</v>
      </c>
      <c r="G326" s="1067">
        <f t="shared" si="22"/>
        <v>0</v>
      </c>
      <c r="H326" s="1067">
        <f t="shared" si="20"/>
        <v>1855.4265600000003</v>
      </c>
      <c r="I326" s="1067">
        <f t="shared" si="21"/>
        <v>1855.4265600000003</v>
      </c>
    </row>
    <row r="327" spans="1:9" hidden="1" outlineLevel="1" x14ac:dyDescent="0.3">
      <c r="A327" s="39"/>
      <c r="B327" s="63" t="s">
        <v>346</v>
      </c>
      <c r="C327" s="42" t="s">
        <v>62</v>
      </c>
      <c r="D327" s="1022">
        <f>(35*1.85*24)/1000*1.04</f>
        <v>1.61616</v>
      </c>
      <c r="E327" s="108"/>
      <c r="F327" s="108">
        <v>56300</v>
      </c>
      <c r="G327" s="1067">
        <f t="shared" si="22"/>
        <v>0</v>
      </c>
      <c r="H327" s="1067">
        <f t="shared" si="20"/>
        <v>90989.808000000005</v>
      </c>
      <c r="I327" s="1067">
        <f t="shared" si="21"/>
        <v>90989.808000000005</v>
      </c>
    </row>
    <row r="328" spans="1:9" hidden="1" outlineLevel="1" x14ac:dyDescent="0.3">
      <c r="A328" s="39"/>
      <c r="B328" s="63" t="s">
        <v>347</v>
      </c>
      <c r="C328" s="42" t="s">
        <v>62</v>
      </c>
      <c r="D328" s="1022">
        <f>(48*0.57)/1000*1.04</f>
        <v>2.8454400000000001E-2</v>
      </c>
      <c r="E328" s="108"/>
      <c r="F328" s="108">
        <v>40400</v>
      </c>
      <c r="G328" s="1067">
        <f t="shared" si="22"/>
        <v>0</v>
      </c>
      <c r="H328" s="1067">
        <f t="shared" si="20"/>
        <v>1149.5577600000001</v>
      </c>
      <c r="I328" s="1067">
        <f t="shared" si="21"/>
        <v>1149.5577600000001</v>
      </c>
    </row>
    <row r="329" spans="1:9" hidden="1" outlineLevel="1" x14ac:dyDescent="0.3">
      <c r="A329" s="39"/>
      <c r="B329" s="63" t="s">
        <v>234</v>
      </c>
      <c r="C329" s="42" t="s">
        <v>62</v>
      </c>
      <c r="D329" s="1022">
        <f>(12.96)/1000*1.04</f>
        <v>1.3478400000000001E-2</v>
      </c>
      <c r="E329" s="108"/>
      <c r="F329" s="108">
        <v>35000</v>
      </c>
      <c r="G329" s="1067">
        <f t="shared" si="22"/>
        <v>0</v>
      </c>
      <c r="H329" s="1067">
        <f t="shared" si="20"/>
        <v>471.74400000000003</v>
      </c>
      <c r="I329" s="1067">
        <f t="shared" si="21"/>
        <v>471.74400000000003</v>
      </c>
    </row>
    <row r="330" spans="1:9" hidden="1" outlineLevel="1" x14ac:dyDescent="0.3">
      <c r="A330" s="39" t="s">
        <v>192</v>
      </c>
      <c r="B330" s="63" t="s">
        <v>1195</v>
      </c>
      <c r="C330" s="42" t="s">
        <v>79</v>
      </c>
      <c r="D330" s="1022">
        <f>121.68*0.24</f>
        <v>29.203199999999999</v>
      </c>
      <c r="E330" s="108"/>
      <c r="F330" s="108">
        <v>385.71</v>
      </c>
      <c r="G330" s="1067">
        <f t="shared" si="22"/>
        <v>0</v>
      </c>
      <c r="H330" s="1067">
        <f t="shared" si="20"/>
        <v>11263.966272</v>
      </c>
      <c r="I330" s="1067">
        <f t="shared" si="21"/>
        <v>11263.966272</v>
      </c>
    </row>
    <row r="331" spans="1:9" hidden="1" outlineLevel="1" x14ac:dyDescent="0.3">
      <c r="A331" s="39" t="s">
        <v>195</v>
      </c>
      <c r="B331" s="63" t="s">
        <v>339</v>
      </c>
      <c r="C331" s="42" t="s">
        <v>44</v>
      </c>
      <c r="D331" s="1022">
        <v>96</v>
      </c>
      <c r="E331" s="108"/>
      <c r="F331" s="108">
        <v>75</v>
      </c>
      <c r="G331" s="1067">
        <f t="shared" si="22"/>
        <v>0</v>
      </c>
      <c r="H331" s="1067">
        <f t="shared" si="20"/>
        <v>7200</v>
      </c>
      <c r="I331" s="1067">
        <f t="shared" si="21"/>
        <v>7200</v>
      </c>
    </row>
    <row r="332" spans="1:9" hidden="1" outlineLevel="1" x14ac:dyDescent="0.3">
      <c r="A332" s="39" t="s">
        <v>196</v>
      </c>
      <c r="B332" s="63" t="s">
        <v>348</v>
      </c>
      <c r="C332" s="42" t="s">
        <v>62</v>
      </c>
      <c r="D332" s="1022">
        <f>D322*0.019*1.2</f>
        <v>8.1493401599999987E-2</v>
      </c>
      <c r="E332" s="108"/>
      <c r="F332" s="108">
        <v>142000</v>
      </c>
      <c r="G332" s="1067">
        <f t="shared" si="22"/>
        <v>0</v>
      </c>
      <c r="H332" s="1067">
        <f t="shared" si="20"/>
        <v>11572.063027199998</v>
      </c>
      <c r="I332" s="1067">
        <f t="shared" si="21"/>
        <v>11572.063027199998</v>
      </c>
    </row>
    <row r="333" spans="1:9" s="22" customFormat="1" hidden="1" outlineLevel="1" x14ac:dyDescent="0.3">
      <c r="A333" s="39" t="s">
        <v>215</v>
      </c>
      <c r="B333" s="138" t="s">
        <v>349</v>
      </c>
      <c r="C333" s="139" t="s">
        <v>34</v>
      </c>
      <c r="D333" s="139">
        <f>109*0.38</f>
        <v>41.42</v>
      </c>
      <c r="E333" s="108">
        <v>1700</v>
      </c>
      <c r="F333" s="108"/>
      <c r="G333" s="1067">
        <f t="shared" si="22"/>
        <v>70414</v>
      </c>
      <c r="H333" s="1067">
        <f t="shared" si="20"/>
        <v>0</v>
      </c>
      <c r="I333" s="1067">
        <f t="shared" si="21"/>
        <v>70414</v>
      </c>
    </row>
    <row r="334" spans="1:9" hidden="1" outlineLevel="1" x14ac:dyDescent="0.3">
      <c r="A334" s="39" t="s">
        <v>217</v>
      </c>
      <c r="B334" s="138" t="s">
        <v>350</v>
      </c>
      <c r="C334" s="139" t="s">
        <v>44</v>
      </c>
      <c r="D334" s="1162">
        <f>394*D333</f>
        <v>16319.480000000001</v>
      </c>
      <c r="E334" s="108"/>
      <c r="F334" s="108">
        <v>10.6</v>
      </c>
      <c r="G334" s="1067">
        <f t="shared" si="22"/>
        <v>0</v>
      </c>
      <c r="H334" s="1067">
        <f t="shared" si="20"/>
        <v>172986.48800000001</v>
      </c>
      <c r="I334" s="1067">
        <f t="shared" si="21"/>
        <v>172986.48800000001</v>
      </c>
    </row>
    <row r="335" spans="1:9" hidden="1" outlineLevel="1" x14ac:dyDescent="0.3">
      <c r="A335" s="39" t="s">
        <v>218</v>
      </c>
      <c r="B335" s="138" t="s">
        <v>351</v>
      </c>
      <c r="C335" s="139" t="s">
        <v>34</v>
      </c>
      <c r="D335" s="139">
        <f>0.221*D333</f>
        <v>9.1538199999999996</v>
      </c>
      <c r="E335" s="108"/>
      <c r="F335" s="108">
        <v>3900</v>
      </c>
      <c r="G335" s="1067">
        <f t="shared" si="22"/>
        <v>0</v>
      </c>
      <c r="H335" s="1067">
        <f t="shared" si="20"/>
        <v>35699.898000000001</v>
      </c>
      <c r="I335" s="1067">
        <f t="shared" si="21"/>
        <v>35699.898000000001</v>
      </c>
    </row>
    <row r="336" spans="1:9" hidden="1" outlineLevel="1" x14ac:dyDescent="0.3">
      <c r="A336" s="39" t="s">
        <v>353</v>
      </c>
      <c r="B336" s="63" t="s">
        <v>354</v>
      </c>
      <c r="C336" s="42" t="s">
        <v>62</v>
      </c>
      <c r="D336" s="1022">
        <f>(32*2*0.38*2+22.5*2*0.38*2)*1.794</f>
        <v>148.61496</v>
      </c>
      <c r="E336" s="108"/>
      <c r="F336" s="108">
        <v>100</v>
      </c>
      <c r="G336" s="1067">
        <f t="shared" si="22"/>
        <v>0</v>
      </c>
      <c r="H336" s="1067">
        <f t="shared" si="20"/>
        <v>14861.495999999999</v>
      </c>
      <c r="I336" s="1067">
        <f t="shared" si="21"/>
        <v>14861.495999999999</v>
      </c>
    </row>
    <row r="337" spans="1:9" hidden="1" outlineLevel="1" x14ac:dyDescent="0.3">
      <c r="A337" s="39" t="s">
        <v>355</v>
      </c>
      <c r="B337" s="63" t="s">
        <v>356</v>
      </c>
      <c r="C337" s="42" t="s">
        <v>62</v>
      </c>
      <c r="D337" s="1022">
        <f>(32*2*0.38+22.5*2*0.38)*5.16</f>
        <v>213.72720000000001</v>
      </c>
      <c r="E337" s="108"/>
      <c r="F337" s="108">
        <v>100</v>
      </c>
      <c r="G337" s="1067">
        <f t="shared" si="22"/>
        <v>0</v>
      </c>
      <c r="H337" s="1067">
        <f t="shared" si="20"/>
        <v>21372.720000000001</v>
      </c>
      <c r="I337" s="1067">
        <f t="shared" si="21"/>
        <v>21372.720000000001</v>
      </c>
    </row>
    <row r="338" spans="1:9" hidden="1" outlineLevel="1" x14ac:dyDescent="0.3">
      <c r="A338" s="39" t="s">
        <v>357</v>
      </c>
      <c r="B338" s="63" t="s">
        <v>358</v>
      </c>
      <c r="C338" s="42" t="s">
        <v>79</v>
      </c>
      <c r="D338" s="1022">
        <f>(32*2+22.5*2)*1.1</f>
        <v>119.9</v>
      </c>
      <c r="E338" s="108"/>
      <c r="F338" s="108">
        <v>649</v>
      </c>
      <c r="G338" s="1067">
        <f t="shared" si="22"/>
        <v>0</v>
      </c>
      <c r="H338" s="1067">
        <f t="shared" si="20"/>
        <v>77815.100000000006</v>
      </c>
      <c r="I338" s="1067">
        <f t="shared" si="21"/>
        <v>77815.100000000006</v>
      </c>
    </row>
    <row r="339" spans="1:9" hidden="1" outlineLevel="1" x14ac:dyDescent="0.3">
      <c r="A339" s="39" t="s">
        <v>359</v>
      </c>
      <c r="B339" s="63" t="s">
        <v>360</v>
      </c>
      <c r="C339" s="42" t="s">
        <v>62</v>
      </c>
      <c r="D339" s="1022">
        <f>(54*0.66)/1000*1.04</f>
        <v>3.7065599999999997E-2</v>
      </c>
      <c r="E339" s="108"/>
      <c r="F339" s="108">
        <v>42500</v>
      </c>
      <c r="G339" s="1067">
        <f t="shared" si="22"/>
        <v>0</v>
      </c>
      <c r="H339" s="1067">
        <f t="shared" si="20"/>
        <v>1575.2879999999998</v>
      </c>
      <c r="I339" s="1067">
        <f t="shared" si="21"/>
        <v>1575.2879999999998</v>
      </c>
    </row>
    <row r="340" spans="1:9" s="22" customFormat="1" hidden="1" outlineLevel="1" x14ac:dyDescent="0.3">
      <c r="A340" s="1019" t="s">
        <v>220</v>
      </c>
      <c r="B340" s="143" t="s">
        <v>361</v>
      </c>
      <c r="C340" s="1021"/>
      <c r="D340" s="144"/>
      <c r="E340" s="146"/>
      <c r="F340" s="146"/>
      <c r="G340" s="1067">
        <f t="shared" si="22"/>
        <v>0</v>
      </c>
      <c r="H340" s="1067">
        <f t="shared" si="20"/>
        <v>0</v>
      </c>
      <c r="I340" s="1067">
        <f t="shared" si="21"/>
        <v>0</v>
      </c>
    </row>
    <row r="341" spans="1:9" ht="28.8" hidden="1" outlineLevel="1" x14ac:dyDescent="0.3">
      <c r="A341" s="39" t="s">
        <v>222</v>
      </c>
      <c r="B341" s="1153" t="s">
        <v>362</v>
      </c>
      <c r="C341" s="42" t="s">
        <v>34</v>
      </c>
      <c r="D341" s="1022">
        <f>(32.81+81.171)*0.25</f>
        <v>28.495250000000002</v>
      </c>
      <c r="E341" s="108">
        <v>1650</v>
      </c>
      <c r="F341" s="108"/>
      <c r="G341" s="1067">
        <f t="shared" si="22"/>
        <v>47017.162500000006</v>
      </c>
      <c r="H341" s="1067">
        <f t="shared" ref="H341:H362" si="23">D341*F341</f>
        <v>0</v>
      </c>
      <c r="I341" s="1067">
        <f t="shared" ref="I341:I362" si="24">G341+H341</f>
        <v>47017.162500000006</v>
      </c>
    </row>
    <row r="342" spans="1:9" hidden="1" outlineLevel="1" x14ac:dyDescent="0.3">
      <c r="A342" s="39"/>
      <c r="B342" s="63" t="s">
        <v>298</v>
      </c>
      <c r="C342" s="48" t="s">
        <v>34</v>
      </c>
      <c r="D342" s="1022">
        <f>D341*1.05</f>
        <v>29.920012500000002</v>
      </c>
      <c r="E342" s="108"/>
      <c r="F342" s="146">
        <v>3100</v>
      </c>
      <c r="G342" s="1067">
        <f t="shared" si="22"/>
        <v>0</v>
      </c>
      <c r="H342" s="1067">
        <f t="shared" si="23"/>
        <v>92752.038750000007</v>
      </c>
      <c r="I342" s="1067">
        <f t="shared" si="24"/>
        <v>92752.038750000007</v>
      </c>
    </row>
    <row r="343" spans="1:9" hidden="1" outlineLevel="1" x14ac:dyDescent="0.3">
      <c r="A343" s="39"/>
      <c r="B343" s="63" t="s">
        <v>299</v>
      </c>
      <c r="C343" s="42" t="s">
        <v>300</v>
      </c>
      <c r="D343" s="1022">
        <f>ROUND(D341*1.6/25,0.1)</f>
        <v>2</v>
      </c>
      <c r="E343" s="108"/>
      <c r="F343" s="108">
        <v>240</v>
      </c>
      <c r="G343" s="1067">
        <f t="shared" si="22"/>
        <v>0</v>
      </c>
      <c r="H343" s="1067">
        <f t="shared" si="23"/>
        <v>480</v>
      </c>
      <c r="I343" s="1067">
        <f t="shared" si="24"/>
        <v>480</v>
      </c>
    </row>
    <row r="344" spans="1:9" hidden="1" outlineLevel="1" x14ac:dyDescent="0.3">
      <c r="A344" s="39" t="s">
        <v>223</v>
      </c>
      <c r="B344" s="1153" t="s">
        <v>363</v>
      </c>
      <c r="C344" s="42" t="s">
        <v>74</v>
      </c>
      <c r="D344" s="1022">
        <f>81.375+21.507</f>
        <v>102.88200000000001</v>
      </c>
      <c r="E344" s="108">
        <v>450</v>
      </c>
      <c r="F344" s="108"/>
      <c r="G344" s="1067">
        <f t="shared" si="22"/>
        <v>46296.9</v>
      </c>
      <c r="H344" s="1067">
        <f t="shared" si="23"/>
        <v>0</v>
      </c>
      <c r="I344" s="1067">
        <f t="shared" si="24"/>
        <v>46296.9</v>
      </c>
    </row>
    <row r="345" spans="1:9" hidden="1" outlineLevel="1" x14ac:dyDescent="0.3">
      <c r="A345" s="39"/>
      <c r="B345" s="63" t="s">
        <v>364</v>
      </c>
      <c r="C345" s="42" t="s">
        <v>44</v>
      </c>
      <c r="D345" s="1022">
        <f>ROUND(153*D344,0)</f>
        <v>15741</v>
      </c>
      <c r="E345" s="108"/>
      <c r="F345" s="108">
        <v>15.6</v>
      </c>
      <c r="G345" s="1067">
        <f t="shared" si="22"/>
        <v>0</v>
      </c>
      <c r="H345" s="1067">
        <f t="shared" si="23"/>
        <v>245559.6</v>
      </c>
      <c r="I345" s="1067">
        <f t="shared" si="24"/>
        <v>245559.6</v>
      </c>
    </row>
    <row r="346" spans="1:9" hidden="1" outlineLevel="1" x14ac:dyDescent="0.3">
      <c r="A346" s="39"/>
      <c r="B346" s="63" t="s">
        <v>327</v>
      </c>
      <c r="C346" s="42" t="s">
        <v>34</v>
      </c>
      <c r="D346" s="1022">
        <f>ROUND(0.241*D344,2)</f>
        <v>24.79</v>
      </c>
      <c r="E346" s="108"/>
      <c r="F346" s="108">
        <v>3900</v>
      </c>
      <c r="G346" s="1067">
        <f t="shared" si="22"/>
        <v>0</v>
      </c>
      <c r="H346" s="1067">
        <f t="shared" si="23"/>
        <v>96681</v>
      </c>
      <c r="I346" s="1067">
        <f t="shared" si="24"/>
        <v>96681</v>
      </c>
    </row>
    <row r="347" spans="1:9" hidden="1" outlineLevel="1" x14ac:dyDescent="0.3">
      <c r="A347" s="39" t="s">
        <v>224</v>
      </c>
      <c r="B347" s="63" t="s">
        <v>365</v>
      </c>
      <c r="C347" s="42" t="s">
        <v>44</v>
      </c>
      <c r="D347" s="1022">
        <v>6</v>
      </c>
      <c r="E347" s="108"/>
      <c r="F347" s="108">
        <v>500</v>
      </c>
      <c r="G347" s="1067">
        <f t="shared" si="22"/>
        <v>0</v>
      </c>
      <c r="H347" s="1067">
        <f t="shared" si="23"/>
        <v>3000</v>
      </c>
      <c r="I347" s="1067">
        <f t="shared" si="24"/>
        <v>3000</v>
      </c>
    </row>
    <row r="348" spans="1:9" hidden="1" outlineLevel="1" x14ac:dyDescent="0.3">
      <c r="A348" s="39" t="s">
        <v>366</v>
      </c>
      <c r="B348" s="63" t="s">
        <v>367</v>
      </c>
      <c r="C348" s="42" t="s">
        <v>34</v>
      </c>
      <c r="D348" s="1022">
        <f>0.2*0.2*0.01*6*1.05</f>
        <v>2.5200000000000005E-3</v>
      </c>
      <c r="E348" s="108"/>
      <c r="F348" s="108">
        <v>3900</v>
      </c>
      <c r="G348" s="1067">
        <f t="shared" si="22"/>
        <v>0</v>
      </c>
      <c r="H348" s="1067">
        <f t="shared" si="23"/>
        <v>9.828000000000003</v>
      </c>
      <c r="I348" s="1067">
        <f t="shared" si="24"/>
        <v>9.828000000000003</v>
      </c>
    </row>
    <row r="349" spans="1:9" hidden="1" outlineLevel="1" x14ac:dyDescent="0.3">
      <c r="A349" s="39" t="s">
        <v>368</v>
      </c>
      <c r="B349" s="63" t="s">
        <v>289</v>
      </c>
      <c r="C349" s="42" t="s">
        <v>62</v>
      </c>
      <c r="D349" s="1022">
        <f>SUM(D350:D354)</f>
        <v>1.8984992000000001</v>
      </c>
      <c r="E349" s="108"/>
      <c r="F349" s="108">
        <v>0</v>
      </c>
      <c r="G349" s="1067">
        <f t="shared" si="22"/>
        <v>0</v>
      </c>
      <c r="H349" s="1067">
        <f>D349*F349</f>
        <v>0</v>
      </c>
      <c r="I349" s="1067">
        <f>G349+H349</f>
        <v>0</v>
      </c>
    </row>
    <row r="350" spans="1:9" hidden="1" outlineLevel="1" x14ac:dyDescent="0.3">
      <c r="A350" s="39"/>
      <c r="B350" s="63" t="s">
        <v>369</v>
      </c>
      <c r="C350" s="42" t="s">
        <v>62</v>
      </c>
      <c r="D350" s="1022">
        <f>327/1000*1.04</f>
        <v>0.34008000000000005</v>
      </c>
      <c r="E350" s="108"/>
      <c r="F350" s="108">
        <v>59600</v>
      </c>
      <c r="G350" s="1067">
        <f t="shared" si="22"/>
        <v>0</v>
      </c>
      <c r="H350" s="1067">
        <f>D350*F350</f>
        <v>20268.768000000004</v>
      </c>
      <c r="I350" s="1067">
        <f>G350+H350</f>
        <v>20268.768000000004</v>
      </c>
    </row>
    <row r="351" spans="1:9" hidden="1" outlineLevel="1" x14ac:dyDescent="0.3">
      <c r="A351" s="39"/>
      <c r="B351" s="63" t="s">
        <v>370</v>
      </c>
      <c r="C351" s="42" t="s">
        <v>62</v>
      </c>
      <c r="D351" s="1022">
        <f>110.33/1000*1.04</f>
        <v>0.1147432</v>
      </c>
      <c r="E351" s="108"/>
      <c r="F351" s="108">
        <v>60600</v>
      </c>
      <c r="G351" s="1067">
        <f t="shared" si="22"/>
        <v>0</v>
      </c>
      <c r="H351" s="1067">
        <f t="shared" si="23"/>
        <v>6953.4379200000003</v>
      </c>
      <c r="I351" s="1067">
        <f t="shared" si="24"/>
        <v>6953.4379200000003</v>
      </c>
    </row>
    <row r="352" spans="1:9" hidden="1" outlineLevel="1" x14ac:dyDescent="0.3">
      <c r="A352" s="39"/>
      <c r="B352" s="63" t="s">
        <v>371</v>
      </c>
      <c r="C352" s="42" t="s">
        <v>62</v>
      </c>
      <c r="D352" s="1022">
        <f>(1*36.71+4*58.88)/1000*1.04</f>
        <v>0.28311920000000002</v>
      </c>
      <c r="E352" s="108"/>
      <c r="F352" s="108">
        <v>65200</v>
      </c>
      <c r="G352" s="1067">
        <f t="shared" si="22"/>
        <v>0</v>
      </c>
      <c r="H352" s="1067">
        <f t="shared" si="23"/>
        <v>18459.37184</v>
      </c>
      <c r="I352" s="1067">
        <f t="shared" si="24"/>
        <v>18459.37184</v>
      </c>
    </row>
    <row r="353" spans="1:11" hidden="1" outlineLevel="1" x14ac:dyDescent="0.3">
      <c r="A353" s="39"/>
      <c r="B353" s="63" t="s">
        <v>372</v>
      </c>
      <c r="C353" s="42" t="s">
        <v>62</v>
      </c>
      <c r="D353" s="1022">
        <f>(8*124.32+1*100.56)/1000*1.04</f>
        <v>1.1389247999999998</v>
      </c>
      <c r="E353" s="108"/>
      <c r="F353" s="108">
        <v>75600</v>
      </c>
      <c r="G353" s="1067">
        <f t="shared" si="22"/>
        <v>0</v>
      </c>
      <c r="H353" s="1067">
        <f t="shared" si="23"/>
        <v>86102.714879999985</v>
      </c>
      <c r="I353" s="1067">
        <f t="shared" si="24"/>
        <v>86102.714879999985</v>
      </c>
    </row>
    <row r="354" spans="1:11" hidden="1" outlineLevel="1" x14ac:dyDescent="0.3">
      <c r="A354" s="39"/>
      <c r="B354" s="63" t="s">
        <v>373</v>
      </c>
      <c r="C354" s="42" t="s">
        <v>62</v>
      </c>
      <c r="D354" s="1022">
        <f>(26*0.8)/1000*1.04</f>
        <v>2.1631999999999998E-2</v>
      </c>
      <c r="E354" s="108"/>
      <c r="F354" s="108">
        <v>40500</v>
      </c>
      <c r="G354" s="1067">
        <f t="shared" si="22"/>
        <v>0</v>
      </c>
      <c r="H354" s="1067">
        <f t="shared" si="23"/>
        <v>876.09599999999989</v>
      </c>
      <c r="I354" s="1067">
        <f t="shared" si="24"/>
        <v>876.09599999999989</v>
      </c>
    </row>
    <row r="355" spans="1:11" hidden="1" outlineLevel="1" x14ac:dyDescent="0.3">
      <c r="A355" s="39" t="s">
        <v>374</v>
      </c>
      <c r="B355" s="63" t="s">
        <v>294</v>
      </c>
      <c r="C355" s="42" t="s">
        <v>79</v>
      </c>
      <c r="D355" s="1022">
        <f>3.89*2*D349</f>
        <v>14.770323776000001</v>
      </c>
      <c r="E355" s="108"/>
      <c r="F355" s="108">
        <v>65</v>
      </c>
      <c r="G355" s="1067">
        <f t="shared" si="22"/>
        <v>0</v>
      </c>
      <c r="H355" s="1067">
        <f t="shared" si="23"/>
        <v>960.07104544000015</v>
      </c>
      <c r="I355" s="1067">
        <f t="shared" si="24"/>
        <v>960.07104544000015</v>
      </c>
    </row>
    <row r="356" spans="1:11" hidden="1" outlineLevel="1" x14ac:dyDescent="0.3">
      <c r="A356" s="39" t="s">
        <v>375</v>
      </c>
      <c r="B356" s="63" t="s">
        <v>295</v>
      </c>
      <c r="C356" s="42" t="s">
        <v>79</v>
      </c>
      <c r="D356" s="1022">
        <f>3.37*2*D349</f>
        <v>12.795884608000001</v>
      </c>
      <c r="E356" s="108"/>
      <c r="F356" s="108">
        <v>88.45</v>
      </c>
      <c r="G356" s="1067">
        <f t="shared" si="22"/>
        <v>0</v>
      </c>
      <c r="H356" s="1067">
        <f t="shared" si="23"/>
        <v>1131.7959935776003</v>
      </c>
      <c r="I356" s="1067">
        <f t="shared" si="24"/>
        <v>1131.7959935776003</v>
      </c>
    </row>
    <row r="357" spans="1:11" hidden="1" outlineLevel="1" x14ac:dyDescent="0.3">
      <c r="A357" s="39" t="s">
        <v>376</v>
      </c>
      <c r="B357" s="63" t="s">
        <v>377</v>
      </c>
      <c r="C357" s="42" t="s">
        <v>79</v>
      </c>
      <c r="D357" s="1022">
        <f>((1*36.71+4*58.88)/18.4*0.2+(8*124.32+1*100.56)/24*0.24)*1.46</f>
        <v>20.308923739130432</v>
      </c>
      <c r="E357" s="108"/>
      <c r="F357" s="108">
        <v>284</v>
      </c>
      <c r="G357" s="1067">
        <f t="shared" si="22"/>
        <v>0</v>
      </c>
      <c r="H357" s="1067">
        <f t="shared" si="23"/>
        <v>5767.734341913043</v>
      </c>
      <c r="I357" s="1067">
        <f t="shared" si="24"/>
        <v>5767.734341913043</v>
      </c>
    </row>
    <row r="358" spans="1:11" hidden="1" outlineLevel="1" x14ac:dyDescent="0.3">
      <c r="A358" s="39" t="s">
        <v>378</v>
      </c>
      <c r="B358" s="63" t="s">
        <v>379</v>
      </c>
      <c r="C358" s="42" t="s">
        <v>74</v>
      </c>
      <c r="D358" s="1022">
        <f>68.27</f>
        <v>68.27</v>
      </c>
      <c r="E358" s="108"/>
      <c r="F358" s="108">
        <v>829</v>
      </c>
      <c r="G358" s="1067">
        <f t="shared" si="22"/>
        <v>0</v>
      </c>
      <c r="H358" s="1067">
        <f t="shared" si="23"/>
        <v>56595.829999999994</v>
      </c>
      <c r="I358" s="1067">
        <f t="shared" si="24"/>
        <v>56595.829999999994</v>
      </c>
    </row>
    <row r="359" spans="1:11" s="22" customFormat="1" hidden="1" outlineLevel="1" x14ac:dyDescent="0.3">
      <c r="A359" s="39" t="s">
        <v>225</v>
      </c>
      <c r="B359" s="63" t="s">
        <v>380</v>
      </c>
      <c r="C359" s="42" t="s">
        <v>34</v>
      </c>
      <c r="D359" s="1022">
        <f>(1.226+0.504+0.686)</f>
        <v>2.4159999999999999</v>
      </c>
      <c r="E359" s="108">
        <v>2800</v>
      </c>
      <c r="F359" s="42"/>
      <c r="G359" s="1067">
        <f t="shared" si="22"/>
        <v>6764.8</v>
      </c>
      <c r="H359" s="1067">
        <f>D359*F359</f>
        <v>0</v>
      </c>
      <c r="I359" s="1067">
        <f>G359+H359</f>
        <v>6764.8</v>
      </c>
    </row>
    <row r="360" spans="1:11" hidden="1" outlineLevel="1" x14ac:dyDescent="0.3">
      <c r="A360" s="39" t="s">
        <v>227</v>
      </c>
      <c r="B360" s="63" t="s">
        <v>162</v>
      </c>
      <c r="C360" s="42" t="s">
        <v>62</v>
      </c>
      <c r="D360" s="1022">
        <f>(89.01+37.15+49.16)/1000*1.04</f>
        <v>0.18233280000000002</v>
      </c>
      <c r="E360" s="108"/>
      <c r="F360" s="108">
        <v>34400</v>
      </c>
      <c r="G360" s="1067">
        <f t="shared" si="22"/>
        <v>0</v>
      </c>
      <c r="H360" s="1067">
        <f t="shared" si="23"/>
        <v>6272.2483200000006</v>
      </c>
      <c r="I360" s="1067">
        <f t="shared" si="24"/>
        <v>6272.2483200000006</v>
      </c>
    </row>
    <row r="361" spans="1:11" hidden="1" outlineLevel="1" x14ac:dyDescent="0.3">
      <c r="A361" s="39" t="s">
        <v>228</v>
      </c>
      <c r="B361" s="63" t="s">
        <v>381</v>
      </c>
      <c r="C361" s="42" t="s">
        <v>62</v>
      </c>
      <c r="D361" s="1022">
        <f>(30.06+11.52+16.38)/1000*1.04</f>
        <v>6.0278399999999989E-2</v>
      </c>
      <c r="E361" s="108"/>
      <c r="F361" s="108">
        <v>45000</v>
      </c>
      <c r="G361" s="1067">
        <f t="shared" si="22"/>
        <v>0</v>
      </c>
      <c r="H361" s="1067">
        <f t="shared" si="23"/>
        <v>2712.5279999999993</v>
      </c>
      <c r="I361" s="1067">
        <f t="shared" si="24"/>
        <v>2712.5279999999993</v>
      </c>
    </row>
    <row r="362" spans="1:11" hidden="1" outlineLevel="1" x14ac:dyDescent="0.3">
      <c r="A362" s="39" t="s">
        <v>229</v>
      </c>
      <c r="B362" s="63" t="s">
        <v>287</v>
      </c>
      <c r="C362" s="42" t="s">
        <v>34</v>
      </c>
      <c r="D362" s="1022">
        <f>(1.226+0.504+0.686)*1.05</f>
        <v>2.5367999999999999</v>
      </c>
      <c r="E362" s="108"/>
      <c r="F362" s="108">
        <v>4870</v>
      </c>
      <c r="G362" s="1067">
        <f t="shared" si="22"/>
        <v>0</v>
      </c>
      <c r="H362" s="1067">
        <f t="shared" si="23"/>
        <v>12354.216</v>
      </c>
      <c r="I362" s="1067">
        <f t="shared" si="24"/>
        <v>12354.216</v>
      </c>
    </row>
    <row r="363" spans="1:11" collapsed="1" x14ac:dyDescent="0.3">
      <c r="A363" s="17" t="s">
        <v>249</v>
      </c>
      <c r="B363" s="18" t="s">
        <v>7</v>
      </c>
      <c r="C363" s="19" t="s">
        <v>74</v>
      </c>
      <c r="D363" s="88">
        <f>D364+D369+D377+D380+D396+D400+D404+D407</f>
        <v>15766.922399999998</v>
      </c>
      <c r="E363" s="1065"/>
      <c r="F363" s="1065"/>
      <c r="G363" s="1066">
        <f>SUM(G364:G435)</f>
        <v>5790724.8999999994</v>
      </c>
      <c r="H363" s="1066">
        <f t="shared" ref="H363:I363" si="25">SUM(H364:H435)</f>
        <v>12945446.175827287</v>
      </c>
      <c r="I363" s="1066">
        <f t="shared" si="25"/>
        <v>18773071.075827278</v>
      </c>
    </row>
    <row r="364" spans="1:11" s="22" customFormat="1" hidden="1" outlineLevel="1" x14ac:dyDescent="0.3">
      <c r="A364" s="430" t="s">
        <v>250</v>
      </c>
      <c r="B364" s="63" t="s">
        <v>382</v>
      </c>
      <c r="C364" s="42" t="s">
        <v>74</v>
      </c>
      <c r="D364" s="431">
        <f>241.06+236.72*12+256.57*10</f>
        <v>5647.4</v>
      </c>
      <c r="E364" s="108">
        <v>350</v>
      </c>
      <c r="F364" s="108"/>
      <c r="G364" s="1067">
        <f t="shared" ref="G364:G427" si="26">D364*E364</f>
        <v>1976589.9999999998</v>
      </c>
      <c r="H364" s="1067">
        <f t="shared" ref="H364:H427" si="27">D364*F364</f>
        <v>0</v>
      </c>
      <c r="I364" s="1067">
        <f t="shared" ref="I364:I427" si="28">G364+H364</f>
        <v>1976589.9999999998</v>
      </c>
      <c r="J364" s="934"/>
    </row>
    <row r="365" spans="1:11" ht="28.8" hidden="1" outlineLevel="1" x14ac:dyDescent="0.3">
      <c r="A365" s="39" t="s">
        <v>252</v>
      </c>
      <c r="B365" s="63" t="s">
        <v>1196</v>
      </c>
      <c r="C365" s="48" t="s">
        <v>44</v>
      </c>
      <c r="D365" s="92">
        <f>D364*13</f>
        <v>73416.2</v>
      </c>
      <c r="E365" s="108"/>
      <c r="F365" s="108">
        <v>65</v>
      </c>
      <c r="G365" s="1067">
        <f t="shared" si="26"/>
        <v>0</v>
      </c>
      <c r="H365" s="1067">
        <f t="shared" si="27"/>
        <v>4772053</v>
      </c>
      <c r="I365" s="1067">
        <f t="shared" si="28"/>
        <v>4772053</v>
      </c>
      <c r="J365" s="934"/>
      <c r="K365" s="22"/>
    </row>
    <row r="366" spans="1:11" hidden="1" outlineLevel="1" x14ac:dyDescent="0.3">
      <c r="A366" s="39" t="s">
        <v>254</v>
      </c>
      <c r="B366" s="63" t="s">
        <v>383</v>
      </c>
      <c r="C366" s="48" t="s">
        <v>34</v>
      </c>
      <c r="D366" s="1022">
        <f>D364*0.025</f>
        <v>141.185</v>
      </c>
      <c r="E366" s="108"/>
      <c r="F366" s="108">
        <v>3900</v>
      </c>
      <c r="G366" s="1067">
        <f t="shared" si="26"/>
        <v>0</v>
      </c>
      <c r="H366" s="1067">
        <f t="shared" si="27"/>
        <v>550621.5</v>
      </c>
      <c r="I366" s="1067">
        <f t="shared" si="28"/>
        <v>550621.5</v>
      </c>
    </row>
    <row r="367" spans="1:11" hidden="1" outlineLevel="1" x14ac:dyDescent="0.3">
      <c r="A367" s="39" t="s">
        <v>256</v>
      </c>
      <c r="B367" s="63" t="s">
        <v>384</v>
      </c>
      <c r="C367" s="48" t="s">
        <v>44</v>
      </c>
      <c r="D367" s="1022">
        <f>D364/1.2</f>
        <v>4706.166666666667</v>
      </c>
      <c r="E367" s="108"/>
      <c r="F367" s="108">
        <v>5.74</v>
      </c>
      <c r="G367" s="1067">
        <f t="shared" si="26"/>
        <v>0</v>
      </c>
      <c r="H367" s="1067">
        <f t="shared" si="27"/>
        <v>27013.396666666671</v>
      </c>
      <c r="I367" s="1067">
        <f t="shared" si="28"/>
        <v>27013.396666666671</v>
      </c>
    </row>
    <row r="368" spans="1:11" hidden="1" outlineLevel="1" x14ac:dyDescent="0.3">
      <c r="A368" s="39" t="s">
        <v>258</v>
      </c>
      <c r="B368" s="63" t="s">
        <v>385</v>
      </c>
      <c r="C368" s="48" t="s">
        <v>62</v>
      </c>
      <c r="D368" s="1022">
        <v>3.7</v>
      </c>
      <c r="E368" s="108"/>
      <c r="F368" s="108">
        <v>38000</v>
      </c>
      <c r="G368" s="1067">
        <f t="shared" si="26"/>
        <v>0</v>
      </c>
      <c r="H368" s="1067">
        <f t="shared" si="27"/>
        <v>140600</v>
      </c>
      <c r="I368" s="1067">
        <f t="shared" si="28"/>
        <v>140600</v>
      </c>
    </row>
    <row r="369" spans="1:9" s="22" customFormat="1" ht="28.8" hidden="1" outlineLevel="1" x14ac:dyDescent="0.3">
      <c r="A369" s="430" t="s">
        <v>270</v>
      </c>
      <c r="B369" s="63" t="s">
        <v>386</v>
      </c>
      <c r="C369" s="42" t="s">
        <v>74</v>
      </c>
      <c r="D369" s="147">
        <f>27.48+198.72+50.86+50.86*12+50.86*10+39.05-1.31*23</f>
        <v>1404.8999999999999</v>
      </c>
      <c r="E369" s="108">
        <v>350</v>
      </c>
      <c r="F369" s="108"/>
      <c r="G369" s="1067">
        <f t="shared" si="26"/>
        <v>491714.99999999994</v>
      </c>
      <c r="H369" s="1067">
        <f t="shared" si="27"/>
        <v>0</v>
      </c>
      <c r="I369" s="1067">
        <f t="shared" si="28"/>
        <v>491714.99999999994</v>
      </c>
    </row>
    <row r="370" spans="1:9" s="22" customFormat="1" ht="28.8" hidden="1" outlineLevel="1" x14ac:dyDescent="0.3">
      <c r="A370" s="39" t="s">
        <v>272</v>
      </c>
      <c r="B370" s="436" t="s">
        <v>1197</v>
      </c>
      <c r="C370" s="437" t="s">
        <v>44</v>
      </c>
      <c r="D370" s="437">
        <f>ROUND(D369*13,0)</f>
        <v>18264</v>
      </c>
      <c r="E370" s="428"/>
      <c r="F370" s="1163">
        <v>35</v>
      </c>
      <c r="G370" s="1067">
        <f t="shared" si="26"/>
        <v>0</v>
      </c>
      <c r="H370" s="1067">
        <f t="shared" si="27"/>
        <v>639240</v>
      </c>
      <c r="I370" s="1067">
        <f t="shared" si="28"/>
        <v>639240</v>
      </c>
    </row>
    <row r="371" spans="1:9" s="22" customFormat="1" ht="28.8" hidden="1" outlineLevel="1" x14ac:dyDescent="0.3">
      <c r="A371" s="39" t="s">
        <v>273</v>
      </c>
      <c r="B371" s="436" t="s">
        <v>387</v>
      </c>
      <c r="C371" s="437" t="s">
        <v>34</v>
      </c>
      <c r="D371" s="437">
        <f>D369*0.09*0.3</f>
        <v>37.932299999999998</v>
      </c>
      <c r="E371" s="428"/>
      <c r="F371" s="1164">
        <f>3255+650</f>
        <v>3905</v>
      </c>
      <c r="G371" s="1067">
        <f t="shared" si="26"/>
        <v>0</v>
      </c>
      <c r="H371" s="1067">
        <f t="shared" si="27"/>
        <v>148125.63149999999</v>
      </c>
      <c r="I371" s="1067">
        <f t="shared" si="28"/>
        <v>148125.63149999999</v>
      </c>
    </row>
    <row r="372" spans="1:9" hidden="1" outlineLevel="1" x14ac:dyDescent="0.3">
      <c r="A372" s="430"/>
      <c r="B372" s="110" t="s">
        <v>1198</v>
      </c>
      <c r="C372" s="1021" t="s">
        <v>318</v>
      </c>
      <c r="D372" s="131">
        <f>D373+D374</f>
        <v>13121</v>
      </c>
      <c r="E372" s="151"/>
      <c r="F372" s="151"/>
      <c r="G372" s="1067">
        <f t="shared" si="26"/>
        <v>0</v>
      </c>
      <c r="H372" s="1067">
        <f t="shared" si="27"/>
        <v>0</v>
      </c>
      <c r="I372" s="1067">
        <f t="shared" si="28"/>
        <v>0</v>
      </c>
    </row>
    <row r="373" spans="1:9" hidden="1" outlineLevel="1" x14ac:dyDescent="0.3">
      <c r="A373" s="39" t="s">
        <v>275</v>
      </c>
      <c r="B373" s="110" t="s">
        <v>3649</v>
      </c>
      <c r="C373" s="1021" t="s">
        <v>318</v>
      </c>
      <c r="D373" s="131">
        <f>ROUND((4*2*2.2+33*2*2.86+57*2*2.82+56*2*2.82*22+11*2*1.88),0)</f>
        <v>7518</v>
      </c>
      <c r="E373" s="146"/>
      <c r="F373" s="146">
        <v>6</v>
      </c>
      <c r="G373" s="1159">
        <f t="shared" si="26"/>
        <v>0</v>
      </c>
      <c r="H373" s="1159">
        <f t="shared" si="27"/>
        <v>45108</v>
      </c>
      <c r="I373" s="1159">
        <f t="shared" si="28"/>
        <v>45108</v>
      </c>
    </row>
    <row r="374" spans="1:9" hidden="1" outlineLevel="1" x14ac:dyDescent="0.3">
      <c r="A374" s="39" t="s">
        <v>276</v>
      </c>
      <c r="B374" s="110" t="s">
        <v>3650</v>
      </c>
      <c r="C374" s="1021" t="s">
        <v>318</v>
      </c>
      <c r="D374" s="131">
        <f>ROUND((13.48+70.48+115.55+114.005*12+121.045*10+23.52)*2,0)</f>
        <v>5603</v>
      </c>
      <c r="E374" s="146"/>
      <c r="F374" s="146">
        <v>23.77</v>
      </c>
      <c r="G374" s="1159">
        <f t="shared" si="26"/>
        <v>0</v>
      </c>
      <c r="H374" s="1159">
        <f t="shared" si="27"/>
        <v>133183.31</v>
      </c>
      <c r="I374" s="1159">
        <f t="shared" si="28"/>
        <v>133183.31</v>
      </c>
    </row>
    <row r="375" spans="1:9" hidden="1" outlineLevel="1" x14ac:dyDescent="0.3">
      <c r="A375" s="39" t="s">
        <v>2480</v>
      </c>
      <c r="B375" s="436" t="s">
        <v>322</v>
      </c>
      <c r="C375" s="437" t="s">
        <v>44</v>
      </c>
      <c r="D375" s="437">
        <f>20*25</f>
        <v>500</v>
      </c>
      <c r="E375" s="428"/>
      <c r="F375" s="1161">
        <v>174</v>
      </c>
      <c r="G375" s="1159">
        <f t="shared" si="26"/>
        <v>0</v>
      </c>
      <c r="H375" s="1159">
        <f t="shared" si="27"/>
        <v>87000</v>
      </c>
      <c r="I375" s="1159">
        <f t="shared" si="28"/>
        <v>87000</v>
      </c>
    </row>
    <row r="376" spans="1:9" hidden="1" outlineLevel="1" x14ac:dyDescent="0.3">
      <c r="A376" s="39" t="s">
        <v>2481</v>
      </c>
      <c r="B376" s="63" t="s">
        <v>383</v>
      </c>
      <c r="C376" s="437" t="s">
        <v>34</v>
      </c>
      <c r="D376" s="437">
        <f>7518*0.03*0.02+5603*0.05*0.02</f>
        <v>10.113800000000001</v>
      </c>
      <c r="E376" s="428"/>
      <c r="F376" s="1161">
        <v>1365</v>
      </c>
      <c r="G376" s="1159">
        <f t="shared" si="26"/>
        <v>0</v>
      </c>
      <c r="H376" s="1159">
        <f t="shared" si="27"/>
        <v>13805.337000000001</v>
      </c>
      <c r="I376" s="1159">
        <f t="shared" si="28"/>
        <v>13805.337000000001</v>
      </c>
    </row>
    <row r="377" spans="1:9" s="22" customFormat="1" hidden="1" outlineLevel="1" x14ac:dyDescent="0.3">
      <c r="A377" s="39" t="s">
        <v>388</v>
      </c>
      <c r="B377" s="41" t="s">
        <v>389</v>
      </c>
      <c r="C377" s="42" t="s">
        <v>74</v>
      </c>
      <c r="D377" s="1022">
        <f>4.5188+10.01*23+4.9538</f>
        <v>239.70259999999999</v>
      </c>
      <c r="E377" s="108">
        <v>450</v>
      </c>
      <c r="F377" s="108"/>
      <c r="G377" s="1067">
        <f t="shared" si="26"/>
        <v>107866.17</v>
      </c>
      <c r="H377" s="1067">
        <f t="shared" si="27"/>
        <v>0</v>
      </c>
      <c r="I377" s="1067">
        <f t="shared" si="28"/>
        <v>107866.17</v>
      </c>
    </row>
    <row r="378" spans="1:9" hidden="1" outlineLevel="1" x14ac:dyDescent="0.3">
      <c r="A378" s="39" t="s">
        <v>390</v>
      </c>
      <c r="B378" s="63" t="s">
        <v>391</v>
      </c>
      <c r="C378" s="42" t="s">
        <v>44</v>
      </c>
      <c r="D378" s="1022">
        <f>ROUND(153*D377,0)</f>
        <v>36674</v>
      </c>
      <c r="E378" s="108"/>
      <c r="F378" s="108">
        <v>10.3</v>
      </c>
      <c r="G378" s="1067">
        <f t="shared" si="26"/>
        <v>0</v>
      </c>
      <c r="H378" s="1067">
        <f t="shared" si="27"/>
        <v>377742.2</v>
      </c>
      <c r="I378" s="1067">
        <f t="shared" si="28"/>
        <v>377742.2</v>
      </c>
    </row>
    <row r="379" spans="1:9" hidden="1" outlineLevel="1" x14ac:dyDescent="0.3">
      <c r="A379" s="39" t="s">
        <v>392</v>
      </c>
      <c r="B379" s="63" t="s">
        <v>327</v>
      </c>
      <c r="C379" s="42" t="s">
        <v>34</v>
      </c>
      <c r="D379" s="1022">
        <f>ROUND(0.241*D377,2)</f>
        <v>57.77</v>
      </c>
      <c r="E379" s="108"/>
      <c r="F379" s="108">
        <v>3900</v>
      </c>
      <c r="G379" s="1067">
        <f t="shared" si="26"/>
        <v>0</v>
      </c>
      <c r="H379" s="1067">
        <f t="shared" si="27"/>
        <v>225303</v>
      </c>
      <c r="I379" s="1067">
        <f t="shared" si="28"/>
        <v>225303</v>
      </c>
    </row>
    <row r="380" spans="1:9" s="22" customFormat="1" ht="28.8" hidden="1" outlineLevel="1" x14ac:dyDescent="0.3">
      <c r="A380" s="39" t="s">
        <v>388</v>
      </c>
      <c r="B380" s="41" t="s">
        <v>393</v>
      </c>
      <c r="C380" s="42" t="s">
        <v>74</v>
      </c>
      <c r="D380" s="1022">
        <f>4.68+2.9422</f>
        <v>7.6221999999999994</v>
      </c>
      <c r="E380" s="108">
        <v>450</v>
      </c>
      <c r="F380" s="108"/>
      <c r="G380" s="1067">
        <f t="shared" si="26"/>
        <v>3429.99</v>
      </c>
      <c r="H380" s="1067">
        <f t="shared" si="27"/>
        <v>0</v>
      </c>
      <c r="I380" s="1067">
        <f t="shared" si="28"/>
        <v>3429.99</v>
      </c>
    </row>
    <row r="381" spans="1:9" hidden="1" outlineLevel="1" x14ac:dyDescent="0.3">
      <c r="A381" s="39" t="s">
        <v>390</v>
      </c>
      <c r="B381" s="63" t="s">
        <v>364</v>
      </c>
      <c r="C381" s="42" t="s">
        <v>44</v>
      </c>
      <c r="D381" s="1022">
        <f>ROUND(153*D380,0)</f>
        <v>1166</v>
      </c>
      <c r="E381" s="108"/>
      <c r="F381" s="108">
        <v>15.6</v>
      </c>
      <c r="G381" s="1067">
        <f t="shared" si="26"/>
        <v>0</v>
      </c>
      <c r="H381" s="1067">
        <f t="shared" si="27"/>
        <v>18189.599999999999</v>
      </c>
      <c r="I381" s="1067">
        <f t="shared" si="28"/>
        <v>18189.599999999999</v>
      </c>
    </row>
    <row r="382" spans="1:9" hidden="1" outlineLevel="1" x14ac:dyDescent="0.3">
      <c r="A382" s="39" t="s">
        <v>392</v>
      </c>
      <c r="B382" s="63" t="s">
        <v>327</v>
      </c>
      <c r="C382" s="42" t="s">
        <v>34</v>
      </c>
      <c r="D382" s="1022">
        <f>ROUND(0.241*D380,2)</f>
        <v>1.84</v>
      </c>
      <c r="E382" s="108"/>
      <c r="F382" s="108">
        <v>3900</v>
      </c>
      <c r="G382" s="1067">
        <f t="shared" si="26"/>
        <v>0</v>
      </c>
      <c r="H382" s="1067">
        <f t="shared" si="27"/>
        <v>7176</v>
      </c>
      <c r="I382" s="1067">
        <f t="shared" si="28"/>
        <v>7176</v>
      </c>
    </row>
    <row r="383" spans="1:9" s="22" customFormat="1" hidden="1" outlineLevel="1" x14ac:dyDescent="0.3">
      <c r="A383" s="39" t="s">
        <v>394</v>
      </c>
      <c r="B383" s="143" t="s">
        <v>395</v>
      </c>
      <c r="C383" s="1021" t="s">
        <v>44</v>
      </c>
      <c r="D383" s="131">
        <f>159+117+24+46+46+2</f>
        <v>394</v>
      </c>
      <c r="E383" s="133">
        <v>160</v>
      </c>
      <c r="F383" s="133"/>
      <c r="G383" s="1067">
        <f t="shared" si="26"/>
        <v>63040</v>
      </c>
      <c r="H383" s="1067">
        <f t="shared" si="27"/>
        <v>0</v>
      </c>
      <c r="I383" s="1067">
        <f t="shared" si="28"/>
        <v>63040</v>
      </c>
    </row>
    <row r="384" spans="1:9" hidden="1" outlineLevel="1" x14ac:dyDescent="0.3">
      <c r="A384" s="39" t="s">
        <v>396</v>
      </c>
      <c r="B384" s="143" t="s">
        <v>397</v>
      </c>
      <c r="C384" s="1021" t="s">
        <v>62</v>
      </c>
      <c r="D384" s="144">
        <f>(1*0.96*117+1*0.96*46+1*0.96*2)*1.05/1000</f>
        <v>0.16632</v>
      </c>
      <c r="E384" s="151"/>
      <c r="F384" s="151">
        <v>48280.01</v>
      </c>
      <c r="G384" s="1067">
        <f t="shared" si="26"/>
        <v>0</v>
      </c>
      <c r="H384" s="1067">
        <f t="shared" si="27"/>
        <v>8029.9312632000001</v>
      </c>
      <c r="I384" s="1067">
        <f t="shared" si="28"/>
        <v>8029.9312632000001</v>
      </c>
    </row>
    <row r="385" spans="1:9" hidden="1" outlineLevel="1" x14ac:dyDescent="0.3">
      <c r="A385" s="39" t="s">
        <v>398</v>
      </c>
      <c r="B385" s="110" t="s">
        <v>290</v>
      </c>
      <c r="C385" s="1021" t="s">
        <v>62</v>
      </c>
      <c r="D385" s="144">
        <f>(2*8.12*159+2*6.96*117+2*10.15*24+2*10.44*46+2*4.64*46+2*5.22*2)*1.05/1000</f>
        <v>6.4115519999999995</v>
      </c>
      <c r="E385" s="151"/>
      <c r="F385" s="151">
        <v>48280.01</v>
      </c>
      <c r="G385" s="1067">
        <f t="shared" si="26"/>
        <v>0</v>
      </c>
      <c r="H385" s="1067">
        <f t="shared" si="27"/>
        <v>309549.79467551998</v>
      </c>
      <c r="I385" s="1067">
        <f t="shared" si="28"/>
        <v>309549.79467551998</v>
      </c>
    </row>
    <row r="386" spans="1:9" hidden="1" outlineLevel="1" x14ac:dyDescent="0.3">
      <c r="A386" s="39" t="s">
        <v>399</v>
      </c>
      <c r="B386" s="110" t="s">
        <v>400</v>
      </c>
      <c r="C386" s="1021" t="s">
        <v>62</v>
      </c>
      <c r="D386" s="144">
        <f>(3*0.29*159+3*0.29*117+3*0.29*24+4*0.29*46+2*0.29*46+2*0.29*2)*1.05/1000</f>
        <v>0.35931000000000007</v>
      </c>
      <c r="E386" s="151"/>
      <c r="F386" s="151">
        <v>54600</v>
      </c>
      <c r="G386" s="1067">
        <f t="shared" si="26"/>
        <v>0</v>
      </c>
      <c r="H386" s="1067">
        <f t="shared" si="27"/>
        <v>19618.326000000005</v>
      </c>
      <c r="I386" s="1067">
        <f t="shared" si="28"/>
        <v>19618.326000000005</v>
      </c>
    </row>
    <row r="387" spans="1:9" hidden="1" outlineLevel="1" x14ac:dyDescent="0.3">
      <c r="A387" s="39" t="s">
        <v>401</v>
      </c>
      <c r="B387" s="110" t="s">
        <v>314</v>
      </c>
      <c r="C387" s="1021" t="s">
        <v>44</v>
      </c>
      <c r="D387" s="131">
        <f>2*117+2*46+2*2</f>
        <v>330</v>
      </c>
      <c r="E387" s="151"/>
      <c r="F387" s="151">
        <v>4.96</v>
      </c>
      <c r="G387" s="1067">
        <f t="shared" si="26"/>
        <v>0</v>
      </c>
      <c r="H387" s="1067">
        <f t="shared" si="27"/>
        <v>1636.8</v>
      </c>
      <c r="I387" s="1067">
        <f t="shared" si="28"/>
        <v>1636.8</v>
      </c>
    </row>
    <row r="388" spans="1:9" hidden="1" outlineLevel="1" x14ac:dyDescent="0.3">
      <c r="A388" s="39" t="s">
        <v>402</v>
      </c>
      <c r="B388" s="110" t="s">
        <v>315</v>
      </c>
      <c r="C388" s="1021" t="s">
        <v>79</v>
      </c>
      <c r="D388" s="131">
        <f>(D384+D385+D386)*2*2.42</f>
        <v>33.575960879999997</v>
      </c>
      <c r="E388" s="151"/>
      <c r="F388" s="108">
        <v>65</v>
      </c>
      <c r="G388" s="1067">
        <f t="shared" si="26"/>
        <v>0</v>
      </c>
      <c r="H388" s="1067">
        <f t="shared" si="27"/>
        <v>2182.4374571999997</v>
      </c>
      <c r="I388" s="1067">
        <f t="shared" si="28"/>
        <v>2182.4374571999997</v>
      </c>
    </row>
    <row r="389" spans="1:9" hidden="1" outlineLevel="1" x14ac:dyDescent="0.3">
      <c r="A389" s="39" t="s">
        <v>403</v>
      </c>
      <c r="B389" s="110" t="s">
        <v>316</v>
      </c>
      <c r="C389" s="1021" t="s">
        <v>79</v>
      </c>
      <c r="D389" s="131">
        <f>(D384+D385+D386)*2*2.13</f>
        <v>29.552395319999995</v>
      </c>
      <c r="E389" s="151"/>
      <c r="F389" s="108">
        <v>88.45</v>
      </c>
      <c r="G389" s="1067">
        <f t="shared" si="26"/>
        <v>0</v>
      </c>
      <c r="H389" s="1067">
        <f t="shared" si="27"/>
        <v>2613.9093660539997</v>
      </c>
      <c r="I389" s="1067">
        <f t="shared" si="28"/>
        <v>2613.9093660539997</v>
      </c>
    </row>
    <row r="390" spans="1:9" s="22" customFormat="1" hidden="1" outlineLevel="1" x14ac:dyDescent="0.3">
      <c r="A390" s="39" t="s">
        <v>404</v>
      </c>
      <c r="B390" s="143" t="s">
        <v>405</v>
      </c>
      <c r="C390" s="123" t="s">
        <v>44</v>
      </c>
      <c r="D390" s="124">
        <f>310+92+71+46+24+207+46+162+138</f>
        <v>1096</v>
      </c>
      <c r="E390" s="151">
        <v>30</v>
      </c>
      <c r="F390" s="151"/>
      <c r="G390" s="1067">
        <f t="shared" si="26"/>
        <v>32880</v>
      </c>
      <c r="H390" s="1067">
        <f t="shared" si="27"/>
        <v>0</v>
      </c>
      <c r="I390" s="1067">
        <f t="shared" si="28"/>
        <v>32880</v>
      </c>
    </row>
    <row r="391" spans="1:9" hidden="1" outlineLevel="1" x14ac:dyDescent="0.3">
      <c r="A391" s="39" t="s">
        <v>406</v>
      </c>
      <c r="B391" s="152" t="s">
        <v>407</v>
      </c>
      <c r="C391" s="123" t="s">
        <v>34</v>
      </c>
      <c r="D391" s="144">
        <f>(0.08*0.08*1.1*310+0.08*0.08*1.2*92+0.08*0.08*1*71+0.08*0.08*1.35*46+0.08*0.08*1.3*24+0.08*0.08*6.62*207+0.08*0.08*6.52*46+0.08*0.08*6.62*162+0.08*0.08*0.9*138)*1.06</f>
        <v>23.625958400000002</v>
      </c>
      <c r="E391" s="151"/>
      <c r="F391" s="151">
        <v>10400</v>
      </c>
      <c r="G391" s="1067">
        <f t="shared" si="26"/>
        <v>0</v>
      </c>
      <c r="H391" s="1067">
        <f t="shared" si="27"/>
        <v>245709.96736000001</v>
      </c>
      <c r="I391" s="1067">
        <f t="shared" si="28"/>
        <v>245709.96736000001</v>
      </c>
    </row>
    <row r="392" spans="1:9" hidden="1" outlineLevel="1" x14ac:dyDescent="0.3">
      <c r="A392" s="39" t="s">
        <v>408</v>
      </c>
      <c r="B392" s="152" t="s">
        <v>397</v>
      </c>
      <c r="C392" s="123" t="s">
        <v>62</v>
      </c>
      <c r="D392" s="144">
        <f>(46+162+138)*0.38/1000</f>
        <v>0.13147999999999999</v>
      </c>
      <c r="E392" s="151"/>
      <c r="F392" s="151">
        <v>48280.01</v>
      </c>
      <c r="G392" s="1067">
        <f t="shared" si="26"/>
        <v>0</v>
      </c>
      <c r="H392" s="1067">
        <f t="shared" si="27"/>
        <v>6347.8557148</v>
      </c>
      <c r="I392" s="1067">
        <f t="shared" si="28"/>
        <v>6347.8557148</v>
      </c>
    </row>
    <row r="393" spans="1:9" hidden="1" outlineLevel="1" x14ac:dyDescent="0.3">
      <c r="A393" s="39" t="s">
        <v>409</v>
      </c>
      <c r="B393" s="110" t="s">
        <v>410</v>
      </c>
      <c r="C393" s="1021" t="s">
        <v>44</v>
      </c>
      <c r="D393" s="131">
        <f>(46+162+138)*2</f>
        <v>692</v>
      </c>
      <c r="E393" s="151"/>
      <c r="F393" s="151">
        <v>4.96</v>
      </c>
      <c r="G393" s="1067">
        <f t="shared" si="26"/>
        <v>0</v>
      </c>
      <c r="H393" s="1067">
        <f t="shared" si="27"/>
        <v>3432.32</v>
      </c>
      <c r="I393" s="1067">
        <f t="shared" si="28"/>
        <v>3432.32</v>
      </c>
    </row>
    <row r="394" spans="1:9" hidden="1" outlineLevel="1" x14ac:dyDescent="0.3">
      <c r="A394" s="39" t="s">
        <v>411</v>
      </c>
      <c r="B394" s="152" t="s">
        <v>412</v>
      </c>
      <c r="C394" s="123" t="s">
        <v>44</v>
      </c>
      <c r="D394" s="144">
        <v>19</v>
      </c>
      <c r="E394" s="151"/>
      <c r="F394" s="151">
        <v>477</v>
      </c>
      <c r="G394" s="1067">
        <f t="shared" si="26"/>
        <v>0</v>
      </c>
      <c r="H394" s="1067">
        <f t="shared" si="27"/>
        <v>9063</v>
      </c>
      <c r="I394" s="1067">
        <f t="shared" si="28"/>
        <v>9063</v>
      </c>
    </row>
    <row r="395" spans="1:9" hidden="1" outlineLevel="1" x14ac:dyDescent="0.3">
      <c r="A395" s="39" t="s">
        <v>413</v>
      </c>
      <c r="B395" s="152" t="s">
        <v>414</v>
      </c>
      <c r="C395" s="123" t="s">
        <v>44</v>
      </c>
      <c r="D395" s="144">
        <v>19</v>
      </c>
      <c r="E395" s="151"/>
      <c r="F395" s="151">
        <v>47</v>
      </c>
      <c r="G395" s="1067">
        <f t="shared" si="26"/>
        <v>0</v>
      </c>
      <c r="H395" s="1067">
        <f t="shared" si="27"/>
        <v>893</v>
      </c>
      <c r="I395" s="1067">
        <f t="shared" si="28"/>
        <v>893</v>
      </c>
    </row>
    <row r="396" spans="1:9" s="22" customFormat="1" ht="28.8" hidden="1" outlineLevel="1" x14ac:dyDescent="0.3">
      <c r="A396" s="430" t="s">
        <v>415</v>
      </c>
      <c r="B396" s="152" t="s">
        <v>1199</v>
      </c>
      <c r="C396" s="123" t="s">
        <v>74</v>
      </c>
      <c r="D396" s="144">
        <f>5450.33</f>
        <v>5450.33</v>
      </c>
      <c r="E396" s="151">
        <v>350</v>
      </c>
      <c r="F396" s="151"/>
      <c r="G396" s="1067">
        <f t="shared" si="26"/>
        <v>1907615.5</v>
      </c>
      <c r="H396" s="1067">
        <f t="shared" si="27"/>
        <v>0</v>
      </c>
      <c r="I396" s="1067">
        <f t="shared" si="28"/>
        <v>1907615.5</v>
      </c>
    </row>
    <row r="397" spans="1:9" ht="28.8" hidden="1" outlineLevel="1" x14ac:dyDescent="0.3">
      <c r="A397" s="39" t="s">
        <v>416</v>
      </c>
      <c r="B397" s="63" t="s">
        <v>1200</v>
      </c>
      <c r="C397" s="48" t="s">
        <v>44</v>
      </c>
      <c r="D397" s="92">
        <f>D396*13</f>
        <v>70854.289999999994</v>
      </c>
      <c r="E397" s="108"/>
      <c r="F397" s="108">
        <v>37</v>
      </c>
      <c r="G397" s="1067">
        <f t="shared" si="26"/>
        <v>0</v>
      </c>
      <c r="H397" s="1067">
        <f t="shared" si="27"/>
        <v>2621608.73</v>
      </c>
      <c r="I397" s="1067">
        <f t="shared" si="28"/>
        <v>2621608.73</v>
      </c>
    </row>
    <row r="398" spans="1:9" hidden="1" outlineLevel="1" x14ac:dyDescent="0.3">
      <c r="A398" s="39" t="s">
        <v>417</v>
      </c>
      <c r="B398" s="63" t="s">
        <v>383</v>
      </c>
      <c r="C398" s="48" t="s">
        <v>34</v>
      </c>
      <c r="D398" s="1022">
        <f>D396*0.025</f>
        <v>136.25825</v>
      </c>
      <c r="E398" s="108"/>
      <c r="F398" s="108">
        <v>3900</v>
      </c>
      <c r="G398" s="1067">
        <f t="shared" si="26"/>
        <v>0</v>
      </c>
      <c r="H398" s="1067">
        <f t="shared" si="27"/>
        <v>531407.17500000005</v>
      </c>
      <c r="I398" s="1067">
        <f t="shared" si="28"/>
        <v>531407.17500000005</v>
      </c>
    </row>
    <row r="399" spans="1:9" hidden="1" outlineLevel="1" x14ac:dyDescent="0.3">
      <c r="A399" s="39" t="s">
        <v>418</v>
      </c>
      <c r="B399" s="63" t="s">
        <v>384</v>
      </c>
      <c r="C399" s="48" t="s">
        <v>44</v>
      </c>
      <c r="D399" s="1022">
        <f>D396/1.2</f>
        <v>4541.9416666666666</v>
      </c>
      <c r="E399" s="108"/>
      <c r="F399" s="435">
        <v>5.74</v>
      </c>
      <c r="G399" s="1165">
        <f t="shared" si="26"/>
        <v>0</v>
      </c>
      <c r="H399" s="1165">
        <f t="shared" si="27"/>
        <v>26070.745166666668</v>
      </c>
      <c r="I399" s="1165">
        <f t="shared" si="28"/>
        <v>26070.745166666668</v>
      </c>
    </row>
    <row r="400" spans="1:9" customFormat="1" hidden="1" outlineLevel="1" x14ac:dyDescent="0.3">
      <c r="A400" s="905" t="s">
        <v>1095</v>
      </c>
      <c r="B400" s="610" t="s">
        <v>1790</v>
      </c>
      <c r="C400" s="611" t="s">
        <v>74</v>
      </c>
      <c r="D400" s="304">
        <v>2476.9039999999995</v>
      </c>
      <c r="E400" s="613">
        <v>350</v>
      </c>
      <c r="F400" s="613"/>
      <c r="G400" s="1166">
        <f t="shared" si="26"/>
        <v>866916.39999999979</v>
      </c>
      <c r="H400" s="1166">
        <f t="shared" si="27"/>
        <v>0</v>
      </c>
      <c r="I400" s="1166">
        <f t="shared" si="28"/>
        <v>866916.39999999979</v>
      </c>
    </row>
    <row r="401" spans="1:9" customFormat="1" ht="43.2" hidden="1" outlineLevel="1" x14ac:dyDescent="0.3">
      <c r="A401" s="905" t="s">
        <v>2482</v>
      </c>
      <c r="B401" s="951" t="s">
        <v>1791</v>
      </c>
      <c r="C401" s="997" t="s">
        <v>44</v>
      </c>
      <c r="D401" s="1167">
        <f>D400*13</f>
        <v>32199.751999999993</v>
      </c>
      <c r="E401" s="948"/>
      <c r="F401" s="948">
        <v>37</v>
      </c>
      <c r="G401" s="1166">
        <f t="shared" si="26"/>
        <v>0</v>
      </c>
      <c r="H401" s="1166">
        <f t="shared" si="27"/>
        <v>1191390.8239999998</v>
      </c>
      <c r="I401" s="1166">
        <f t="shared" si="28"/>
        <v>1191390.8239999998</v>
      </c>
    </row>
    <row r="402" spans="1:9" customFormat="1" hidden="1" outlineLevel="1" x14ac:dyDescent="0.3">
      <c r="A402" s="905" t="s">
        <v>2483</v>
      </c>
      <c r="B402" s="951" t="s">
        <v>383</v>
      </c>
      <c r="C402" s="997" t="s">
        <v>34</v>
      </c>
      <c r="D402" s="1028">
        <f>D400*0.025</f>
        <v>61.922599999999989</v>
      </c>
      <c r="E402" s="948"/>
      <c r="F402" s="948">
        <v>3900</v>
      </c>
      <c r="G402" s="1166">
        <f t="shared" si="26"/>
        <v>0</v>
      </c>
      <c r="H402" s="1166">
        <f t="shared" si="27"/>
        <v>241498.13999999996</v>
      </c>
      <c r="I402" s="1166">
        <f t="shared" si="28"/>
        <v>241498.13999999996</v>
      </c>
    </row>
    <row r="403" spans="1:9" customFormat="1" hidden="1" outlineLevel="1" x14ac:dyDescent="0.3">
      <c r="A403" s="905" t="s">
        <v>2484</v>
      </c>
      <c r="B403" s="951" t="s">
        <v>384</v>
      </c>
      <c r="C403" s="997" t="s">
        <v>44</v>
      </c>
      <c r="D403" s="1028">
        <f>D400/1.2</f>
        <v>2064.0866666666666</v>
      </c>
      <c r="E403" s="948"/>
      <c r="F403" s="1168">
        <v>5.74</v>
      </c>
      <c r="G403" s="1166">
        <f t="shared" si="26"/>
        <v>0</v>
      </c>
      <c r="H403" s="1166">
        <f t="shared" si="27"/>
        <v>11847.857466666666</v>
      </c>
      <c r="I403" s="1166">
        <f t="shared" si="28"/>
        <v>11847.857466666666</v>
      </c>
    </row>
    <row r="404" spans="1:9" ht="28.8" hidden="1" outlineLevel="1" x14ac:dyDescent="0.3">
      <c r="A404" s="430" t="s">
        <v>1096</v>
      </c>
      <c r="B404" s="63" t="s">
        <v>1201</v>
      </c>
      <c r="C404" s="48" t="s">
        <v>74</v>
      </c>
      <c r="D404" s="1022">
        <f>((5.27+1.88+1.835)*2.86-0.55*1.3*2-0.4*0.45-0.3*0.6)+((5.675+2.8+0.34)*2.82*23-0.95*1.01*2*23-0.6*0.5*23-0.55*1.3*23)</f>
        <v>528.16599999999994</v>
      </c>
      <c r="E404" s="108">
        <v>350</v>
      </c>
      <c r="F404" s="435"/>
      <c r="G404" s="1165">
        <f t="shared" si="26"/>
        <v>184858.09999999998</v>
      </c>
      <c r="H404" s="1165">
        <f t="shared" si="27"/>
        <v>0</v>
      </c>
      <c r="I404" s="1165">
        <f t="shared" si="28"/>
        <v>184858.09999999998</v>
      </c>
    </row>
    <row r="405" spans="1:9" ht="28.8" hidden="1" outlineLevel="1" x14ac:dyDescent="0.3">
      <c r="A405" s="39" t="s">
        <v>2485</v>
      </c>
      <c r="B405" s="436" t="s">
        <v>1200</v>
      </c>
      <c r="C405" s="437" t="s">
        <v>44</v>
      </c>
      <c r="D405" s="437">
        <f>ROUND(D404*13,0)</f>
        <v>6866</v>
      </c>
      <c r="E405" s="108"/>
      <c r="F405" s="435">
        <v>37</v>
      </c>
      <c r="G405" s="1165">
        <f t="shared" si="26"/>
        <v>0</v>
      </c>
      <c r="H405" s="1165">
        <f t="shared" si="27"/>
        <v>254042</v>
      </c>
      <c r="I405" s="1165">
        <f t="shared" si="28"/>
        <v>254042</v>
      </c>
    </row>
    <row r="406" spans="1:9" ht="28.8" hidden="1" outlineLevel="1" x14ac:dyDescent="0.3">
      <c r="A406" s="39" t="s">
        <v>2486</v>
      </c>
      <c r="B406" s="436" t="s">
        <v>387</v>
      </c>
      <c r="C406" s="437" t="s">
        <v>34</v>
      </c>
      <c r="D406" s="437">
        <f>D404*0.09*0.3</f>
        <v>14.260481999999998</v>
      </c>
      <c r="E406" s="108"/>
      <c r="F406" s="435">
        <v>3905</v>
      </c>
      <c r="G406" s="1165">
        <f t="shared" si="26"/>
        <v>0</v>
      </c>
      <c r="H406" s="1165">
        <f t="shared" si="27"/>
        <v>55687.182209999992</v>
      </c>
      <c r="I406" s="1165">
        <f t="shared" si="28"/>
        <v>55687.182209999992</v>
      </c>
    </row>
    <row r="407" spans="1:9" s="22" customFormat="1" ht="28.8" hidden="1" outlineLevel="1" x14ac:dyDescent="0.3">
      <c r="A407" s="430" t="s">
        <v>1098</v>
      </c>
      <c r="B407" s="436" t="s">
        <v>1202</v>
      </c>
      <c r="C407" s="437" t="s">
        <v>74</v>
      </c>
      <c r="D407" s="437">
        <f>(0.75*4+0.29*4)*2.86</f>
        <v>11.897600000000001</v>
      </c>
      <c r="E407" s="108">
        <v>400</v>
      </c>
      <c r="F407" s="435"/>
      <c r="G407" s="1165">
        <f t="shared" si="26"/>
        <v>4759.04</v>
      </c>
      <c r="H407" s="1165">
        <f t="shared" si="27"/>
        <v>0</v>
      </c>
      <c r="I407" s="1165">
        <f t="shared" si="28"/>
        <v>4759.04</v>
      </c>
    </row>
    <row r="408" spans="1:9" hidden="1" outlineLevel="1" x14ac:dyDescent="0.3">
      <c r="A408" s="39" t="s">
        <v>2487</v>
      </c>
      <c r="B408" s="175" t="s">
        <v>1203</v>
      </c>
      <c r="C408" s="176" t="s">
        <v>74</v>
      </c>
      <c r="D408" s="42">
        <f>D407*1.04</f>
        <v>12.373504000000001</v>
      </c>
      <c r="E408" s="442"/>
      <c r="F408" s="1169">
        <v>110</v>
      </c>
      <c r="G408" s="1170"/>
      <c r="H408" s="1170">
        <f>F408*D408</f>
        <v>1361.0854400000001</v>
      </c>
      <c r="I408" s="1170">
        <f t="shared" si="28"/>
        <v>1361.0854400000001</v>
      </c>
    </row>
    <row r="409" spans="1:9" hidden="1" outlineLevel="1" x14ac:dyDescent="0.3">
      <c r="A409" s="39" t="s">
        <v>2489</v>
      </c>
      <c r="B409" s="1171" t="s">
        <v>1204</v>
      </c>
      <c r="C409" s="1172" t="s">
        <v>43</v>
      </c>
      <c r="D409" s="1173">
        <f>D407*0.7</f>
        <v>8.3283199999999997</v>
      </c>
      <c r="E409" s="442"/>
      <c r="F409" s="442">
        <v>18</v>
      </c>
      <c r="G409" s="1170"/>
      <c r="H409" s="1170">
        <f>F409*D409</f>
        <v>149.90976000000001</v>
      </c>
      <c r="I409" s="1170">
        <f t="shared" si="28"/>
        <v>149.90976000000001</v>
      </c>
    </row>
    <row r="410" spans="1:9" hidden="1" outlineLevel="1" x14ac:dyDescent="0.3">
      <c r="A410" s="39" t="s">
        <v>2488</v>
      </c>
      <c r="B410" s="1135" t="s">
        <v>1205</v>
      </c>
      <c r="C410" s="1172" t="s">
        <v>43</v>
      </c>
      <c r="D410" s="1173">
        <f>D407*2</f>
        <v>23.795200000000001</v>
      </c>
      <c r="E410" s="442"/>
      <c r="F410" s="442">
        <v>30</v>
      </c>
      <c r="G410" s="1170"/>
      <c r="H410" s="1170">
        <f>F410*D410</f>
        <v>713.85599999999999</v>
      </c>
      <c r="I410" s="1170">
        <f t="shared" si="28"/>
        <v>713.85599999999999</v>
      </c>
    </row>
    <row r="411" spans="1:9" hidden="1" outlineLevel="1" x14ac:dyDescent="0.3">
      <c r="A411" s="39" t="s">
        <v>2490</v>
      </c>
      <c r="B411" s="1171" t="s">
        <v>1206</v>
      </c>
      <c r="C411" s="1172" t="s">
        <v>44</v>
      </c>
      <c r="D411" s="1173">
        <f>D407*44</f>
        <v>523.49440000000004</v>
      </c>
      <c r="E411" s="442"/>
      <c r="F411" s="442">
        <v>7</v>
      </c>
      <c r="G411" s="1170"/>
      <c r="H411" s="1170">
        <f>F411*D411</f>
        <v>3664.4608000000003</v>
      </c>
      <c r="I411" s="1170">
        <f t="shared" si="28"/>
        <v>3664.4608000000003</v>
      </c>
    </row>
    <row r="412" spans="1:9" s="22" customFormat="1" hidden="1" outlineLevel="1" x14ac:dyDescent="0.3">
      <c r="A412" s="1019" t="s">
        <v>2491</v>
      </c>
      <c r="B412" s="110" t="s">
        <v>1207</v>
      </c>
      <c r="C412" s="1021" t="s">
        <v>44</v>
      </c>
      <c r="D412" s="1022">
        <v>2</v>
      </c>
      <c r="E412" s="108">
        <v>25000</v>
      </c>
      <c r="F412" s="108"/>
      <c r="G412" s="1067">
        <f t="shared" si="26"/>
        <v>50000</v>
      </c>
      <c r="H412" s="1067">
        <f t="shared" si="27"/>
        <v>0</v>
      </c>
      <c r="I412" s="1067">
        <f t="shared" si="28"/>
        <v>50000</v>
      </c>
    </row>
    <row r="413" spans="1:9" hidden="1" outlineLevel="1" x14ac:dyDescent="0.3">
      <c r="A413" s="1019" t="s">
        <v>2492</v>
      </c>
      <c r="B413" s="110" t="s">
        <v>289</v>
      </c>
      <c r="C413" s="1021" t="s">
        <v>62</v>
      </c>
      <c r="D413" s="1022">
        <f>SUM(D414:D415)</f>
        <v>0.53171040000000003</v>
      </c>
      <c r="E413" s="108"/>
      <c r="F413" s="108"/>
      <c r="G413" s="1067">
        <f t="shared" si="26"/>
        <v>0</v>
      </c>
      <c r="H413" s="1067">
        <f t="shared" si="27"/>
        <v>0</v>
      </c>
      <c r="I413" s="1067">
        <f t="shared" si="28"/>
        <v>0</v>
      </c>
    </row>
    <row r="414" spans="1:9" hidden="1" outlineLevel="1" x14ac:dyDescent="0.3">
      <c r="A414" s="1019"/>
      <c r="B414" s="110" t="s">
        <v>714</v>
      </c>
      <c r="C414" s="1021" t="s">
        <v>62</v>
      </c>
      <c r="D414" s="1022">
        <f>(1*153.13+4*12.01)*2/1000*1.04</f>
        <v>0.41843359999999996</v>
      </c>
      <c r="E414" s="108"/>
      <c r="F414" s="108">
        <v>54600</v>
      </c>
      <c r="G414" s="1067">
        <f t="shared" si="26"/>
        <v>0</v>
      </c>
      <c r="H414" s="1067">
        <f t="shared" si="27"/>
        <v>22846.474559999999</v>
      </c>
      <c r="I414" s="1067">
        <f t="shared" si="28"/>
        <v>22846.474559999999</v>
      </c>
    </row>
    <row r="415" spans="1:9" hidden="1" outlineLevel="1" x14ac:dyDescent="0.3">
      <c r="A415" s="1019"/>
      <c r="B415" s="110" t="s">
        <v>352</v>
      </c>
      <c r="C415" s="1021" t="s">
        <v>62</v>
      </c>
      <c r="D415" s="1022">
        <f>(2*8.97+4*9.13)*2/1000*1.04</f>
        <v>0.11327680000000002</v>
      </c>
      <c r="E415" s="108"/>
      <c r="F415" s="108">
        <v>46800</v>
      </c>
      <c r="G415" s="1067">
        <f t="shared" si="26"/>
        <v>0</v>
      </c>
      <c r="H415" s="1067">
        <f t="shared" si="27"/>
        <v>5301.3542400000015</v>
      </c>
      <c r="I415" s="1067">
        <f t="shared" si="28"/>
        <v>5301.3542400000015</v>
      </c>
    </row>
    <row r="416" spans="1:9" hidden="1" outlineLevel="1" x14ac:dyDescent="0.3">
      <c r="A416" s="1019"/>
      <c r="B416" s="110" t="s">
        <v>689</v>
      </c>
      <c r="C416" s="42" t="s">
        <v>79</v>
      </c>
      <c r="D416" s="1022">
        <f>3.89*2*D413</f>
        <v>4.1367069120000002</v>
      </c>
      <c r="E416" s="108"/>
      <c r="F416" s="108">
        <v>65</v>
      </c>
      <c r="G416" s="1067">
        <f t="shared" si="26"/>
        <v>0</v>
      </c>
      <c r="H416" s="1067">
        <f t="shared" si="27"/>
        <v>268.88594928000003</v>
      </c>
      <c r="I416" s="1067">
        <f t="shared" si="28"/>
        <v>268.88594928000003</v>
      </c>
    </row>
    <row r="417" spans="1:9" hidden="1" outlineLevel="1" x14ac:dyDescent="0.3">
      <c r="A417" s="1019"/>
      <c r="B417" s="110" t="s">
        <v>675</v>
      </c>
      <c r="C417" s="42" t="s">
        <v>79</v>
      </c>
      <c r="D417" s="1022">
        <f>3.37*2*D413</f>
        <v>3.5837280960000002</v>
      </c>
      <c r="E417" s="108"/>
      <c r="F417" s="108">
        <v>88.45</v>
      </c>
      <c r="G417" s="1067">
        <f t="shared" si="26"/>
        <v>0</v>
      </c>
      <c r="H417" s="1067">
        <f t="shared" si="27"/>
        <v>316.98075009120004</v>
      </c>
      <c r="I417" s="1067">
        <f t="shared" si="28"/>
        <v>316.98075009120004</v>
      </c>
    </row>
    <row r="418" spans="1:9" hidden="1" outlineLevel="1" x14ac:dyDescent="0.3">
      <c r="A418" s="1019" t="s">
        <v>2493</v>
      </c>
      <c r="B418" s="1158" t="s">
        <v>715</v>
      </c>
      <c r="C418" s="1021" t="s">
        <v>34</v>
      </c>
      <c r="D418" s="1022">
        <f>(0.25*0.25*0.504)*4*2</f>
        <v>0.252</v>
      </c>
      <c r="E418" s="108">
        <v>450</v>
      </c>
      <c r="F418" s="108"/>
      <c r="G418" s="1067">
        <f t="shared" si="26"/>
        <v>113.4</v>
      </c>
      <c r="H418" s="1067">
        <f t="shared" si="27"/>
        <v>0</v>
      </c>
      <c r="I418" s="1067">
        <f t="shared" si="28"/>
        <v>113.4</v>
      </c>
    </row>
    <row r="419" spans="1:9" hidden="1" outlineLevel="1" x14ac:dyDescent="0.3">
      <c r="A419" s="1019"/>
      <c r="B419" s="110" t="s">
        <v>716</v>
      </c>
      <c r="C419" s="1021" t="s">
        <v>44</v>
      </c>
      <c r="D419" s="1022">
        <f>ROUND(394*D418,0.1)</f>
        <v>99</v>
      </c>
      <c r="E419" s="108"/>
      <c r="F419" s="108">
        <v>15.6</v>
      </c>
      <c r="G419" s="1067">
        <f t="shared" si="26"/>
        <v>0</v>
      </c>
      <c r="H419" s="1067">
        <f t="shared" si="27"/>
        <v>1544.3999999999999</v>
      </c>
      <c r="I419" s="1067">
        <f t="shared" si="28"/>
        <v>1544.3999999999999</v>
      </c>
    </row>
    <row r="420" spans="1:9" hidden="1" outlineLevel="1" x14ac:dyDescent="0.3">
      <c r="A420" s="1019"/>
      <c r="B420" s="110" t="s">
        <v>327</v>
      </c>
      <c r="C420" s="1021" t="s">
        <v>34</v>
      </c>
      <c r="D420" s="1022">
        <f>0.283*D418</f>
        <v>7.1315999999999991E-2</v>
      </c>
      <c r="E420" s="108"/>
      <c r="F420" s="146">
        <v>3900</v>
      </c>
      <c r="G420" s="1067">
        <f t="shared" si="26"/>
        <v>0</v>
      </c>
      <c r="H420" s="1067">
        <f t="shared" si="27"/>
        <v>278.13239999999996</v>
      </c>
      <c r="I420" s="1067">
        <f t="shared" si="28"/>
        <v>278.13239999999996</v>
      </c>
    </row>
    <row r="421" spans="1:9" s="22" customFormat="1" hidden="1" outlineLevel="1" x14ac:dyDescent="0.3">
      <c r="A421" s="39" t="s">
        <v>2494</v>
      </c>
      <c r="B421" s="41" t="s">
        <v>280</v>
      </c>
      <c r="C421" s="42" t="s">
        <v>281</v>
      </c>
      <c r="D421" s="1022">
        <f>38.4</f>
        <v>38.4</v>
      </c>
      <c r="E421" s="108">
        <v>2500</v>
      </c>
      <c r="F421" s="108"/>
      <c r="G421" s="1067">
        <f t="shared" si="26"/>
        <v>96000</v>
      </c>
      <c r="H421" s="1067">
        <f t="shared" si="27"/>
        <v>0</v>
      </c>
      <c r="I421" s="1067">
        <f t="shared" si="28"/>
        <v>96000</v>
      </c>
    </row>
    <row r="422" spans="1:9" hidden="1" outlineLevel="1" x14ac:dyDescent="0.3">
      <c r="A422" s="39" t="s">
        <v>2495</v>
      </c>
      <c r="B422" s="63" t="s">
        <v>283</v>
      </c>
      <c r="C422" s="42" t="s">
        <v>43</v>
      </c>
      <c r="D422" s="1022">
        <f>D421</f>
        <v>38.4</v>
      </c>
      <c r="E422" s="108"/>
      <c r="F422" s="108">
        <v>2300</v>
      </c>
      <c r="G422" s="1067">
        <f t="shared" si="26"/>
        <v>0</v>
      </c>
      <c r="H422" s="1067">
        <f t="shared" si="27"/>
        <v>88320</v>
      </c>
      <c r="I422" s="1067">
        <f t="shared" si="28"/>
        <v>88320</v>
      </c>
    </row>
    <row r="423" spans="1:9" hidden="1" outlineLevel="1" x14ac:dyDescent="0.3">
      <c r="A423" s="39" t="s">
        <v>2496</v>
      </c>
      <c r="B423" s="63" t="s">
        <v>284</v>
      </c>
      <c r="C423" s="42" t="s">
        <v>44</v>
      </c>
      <c r="D423" s="1022">
        <v>4</v>
      </c>
      <c r="E423" s="108"/>
      <c r="F423" s="108">
        <v>15000</v>
      </c>
      <c r="G423" s="1067">
        <f t="shared" si="26"/>
        <v>0</v>
      </c>
      <c r="H423" s="1067">
        <f t="shared" si="27"/>
        <v>60000</v>
      </c>
      <c r="I423" s="1067">
        <f t="shared" si="28"/>
        <v>60000</v>
      </c>
    </row>
    <row r="424" spans="1:9" hidden="1" outlineLevel="1" x14ac:dyDescent="0.3">
      <c r="A424" s="39" t="s">
        <v>2497</v>
      </c>
      <c r="B424" s="63" t="s">
        <v>285</v>
      </c>
      <c r="C424" s="42" t="s">
        <v>44</v>
      </c>
      <c r="D424" s="1022">
        <v>31</v>
      </c>
      <c r="E424" s="108"/>
      <c r="F424" s="108">
        <v>700</v>
      </c>
      <c r="G424" s="1067">
        <f t="shared" si="26"/>
        <v>0</v>
      </c>
      <c r="H424" s="1067">
        <f t="shared" si="27"/>
        <v>21700</v>
      </c>
      <c r="I424" s="1067">
        <f t="shared" si="28"/>
        <v>21700</v>
      </c>
    </row>
    <row r="425" spans="1:9" s="22" customFormat="1" hidden="1" outlineLevel="1" x14ac:dyDescent="0.3">
      <c r="A425" s="39" t="s">
        <v>2498</v>
      </c>
      <c r="B425" s="63" t="s">
        <v>286</v>
      </c>
      <c r="C425" s="42" t="s">
        <v>34</v>
      </c>
      <c r="D425" s="1022">
        <f>(0.9*1.1+0.9*1.1+1.2*1.6)*0.2</f>
        <v>0.78000000000000014</v>
      </c>
      <c r="E425" s="108">
        <v>1560</v>
      </c>
      <c r="F425" s="108"/>
      <c r="G425" s="1067">
        <f t="shared" si="26"/>
        <v>1216.8000000000002</v>
      </c>
      <c r="H425" s="1067">
        <f t="shared" si="27"/>
        <v>0</v>
      </c>
      <c r="I425" s="1067">
        <f t="shared" si="28"/>
        <v>1216.8000000000002</v>
      </c>
    </row>
    <row r="426" spans="1:9" hidden="1" outlineLevel="1" x14ac:dyDescent="0.3">
      <c r="A426" s="39" t="s">
        <v>2499</v>
      </c>
      <c r="B426" s="41" t="s">
        <v>287</v>
      </c>
      <c r="C426" s="42" t="s">
        <v>34</v>
      </c>
      <c r="D426" s="1022">
        <f>D425*1.05</f>
        <v>0.81900000000000017</v>
      </c>
      <c r="E426" s="108"/>
      <c r="F426" s="108">
        <v>4870</v>
      </c>
      <c r="G426" s="1067">
        <f t="shared" si="26"/>
        <v>0</v>
      </c>
      <c r="H426" s="1067">
        <f t="shared" si="27"/>
        <v>3988.5300000000007</v>
      </c>
      <c r="I426" s="1067">
        <f t="shared" si="28"/>
        <v>3988.5300000000007</v>
      </c>
    </row>
    <row r="427" spans="1:9" s="22" customFormat="1" hidden="1" outlineLevel="1" x14ac:dyDescent="0.3">
      <c r="A427" s="1019" t="s">
        <v>2500</v>
      </c>
      <c r="B427" s="110" t="s">
        <v>288</v>
      </c>
      <c r="C427" s="1021" t="s">
        <v>62</v>
      </c>
      <c r="D427" s="1022">
        <f>D428</f>
        <v>0.14898</v>
      </c>
      <c r="E427" s="108">
        <v>25000</v>
      </c>
      <c r="F427" s="108"/>
      <c r="G427" s="1067">
        <f t="shared" si="26"/>
        <v>3724.5</v>
      </c>
      <c r="H427" s="1067">
        <f t="shared" si="27"/>
        <v>0</v>
      </c>
      <c r="I427" s="1067">
        <f t="shared" si="28"/>
        <v>3724.5</v>
      </c>
    </row>
    <row r="428" spans="1:9" hidden="1" outlineLevel="1" x14ac:dyDescent="0.3">
      <c r="A428" s="39" t="s">
        <v>2501</v>
      </c>
      <c r="B428" s="1174" t="s">
        <v>289</v>
      </c>
      <c r="C428" s="42" t="s">
        <v>62</v>
      </c>
      <c r="D428" s="1022">
        <f>SUM(D429:D432)</f>
        <v>0.14898</v>
      </c>
      <c r="E428" s="108"/>
      <c r="F428" s="108"/>
      <c r="G428" s="1067">
        <f t="shared" ref="G428:G434" si="29">D428*E428</f>
        <v>0</v>
      </c>
      <c r="H428" s="1067">
        <f t="shared" ref="H428:H434" si="30">D428*F428</f>
        <v>0</v>
      </c>
      <c r="I428" s="1067">
        <f t="shared" ref="I428:I434" si="31">G428+H428</f>
        <v>0</v>
      </c>
    </row>
    <row r="429" spans="1:9" hidden="1" outlineLevel="1" x14ac:dyDescent="0.3">
      <c r="A429" s="39"/>
      <c r="B429" s="63" t="s">
        <v>290</v>
      </c>
      <c r="C429" s="42" t="s">
        <v>62</v>
      </c>
      <c r="D429" s="1022">
        <f>(3*4.12+1*3.25+1*1.62+1*0.87)*5/1000*1.04</f>
        <v>9.4119999999999995E-2</v>
      </c>
      <c r="E429" s="108"/>
      <c r="F429" s="108">
        <v>48280.01</v>
      </c>
      <c r="G429" s="1067">
        <f t="shared" si="29"/>
        <v>0</v>
      </c>
      <c r="H429" s="1067">
        <f t="shared" si="30"/>
        <v>4544.1145411999996</v>
      </c>
      <c r="I429" s="1067">
        <f t="shared" si="31"/>
        <v>4544.1145411999996</v>
      </c>
    </row>
    <row r="430" spans="1:9" hidden="1" outlineLevel="1" x14ac:dyDescent="0.3">
      <c r="A430" s="1019"/>
      <c r="B430" s="110" t="s">
        <v>291</v>
      </c>
      <c r="C430" s="1021" t="s">
        <v>62</v>
      </c>
      <c r="D430" s="1022">
        <f>(1*0.65+4*0.06)*5/1000*1.04</f>
        <v>4.6280000000000002E-3</v>
      </c>
      <c r="E430" s="108"/>
      <c r="F430" s="108">
        <v>44500</v>
      </c>
      <c r="G430" s="1067">
        <f t="shared" si="29"/>
        <v>0</v>
      </c>
      <c r="H430" s="1067">
        <f t="shared" si="30"/>
        <v>205.946</v>
      </c>
      <c r="I430" s="1067">
        <f t="shared" si="31"/>
        <v>205.946</v>
      </c>
    </row>
    <row r="431" spans="1:9" hidden="1" outlineLevel="1" x14ac:dyDescent="0.3">
      <c r="A431" s="39"/>
      <c r="B431" s="63" t="s">
        <v>292</v>
      </c>
      <c r="C431" s="42" t="s">
        <v>62</v>
      </c>
      <c r="D431" s="1022">
        <f>9.04*5/1000*1.04</f>
        <v>4.7008000000000001E-2</v>
      </c>
      <c r="E431" s="108"/>
      <c r="F431" s="108">
        <v>46160</v>
      </c>
      <c r="G431" s="1067">
        <f t="shared" si="29"/>
        <v>0</v>
      </c>
      <c r="H431" s="1067">
        <f t="shared" si="30"/>
        <v>2169.8892799999999</v>
      </c>
      <c r="I431" s="1067">
        <f t="shared" si="31"/>
        <v>2169.8892799999999</v>
      </c>
    </row>
    <row r="432" spans="1:9" hidden="1" outlineLevel="1" x14ac:dyDescent="0.3">
      <c r="A432" s="39"/>
      <c r="B432" s="63" t="s">
        <v>293</v>
      </c>
      <c r="C432" s="42" t="s">
        <v>62</v>
      </c>
      <c r="D432" s="1022">
        <f>(2*0.31)*5/1000*1.04</f>
        <v>3.2239999999999999E-3</v>
      </c>
      <c r="E432" s="108"/>
      <c r="F432" s="108">
        <v>36300</v>
      </c>
      <c r="G432" s="1067">
        <f t="shared" si="29"/>
        <v>0</v>
      </c>
      <c r="H432" s="1067">
        <f t="shared" si="30"/>
        <v>117.0312</v>
      </c>
      <c r="I432" s="1067">
        <f t="shared" si="31"/>
        <v>117.0312</v>
      </c>
    </row>
    <row r="433" spans="1:9" hidden="1" outlineLevel="1" x14ac:dyDescent="0.3">
      <c r="A433" s="1019" t="s">
        <v>2502</v>
      </c>
      <c r="B433" s="63" t="s">
        <v>294</v>
      </c>
      <c r="C433" s="42" t="s">
        <v>79</v>
      </c>
      <c r="D433" s="1022">
        <f>3.89*2*D428</f>
        <v>1.1590644000000001</v>
      </c>
      <c r="E433" s="108"/>
      <c r="F433" s="108">
        <v>65</v>
      </c>
      <c r="G433" s="1067">
        <f t="shared" si="29"/>
        <v>0</v>
      </c>
      <c r="H433" s="1067">
        <f t="shared" si="30"/>
        <v>75.339186000000012</v>
      </c>
      <c r="I433" s="1067">
        <f t="shared" si="31"/>
        <v>75.339186000000012</v>
      </c>
    </row>
    <row r="434" spans="1:9" hidden="1" outlineLevel="1" x14ac:dyDescent="0.3">
      <c r="A434" s="1019" t="s">
        <v>2503</v>
      </c>
      <c r="B434" s="63" t="s">
        <v>295</v>
      </c>
      <c r="C434" s="42" t="s">
        <v>79</v>
      </c>
      <c r="D434" s="1022">
        <f>3.37*2*D428</f>
        <v>1.0041252000000001</v>
      </c>
      <c r="E434" s="108"/>
      <c r="F434" s="108">
        <v>88.45</v>
      </c>
      <c r="G434" s="1067">
        <f t="shared" si="29"/>
        <v>0</v>
      </c>
      <c r="H434" s="1067">
        <f t="shared" si="30"/>
        <v>88.814873940000012</v>
      </c>
      <c r="I434" s="1067">
        <f t="shared" si="31"/>
        <v>88.814873940000012</v>
      </c>
    </row>
    <row r="435" spans="1:9" ht="43.2" hidden="1" outlineLevel="1" x14ac:dyDescent="0.3">
      <c r="A435" s="1019" t="s">
        <v>2504</v>
      </c>
      <c r="B435" s="110" t="s">
        <v>1208</v>
      </c>
      <c r="C435" s="1021"/>
      <c r="D435" s="1022"/>
      <c r="E435" s="108"/>
      <c r="F435" s="146"/>
      <c r="G435" s="1067">
        <f>D435*E435</f>
        <v>0</v>
      </c>
      <c r="H435" s="1067">
        <f>D435*F435</f>
        <v>0</v>
      </c>
      <c r="I435" s="1067">
        <v>36900</v>
      </c>
    </row>
    <row r="436" spans="1:9" s="631" customFormat="1" ht="21.8" customHeight="1" collapsed="1" x14ac:dyDescent="0.3">
      <c r="A436" s="635" t="s">
        <v>849</v>
      </c>
      <c r="B436" s="636" t="s">
        <v>2582</v>
      </c>
      <c r="C436" s="1060" t="s">
        <v>74</v>
      </c>
      <c r="D436" s="1061">
        <f>D437+D447+D457+D463</f>
        <v>5528.4149999999991</v>
      </c>
      <c r="E436" s="1175"/>
      <c r="F436" s="1176"/>
      <c r="G436" s="1069">
        <f>SUM(G463+G457+G447+G437+G471,G479:G483)</f>
        <v>5259233.4399999995</v>
      </c>
      <c r="H436" s="1069">
        <f t="shared" ref="H436:I436" si="32">SUM(H463+H457+H447+H437+H471,H479:H483)</f>
        <v>4570916.7879891992</v>
      </c>
      <c r="I436" s="1069">
        <f t="shared" si="32"/>
        <v>9830150.2279892005</v>
      </c>
    </row>
    <row r="437" spans="1:9" s="631" customFormat="1" hidden="1" outlineLevel="1" x14ac:dyDescent="0.3">
      <c r="A437" s="642" t="s">
        <v>1109</v>
      </c>
      <c r="B437" s="1079" t="s">
        <v>1159</v>
      </c>
      <c r="C437" s="1025" t="s">
        <v>74</v>
      </c>
      <c r="D437" s="941">
        <f>501.34+733.6+49.59+18.5328+215.34+130.66+9.46+321.31+54.38+276.11+577.95+148.85+29.52+471.5</f>
        <v>3538.1427999999996</v>
      </c>
      <c r="E437" s="942">
        <f>PRODUCT(G437,1/D437)</f>
        <v>900.00000000000011</v>
      </c>
      <c r="F437" s="942">
        <f>PRODUCT(H437,1/D437)</f>
        <v>939.71397507415475</v>
      </c>
      <c r="G437" s="1052">
        <f>SUM(G438:G446)</f>
        <v>3184328.52</v>
      </c>
      <c r="H437" s="1052">
        <f>SUM(H438:H446)</f>
        <v>3324842.2349679996</v>
      </c>
      <c r="I437" s="1070">
        <f>G437+H437</f>
        <v>6509170.7549679996</v>
      </c>
    </row>
    <row r="438" spans="1:9" s="631" customFormat="1" hidden="1" outlineLevel="1" x14ac:dyDescent="0.3">
      <c r="A438" s="642" t="s">
        <v>2641</v>
      </c>
      <c r="B438" s="1177" t="s">
        <v>1836</v>
      </c>
      <c r="C438" s="1025" t="s">
        <v>1161</v>
      </c>
      <c r="D438" s="943">
        <f>PRODUCT(D437,0.15,1/10)</f>
        <v>53.072141999999999</v>
      </c>
      <c r="E438" s="1178">
        <v>150</v>
      </c>
      <c r="F438" s="942">
        <v>456</v>
      </c>
      <c r="G438" s="1054">
        <f>D437*E438</f>
        <v>530721.41999999993</v>
      </c>
      <c r="H438" s="1053">
        <f>PRODUCT(D438,F438)</f>
        <v>24200.896752000001</v>
      </c>
      <c r="I438" s="1071">
        <f t="shared" ref="I438:I470" si="33">G438+H438</f>
        <v>554922.3167519999</v>
      </c>
    </row>
    <row r="439" spans="1:9" s="631" customFormat="1" hidden="1" outlineLevel="1" x14ac:dyDescent="0.3">
      <c r="A439" s="642" t="s">
        <v>2642</v>
      </c>
      <c r="B439" s="1177" t="s">
        <v>1837</v>
      </c>
      <c r="C439" s="1025" t="s">
        <v>1163</v>
      </c>
      <c r="D439" s="941">
        <f>PRODUCT(D437,0.15,1.1)</f>
        <v>583.79356200000007</v>
      </c>
      <c r="E439" s="944">
        <v>140</v>
      </c>
      <c r="F439" s="942">
        <v>3650</v>
      </c>
      <c r="G439" s="1054">
        <f>D437*E439</f>
        <v>495339.99199999997</v>
      </c>
      <c r="H439" s="1053">
        <f t="shared" ref="H439:H446" si="34">PRODUCT(D439,F439)</f>
        <v>2130846.5013000001</v>
      </c>
      <c r="I439" s="1071">
        <f t="shared" si="33"/>
        <v>2626186.4933000002</v>
      </c>
    </row>
    <row r="440" spans="1:9" s="631" customFormat="1" hidden="1" outlineLevel="1" x14ac:dyDescent="0.3">
      <c r="A440" s="642" t="s">
        <v>2643</v>
      </c>
      <c r="B440" s="1080" t="s">
        <v>1164</v>
      </c>
      <c r="C440" s="1025" t="s">
        <v>96</v>
      </c>
      <c r="D440" s="943">
        <f>PRODUCT(D437,6)</f>
        <v>21228.856799999998</v>
      </c>
      <c r="E440" s="944">
        <v>0</v>
      </c>
      <c r="F440" s="942">
        <v>10.5</v>
      </c>
      <c r="G440" s="1054">
        <f>D437*E440</f>
        <v>0</v>
      </c>
      <c r="H440" s="1053">
        <f t="shared" si="34"/>
        <v>222902.99639999997</v>
      </c>
      <c r="I440" s="1071">
        <f t="shared" si="33"/>
        <v>222902.99639999997</v>
      </c>
    </row>
    <row r="441" spans="1:9" s="631" customFormat="1" hidden="1" outlineLevel="1" x14ac:dyDescent="0.3">
      <c r="A441" s="642" t="s">
        <v>2644</v>
      </c>
      <c r="B441" s="1080" t="s">
        <v>1165</v>
      </c>
      <c r="C441" s="1025" t="s">
        <v>1166</v>
      </c>
      <c r="D441" s="943">
        <f>PRODUCT(D437,1.1,1/50)</f>
        <v>77.839141599999991</v>
      </c>
      <c r="E441" s="944">
        <v>0</v>
      </c>
      <c r="F441" s="942">
        <v>1875</v>
      </c>
      <c r="G441" s="1054">
        <f>D437*E441</f>
        <v>0</v>
      </c>
      <c r="H441" s="1053">
        <f t="shared" si="34"/>
        <v>145948.39049999998</v>
      </c>
      <c r="I441" s="1071">
        <f t="shared" si="33"/>
        <v>145948.39049999998</v>
      </c>
    </row>
    <row r="442" spans="1:9" s="631" customFormat="1" hidden="1" outlineLevel="1" x14ac:dyDescent="0.3">
      <c r="A442" s="642" t="s">
        <v>2645</v>
      </c>
      <c r="B442" s="1177" t="s">
        <v>1838</v>
      </c>
      <c r="C442" s="1179" t="s">
        <v>1169</v>
      </c>
      <c r="D442" s="943">
        <f>PRODUCT(D437,6,1/25)</f>
        <v>849.15427199999988</v>
      </c>
      <c r="E442" s="944">
        <v>160</v>
      </c>
      <c r="F442" s="1179">
        <v>315</v>
      </c>
      <c r="G442" s="1054">
        <f>D437*E442</f>
        <v>566102.848</v>
      </c>
      <c r="H442" s="1053">
        <f t="shared" si="34"/>
        <v>267483.59567999997</v>
      </c>
      <c r="I442" s="1071">
        <f t="shared" si="33"/>
        <v>833586.44368000003</v>
      </c>
    </row>
    <row r="443" spans="1:9" s="631" customFormat="1" hidden="1" outlineLevel="1" x14ac:dyDescent="0.3">
      <c r="A443" s="642" t="s">
        <v>2646</v>
      </c>
      <c r="B443" s="1177" t="s">
        <v>1839</v>
      </c>
      <c r="C443" s="1025" t="s">
        <v>1169</v>
      </c>
      <c r="D443" s="943">
        <f>PRODUCT(D437,6,1/25)</f>
        <v>849.15427199999988</v>
      </c>
      <c r="E443" s="944">
        <v>160</v>
      </c>
      <c r="F443" s="942">
        <v>339</v>
      </c>
      <c r="G443" s="1054">
        <f>D437*E443</f>
        <v>566102.848</v>
      </c>
      <c r="H443" s="1053">
        <f t="shared" si="34"/>
        <v>287863.29820799996</v>
      </c>
      <c r="I443" s="1071">
        <f t="shared" si="33"/>
        <v>853966.1462079999</v>
      </c>
    </row>
    <row r="444" spans="1:9" s="631" customFormat="1" hidden="1" outlineLevel="1" x14ac:dyDescent="0.3">
      <c r="A444" s="642" t="s">
        <v>2647</v>
      </c>
      <c r="B444" s="1177" t="s">
        <v>1840</v>
      </c>
      <c r="C444" s="1025" t="s">
        <v>1841</v>
      </c>
      <c r="D444" s="943">
        <f>PRODUCT(D437,0.2,1/25)</f>
        <v>28.305142400000001</v>
      </c>
      <c r="E444" s="944">
        <v>150</v>
      </c>
      <c r="F444" s="942">
        <v>1810</v>
      </c>
      <c r="G444" s="1054">
        <f>D437*E444</f>
        <v>530721.41999999993</v>
      </c>
      <c r="H444" s="1053">
        <f t="shared" si="34"/>
        <v>51232.307744000005</v>
      </c>
      <c r="I444" s="1071">
        <f t="shared" si="33"/>
        <v>581953.72774399992</v>
      </c>
    </row>
    <row r="445" spans="1:9" s="631" customFormat="1" hidden="1" outlineLevel="1" x14ac:dyDescent="0.3">
      <c r="A445" s="642" t="s">
        <v>2648</v>
      </c>
      <c r="B445" s="1177" t="s">
        <v>1842</v>
      </c>
      <c r="C445" s="1025" t="s">
        <v>1169</v>
      </c>
      <c r="D445" s="943">
        <f>PRODUCT(D437,3,1/25)</f>
        <v>424.57713599999994</v>
      </c>
      <c r="E445" s="1178">
        <v>140</v>
      </c>
      <c r="F445" s="942">
        <v>444</v>
      </c>
      <c r="G445" s="1054">
        <f>D437*E445</f>
        <v>495339.99199999997</v>
      </c>
      <c r="H445" s="1053">
        <f t="shared" si="34"/>
        <v>188512.24838399998</v>
      </c>
      <c r="I445" s="1071">
        <f t="shared" si="33"/>
        <v>683852.24038399989</v>
      </c>
    </row>
    <row r="446" spans="1:9" s="631" customFormat="1" hidden="1" outlineLevel="1" x14ac:dyDescent="0.3">
      <c r="A446" s="642" t="s">
        <v>2649</v>
      </c>
      <c r="B446" s="1080" t="s">
        <v>1173</v>
      </c>
      <c r="C446" s="1025" t="s">
        <v>1174</v>
      </c>
      <c r="D446" s="941">
        <f>ROUND((72.06*2+66.74*2+22.8+22.3+6.6+4.29)/2.5,0)</f>
        <v>133</v>
      </c>
      <c r="E446" s="944">
        <v>0</v>
      </c>
      <c r="F446" s="942">
        <v>44</v>
      </c>
      <c r="G446" s="1054">
        <f>D437*E446</f>
        <v>0</v>
      </c>
      <c r="H446" s="1053">
        <f t="shared" si="34"/>
        <v>5852</v>
      </c>
      <c r="I446" s="1071">
        <f t="shared" si="33"/>
        <v>5852</v>
      </c>
    </row>
    <row r="447" spans="1:9" s="631" customFormat="1" hidden="1" outlineLevel="1" x14ac:dyDescent="0.3">
      <c r="A447" s="642" t="s">
        <v>2110</v>
      </c>
      <c r="B447" s="1080" t="s">
        <v>1175</v>
      </c>
      <c r="C447" s="1025" t="s">
        <v>74</v>
      </c>
      <c r="D447" s="941">
        <f>102.14+15.62+280.65</f>
        <v>398.40999999999997</v>
      </c>
      <c r="E447" s="942">
        <f>PRODUCT(G447,1/D447)</f>
        <v>900.00000000000011</v>
      </c>
      <c r="F447" s="942">
        <f>PRODUCT(H447,1/D447)</f>
        <v>742.5006327652419</v>
      </c>
      <c r="G447" s="1053">
        <f>SUM(G448:G456)</f>
        <v>358569</v>
      </c>
      <c r="H447" s="1053">
        <f>SUM(H448:H456)</f>
        <v>295819.67710000003</v>
      </c>
      <c r="I447" s="1071">
        <f>G447+H447</f>
        <v>654388.67709999997</v>
      </c>
    </row>
    <row r="448" spans="1:9" s="631" customFormat="1" hidden="1" outlineLevel="1" x14ac:dyDescent="0.3">
      <c r="A448" s="642" t="s">
        <v>2650</v>
      </c>
      <c r="B448" s="1177" t="s">
        <v>1836</v>
      </c>
      <c r="C448" s="1025" t="s">
        <v>1161</v>
      </c>
      <c r="D448" s="943">
        <f>PRODUCT(D447,0.15,1/10)</f>
        <v>5.9761499999999996</v>
      </c>
      <c r="E448" s="1178">
        <v>150</v>
      </c>
      <c r="F448" s="942">
        <v>456</v>
      </c>
      <c r="G448" s="1054">
        <f>D447*E448</f>
        <v>59761.499999999993</v>
      </c>
      <c r="H448" s="1053">
        <f>PRODUCT(D448,F448)</f>
        <v>2725.1243999999997</v>
      </c>
      <c r="I448" s="1071">
        <f t="shared" si="33"/>
        <v>62486.624399999993</v>
      </c>
    </row>
    <row r="449" spans="1:9" s="631" customFormat="1" hidden="1" outlineLevel="1" x14ac:dyDescent="0.3">
      <c r="A449" s="642" t="s">
        <v>2651</v>
      </c>
      <c r="B449" s="1180" t="s">
        <v>1843</v>
      </c>
      <c r="C449" s="1025" t="s">
        <v>1163</v>
      </c>
      <c r="D449" s="941">
        <f>PRODUCT(D447,0.11)</f>
        <v>43.825099999999999</v>
      </c>
      <c r="E449" s="944">
        <v>140</v>
      </c>
      <c r="F449" s="942">
        <v>3650</v>
      </c>
      <c r="G449" s="1054">
        <f>D447*E449</f>
        <v>55777.399999999994</v>
      </c>
      <c r="H449" s="1053">
        <f t="shared" ref="H449:H456" si="35">PRODUCT(D449,F449)</f>
        <v>159961.61499999999</v>
      </c>
      <c r="I449" s="1071">
        <f t="shared" si="33"/>
        <v>215739.01499999998</v>
      </c>
    </row>
    <row r="450" spans="1:9" s="631" customFormat="1" hidden="1" outlineLevel="1" x14ac:dyDescent="0.3">
      <c r="A450" s="642" t="s">
        <v>2652</v>
      </c>
      <c r="B450" s="1080" t="s">
        <v>1177</v>
      </c>
      <c r="C450" s="1025" t="s">
        <v>96</v>
      </c>
      <c r="D450" s="943">
        <f>PRODUCT(D447,6)</f>
        <v>2390.46</v>
      </c>
      <c r="E450" s="944">
        <v>0</v>
      </c>
      <c r="F450" s="942">
        <v>10.5</v>
      </c>
      <c r="G450" s="1054">
        <f>D447*E450</f>
        <v>0</v>
      </c>
      <c r="H450" s="1053">
        <f t="shared" si="35"/>
        <v>25099.83</v>
      </c>
      <c r="I450" s="1071">
        <f t="shared" si="33"/>
        <v>25099.83</v>
      </c>
    </row>
    <row r="451" spans="1:9" s="631" customFormat="1" hidden="1" outlineLevel="1" x14ac:dyDescent="0.3">
      <c r="A451" s="642" t="s">
        <v>2653</v>
      </c>
      <c r="B451" s="1080" t="s">
        <v>1165</v>
      </c>
      <c r="C451" s="1025" t="s">
        <v>1166</v>
      </c>
      <c r="D451" s="943">
        <f>PRODUCT(D447,1.1,1/50)</f>
        <v>8.7650199999999998</v>
      </c>
      <c r="E451" s="944">
        <v>0</v>
      </c>
      <c r="F451" s="942">
        <v>1875</v>
      </c>
      <c r="G451" s="1054">
        <f>D447*E451</f>
        <v>0</v>
      </c>
      <c r="H451" s="1053">
        <f t="shared" si="35"/>
        <v>16434.412499999999</v>
      </c>
      <c r="I451" s="1071">
        <f t="shared" si="33"/>
        <v>16434.412499999999</v>
      </c>
    </row>
    <row r="452" spans="1:9" s="631" customFormat="1" hidden="1" outlineLevel="1" x14ac:dyDescent="0.3">
      <c r="A452" s="642" t="s">
        <v>2654</v>
      </c>
      <c r="B452" s="1177" t="s">
        <v>1838</v>
      </c>
      <c r="C452" s="1179" t="s">
        <v>1169</v>
      </c>
      <c r="D452" s="943">
        <f>PRODUCT(D447,6,1/25)</f>
        <v>95.618400000000008</v>
      </c>
      <c r="E452" s="944">
        <v>160</v>
      </c>
      <c r="F452" s="1179">
        <v>315</v>
      </c>
      <c r="G452" s="1054">
        <f>D447*E452</f>
        <v>63745.599999999991</v>
      </c>
      <c r="H452" s="1053">
        <f t="shared" si="35"/>
        <v>30119.796000000002</v>
      </c>
      <c r="I452" s="1071">
        <f>G452+H452</f>
        <v>93865.395999999993</v>
      </c>
    </row>
    <row r="453" spans="1:9" s="631" customFormat="1" hidden="1" outlineLevel="1" x14ac:dyDescent="0.3">
      <c r="A453" s="642" t="s">
        <v>2655</v>
      </c>
      <c r="B453" s="1177" t="s">
        <v>1839</v>
      </c>
      <c r="C453" s="1025" t="s">
        <v>1169</v>
      </c>
      <c r="D453" s="943">
        <f>PRODUCT(D447,6,1/25)</f>
        <v>95.618400000000008</v>
      </c>
      <c r="E453" s="944">
        <v>160</v>
      </c>
      <c r="F453" s="942">
        <v>339</v>
      </c>
      <c r="G453" s="1054">
        <f>D447*E453</f>
        <v>63745.599999999991</v>
      </c>
      <c r="H453" s="1053">
        <f t="shared" si="35"/>
        <v>32414.637600000002</v>
      </c>
      <c r="I453" s="1071">
        <f t="shared" si="33"/>
        <v>96160.237599999993</v>
      </c>
    </row>
    <row r="454" spans="1:9" s="631" customFormat="1" hidden="1" outlineLevel="1" x14ac:dyDescent="0.3">
      <c r="A454" s="642" t="s">
        <v>2656</v>
      </c>
      <c r="B454" s="1177" t="s">
        <v>1840</v>
      </c>
      <c r="C454" s="1025" t="s">
        <v>1841</v>
      </c>
      <c r="D454" s="943">
        <f>PRODUCT(D447,0.2,1/25)</f>
        <v>3.1872800000000003</v>
      </c>
      <c r="E454" s="944">
        <v>150</v>
      </c>
      <c r="F454" s="942">
        <v>1810</v>
      </c>
      <c r="G454" s="1054">
        <f>D447*E454</f>
        <v>59761.499999999993</v>
      </c>
      <c r="H454" s="1053">
        <f t="shared" si="35"/>
        <v>5768.9768000000004</v>
      </c>
      <c r="I454" s="1071">
        <f t="shared" si="33"/>
        <v>65530.476799999989</v>
      </c>
    </row>
    <row r="455" spans="1:9" s="631" customFormat="1" hidden="1" outlineLevel="1" x14ac:dyDescent="0.3">
      <c r="A455" s="642" t="s">
        <v>2657</v>
      </c>
      <c r="B455" s="1177" t="s">
        <v>1842</v>
      </c>
      <c r="C455" s="1025" t="s">
        <v>1169</v>
      </c>
      <c r="D455" s="943">
        <f>PRODUCT(D447,3,1/25)</f>
        <v>47.809200000000004</v>
      </c>
      <c r="E455" s="944">
        <v>140</v>
      </c>
      <c r="F455" s="942">
        <v>444</v>
      </c>
      <c r="G455" s="1054">
        <f>D447*E455</f>
        <v>55777.399999999994</v>
      </c>
      <c r="H455" s="1053">
        <f t="shared" si="35"/>
        <v>21227.284800000001</v>
      </c>
      <c r="I455" s="1071">
        <f t="shared" si="33"/>
        <v>77004.684799999988</v>
      </c>
    </row>
    <row r="456" spans="1:9" s="631" customFormat="1" hidden="1" outlineLevel="1" x14ac:dyDescent="0.3">
      <c r="A456" s="642" t="s">
        <v>2658</v>
      </c>
      <c r="B456" s="1080" t="s">
        <v>1173</v>
      </c>
      <c r="C456" s="1025" t="s">
        <v>1174</v>
      </c>
      <c r="D456" s="941">
        <f>ROUND((19.22*2+10.98*2+3.52+4.915*9+3.98*2+0.935)/2.5,0)</f>
        <v>47</v>
      </c>
      <c r="E456" s="1178">
        <v>0</v>
      </c>
      <c r="F456" s="942">
        <v>44</v>
      </c>
      <c r="G456" s="1054">
        <f>D447*E456</f>
        <v>0</v>
      </c>
      <c r="H456" s="1053">
        <f t="shared" si="35"/>
        <v>2068</v>
      </c>
      <c r="I456" s="1072">
        <f t="shared" si="33"/>
        <v>2068</v>
      </c>
    </row>
    <row r="457" spans="1:9" s="631" customFormat="1" hidden="1" outlineLevel="1" x14ac:dyDescent="0.3">
      <c r="A457" s="642" t="s">
        <v>2117</v>
      </c>
      <c r="B457" s="1080" t="s">
        <v>1178</v>
      </c>
      <c r="C457" s="1025" t="s">
        <v>74</v>
      </c>
      <c r="D457" s="941">
        <f>201.08+163.7922+6.19+251.92+225.94+234.94</f>
        <v>1083.8622</v>
      </c>
      <c r="E457" s="942">
        <f>PRODUCT(G457,1/D457)</f>
        <v>600</v>
      </c>
      <c r="F457" s="942">
        <f>PRODUCT(H457,1/D457)</f>
        <v>197.21</v>
      </c>
      <c r="G457" s="1053">
        <f>SUM(G458:G462)</f>
        <v>650317.32000000007</v>
      </c>
      <c r="H457" s="1053">
        <f>SUM(H458:H462)</f>
        <v>213748.464462</v>
      </c>
      <c r="I457" s="1072">
        <f>G457+H457</f>
        <v>864065.78446200001</v>
      </c>
    </row>
    <row r="458" spans="1:9" s="631" customFormat="1" hidden="1" outlineLevel="1" x14ac:dyDescent="0.3">
      <c r="A458" s="642" t="s">
        <v>2659</v>
      </c>
      <c r="B458" s="1177" t="s">
        <v>1836</v>
      </c>
      <c r="C458" s="1025" t="s">
        <v>1161</v>
      </c>
      <c r="D458" s="943">
        <f>PRODUCT(D457,0.15,1/10)</f>
        <v>16.257933000000001</v>
      </c>
      <c r="E458" s="1178">
        <v>150</v>
      </c>
      <c r="F458" s="942">
        <v>456</v>
      </c>
      <c r="G458" s="1054">
        <f>D457*E458</f>
        <v>162579.33000000002</v>
      </c>
      <c r="H458" s="1053">
        <f>PRODUCT(D458,F458)</f>
        <v>7413.6174480000009</v>
      </c>
      <c r="I458" s="1181">
        <f t="shared" si="33"/>
        <v>169992.94744800002</v>
      </c>
    </row>
    <row r="459" spans="1:9" s="631" customFormat="1" hidden="1" outlineLevel="1" x14ac:dyDescent="0.3">
      <c r="A459" s="642" t="s">
        <v>2660</v>
      </c>
      <c r="B459" s="1080" t="s">
        <v>1165</v>
      </c>
      <c r="C459" s="1025" t="s">
        <v>1166</v>
      </c>
      <c r="D459" s="943">
        <f>PRODUCT(D457,1.1,1/50)</f>
        <v>23.844968400000003</v>
      </c>
      <c r="E459" s="944">
        <v>0</v>
      </c>
      <c r="F459" s="942">
        <v>1875</v>
      </c>
      <c r="G459" s="1054">
        <f>D457*E459</f>
        <v>0</v>
      </c>
      <c r="H459" s="1053">
        <f>PRODUCT(D459,F459)</f>
        <v>44709.315750000002</v>
      </c>
      <c r="I459" s="1181">
        <f t="shared" si="33"/>
        <v>44709.315750000002</v>
      </c>
    </row>
    <row r="460" spans="1:9" s="631" customFormat="1" hidden="1" outlineLevel="1" x14ac:dyDescent="0.3">
      <c r="A460" s="642" t="s">
        <v>2661</v>
      </c>
      <c r="B460" s="1177" t="s">
        <v>1839</v>
      </c>
      <c r="C460" s="1025" t="s">
        <v>1169</v>
      </c>
      <c r="D460" s="943">
        <f>PRODUCT(D457,6,1/25)</f>
        <v>260.12692800000002</v>
      </c>
      <c r="E460" s="944">
        <v>160</v>
      </c>
      <c r="F460" s="942">
        <v>339</v>
      </c>
      <c r="G460" s="1054">
        <f>D457*E460</f>
        <v>173417.95199999999</v>
      </c>
      <c r="H460" s="1053">
        <f>PRODUCT(D460,F460)</f>
        <v>88183.028592000002</v>
      </c>
      <c r="I460" s="1181">
        <f t="shared" si="33"/>
        <v>261600.98059200001</v>
      </c>
    </row>
    <row r="461" spans="1:9" s="631" customFormat="1" hidden="1" outlineLevel="1" x14ac:dyDescent="0.3">
      <c r="A461" s="642" t="s">
        <v>2662</v>
      </c>
      <c r="B461" s="1177" t="s">
        <v>1840</v>
      </c>
      <c r="C461" s="1025" t="s">
        <v>1841</v>
      </c>
      <c r="D461" s="943">
        <f>PRODUCT(D457,0.2,1/25)</f>
        <v>8.6708976000000018</v>
      </c>
      <c r="E461" s="1178">
        <v>150</v>
      </c>
      <c r="F461" s="942">
        <v>1810</v>
      </c>
      <c r="G461" s="1054">
        <f>D457*E461</f>
        <v>162579.33000000002</v>
      </c>
      <c r="H461" s="1053">
        <f>PRODUCT(D461,F461)</f>
        <v>15694.324656000003</v>
      </c>
      <c r="I461" s="1181">
        <f t="shared" si="33"/>
        <v>178273.65465600003</v>
      </c>
    </row>
    <row r="462" spans="1:9" s="631" customFormat="1" hidden="1" outlineLevel="1" x14ac:dyDescent="0.3">
      <c r="A462" s="642" t="s">
        <v>2663</v>
      </c>
      <c r="B462" s="1177" t="s">
        <v>1842</v>
      </c>
      <c r="C462" s="1025" t="s">
        <v>1169</v>
      </c>
      <c r="D462" s="943">
        <f>PRODUCT(D457,3,1/25)</f>
        <v>130.06346400000001</v>
      </c>
      <c r="E462" s="944">
        <v>140</v>
      </c>
      <c r="F462" s="942">
        <v>444</v>
      </c>
      <c r="G462" s="1054">
        <f>D457*E462</f>
        <v>151740.70800000001</v>
      </c>
      <c r="H462" s="1053">
        <f>PRODUCT(D462,F462)</f>
        <v>57748.178016000005</v>
      </c>
      <c r="I462" s="1181">
        <f t="shared" si="33"/>
        <v>209488.886016</v>
      </c>
    </row>
    <row r="463" spans="1:9" s="631" customFormat="1" hidden="1" outlineLevel="1" x14ac:dyDescent="0.3">
      <c r="A463" s="642" t="s">
        <v>2664</v>
      </c>
      <c r="B463" s="1080" t="s">
        <v>1180</v>
      </c>
      <c r="C463" s="1025" t="s">
        <v>74</v>
      </c>
      <c r="D463" s="943">
        <f>160.41+125.44+222.15</f>
        <v>508</v>
      </c>
      <c r="E463" s="942">
        <f>PRODUCT(G463,1/D463)</f>
        <v>450</v>
      </c>
      <c r="F463" s="942">
        <f>PRODUCT(H463,1/D463)</f>
        <v>607.76803149606303</v>
      </c>
      <c r="G463" s="1053">
        <f>SUM(G464:G470)</f>
        <v>228600</v>
      </c>
      <c r="H463" s="1053">
        <f>SUM(H464:H470)</f>
        <v>308746.16000000003</v>
      </c>
      <c r="I463" s="1072">
        <f>G463+H463</f>
        <v>537346.16</v>
      </c>
    </row>
    <row r="464" spans="1:9" s="631" customFormat="1" hidden="1" outlineLevel="1" x14ac:dyDescent="0.3">
      <c r="A464" s="642" t="s">
        <v>2665</v>
      </c>
      <c r="B464" s="1080" t="s">
        <v>1165</v>
      </c>
      <c r="C464" s="1025" t="s">
        <v>1166</v>
      </c>
      <c r="D464" s="943">
        <f>PRODUCT(D463,1.1,1/50)</f>
        <v>11.176000000000002</v>
      </c>
      <c r="E464" s="944">
        <v>0</v>
      </c>
      <c r="F464" s="942">
        <v>1875</v>
      </c>
      <c r="G464" s="1054">
        <f>D463*E464</f>
        <v>0</v>
      </c>
      <c r="H464" s="1053">
        <f t="shared" ref="H464:H470" si="36">PRODUCT(D464,F464)</f>
        <v>20955.000000000004</v>
      </c>
      <c r="I464" s="1072">
        <f t="shared" si="33"/>
        <v>20955.000000000004</v>
      </c>
    </row>
    <row r="465" spans="1:11" s="631" customFormat="1" hidden="1" outlineLevel="1" x14ac:dyDescent="0.3">
      <c r="A465" s="642" t="s">
        <v>2666</v>
      </c>
      <c r="B465" s="1177" t="s">
        <v>1839</v>
      </c>
      <c r="C465" s="1025" t="s">
        <v>1169</v>
      </c>
      <c r="D465" s="943">
        <f>PRODUCT(D463,6,1/25)</f>
        <v>121.92</v>
      </c>
      <c r="E465" s="944">
        <v>160</v>
      </c>
      <c r="F465" s="942">
        <v>339</v>
      </c>
      <c r="G465" s="1054">
        <f>D463*E465</f>
        <v>81280</v>
      </c>
      <c r="H465" s="1053">
        <f t="shared" si="36"/>
        <v>41330.879999999997</v>
      </c>
      <c r="I465" s="1072">
        <f t="shared" si="33"/>
        <v>122610.88</v>
      </c>
    </row>
    <row r="466" spans="1:11" s="631" customFormat="1" hidden="1" outlineLevel="1" x14ac:dyDescent="0.3">
      <c r="A466" s="642" t="s">
        <v>2667</v>
      </c>
      <c r="B466" s="1177" t="s">
        <v>1840</v>
      </c>
      <c r="C466" s="1025" t="s">
        <v>1841</v>
      </c>
      <c r="D466" s="943">
        <f>PRODUCT(D463,0.2,1/25)</f>
        <v>4.0640000000000001</v>
      </c>
      <c r="E466" s="1178">
        <v>150</v>
      </c>
      <c r="F466" s="942">
        <v>1810</v>
      </c>
      <c r="G466" s="1054">
        <f>D463*E466</f>
        <v>76200</v>
      </c>
      <c r="H466" s="1053">
        <f t="shared" si="36"/>
        <v>7355.84</v>
      </c>
      <c r="I466" s="1071">
        <f>G466+H466</f>
        <v>83555.839999999997</v>
      </c>
    </row>
    <row r="467" spans="1:11" s="631" customFormat="1" hidden="1" outlineLevel="1" x14ac:dyDescent="0.3">
      <c r="A467" s="642" t="s">
        <v>2668</v>
      </c>
      <c r="B467" s="1177" t="s">
        <v>1842</v>
      </c>
      <c r="C467" s="1025" t="s">
        <v>1169</v>
      </c>
      <c r="D467" s="943">
        <f>PRODUCT(D463,3,1/25)</f>
        <v>60.96</v>
      </c>
      <c r="E467" s="944">
        <v>140</v>
      </c>
      <c r="F467" s="942">
        <v>444</v>
      </c>
      <c r="G467" s="1054">
        <f>D463*E467</f>
        <v>71120</v>
      </c>
      <c r="H467" s="1053">
        <f t="shared" si="36"/>
        <v>27066.240000000002</v>
      </c>
      <c r="I467" s="1071">
        <f t="shared" si="33"/>
        <v>98186.240000000005</v>
      </c>
    </row>
    <row r="468" spans="1:11" s="631" customFormat="1" hidden="1" outlineLevel="1" x14ac:dyDescent="0.3">
      <c r="A468" s="642" t="s">
        <v>2669</v>
      </c>
      <c r="B468" s="1080" t="s">
        <v>1173</v>
      </c>
      <c r="C468" s="1025" t="s">
        <v>1174</v>
      </c>
      <c r="D468" s="941">
        <f>ROUND(((0.8*3*5)+(1.5*6*23+1.3*2*23+1.77*2*8*23)+(1*2*3+2.1*2+1.79*2*2)+(1.485*2*23+1.485*23+1.13+0.62+1.485*4*23+1.13*4)+(2.42*2*9*23+2.44*2+1.65*24+1.65*5+2.05*3*23+2.29*2*2+2.45*2*2)+(1.24*2+1.35*2*24+1.35*2*23+1.04*2*2+2.1*2+2.79*2+2.76*2*23+2.79*2*23+1.79*2+1.85*2))/2.5,0)</f>
        <v>1126</v>
      </c>
      <c r="E468" s="944">
        <v>0</v>
      </c>
      <c r="F468" s="942">
        <v>44</v>
      </c>
      <c r="G468" s="1054">
        <f>D468*E468</f>
        <v>0</v>
      </c>
      <c r="H468" s="1053">
        <f t="shared" si="36"/>
        <v>49544</v>
      </c>
      <c r="I468" s="1071">
        <f t="shared" si="33"/>
        <v>49544</v>
      </c>
    </row>
    <row r="469" spans="1:11" s="631" customFormat="1" hidden="1" outlineLevel="1" x14ac:dyDescent="0.3">
      <c r="A469" s="642" t="s">
        <v>2670</v>
      </c>
      <c r="B469" s="1080" t="s">
        <v>1181</v>
      </c>
      <c r="C469" s="1025" t="s">
        <v>1174</v>
      </c>
      <c r="D469" s="941">
        <f>ROUND(((1.5*6*23+1.3*2*23+0.8*5)+(5.58*2*23+8.4*23+6.77*23))/2.5,0)</f>
        <v>351</v>
      </c>
      <c r="E469" s="944">
        <v>0</v>
      </c>
      <c r="F469" s="942">
        <v>125</v>
      </c>
      <c r="G469" s="1054">
        <f>D469*E469</f>
        <v>0</v>
      </c>
      <c r="H469" s="1053">
        <f t="shared" si="36"/>
        <v>43875</v>
      </c>
      <c r="I469" s="1071">
        <f t="shared" si="33"/>
        <v>43875</v>
      </c>
    </row>
    <row r="470" spans="1:11" s="631" customFormat="1" hidden="1" outlineLevel="1" x14ac:dyDescent="0.3">
      <c r="A470" s="642" t="s">
        <v>2671</v>
      </c>
      <c r="B470" s="1080" t="s">
        <v>1182</v>
      </c>
      <c r="C470" s="1182" t="s">
        <v>318</v>
      </c>
      <c r="D470" s="1183">
        <f>((0.8*4*5+1.3*2*2*23+1.77*2*8*23+1.5*2*6*23)+(2.44*2+1.65*2+2.42*2*9*23+1.65*2*6*23+2.05*2*3*23+2.74*2+1.45*2*2+2.44*2))/2.5</f>
        <v>1186.1920000000002</v>
      </c>
      <c r="E470" s="944">
        <v>0</v>
      </c>
      <c r="F470" s="942">
        <v>100</v>
      </c>
      <c r="G470" s="1054">
        <f>D470*E470</f>
        <v>0</v>
      </c>
      <c r="H470" s="1053">
        <f t="shared" si="36"/>
        <v>118619.20000000003</v>
      </c>
      <c r="I470" s="1071">
        <f t="shared" si="33"/>
        <v>118619.20000000003</v>
      </c>
    </row>
    <row r="471" spans="1:11" s="675" customFormat="1" hidden="1" outlineLevel="1" x14ac:dyDescent="0.3">
      <c r="A471" s="642" t="s">
        <v>2672</v>
      </c>
      <c r="B471" s="1080" t="s">
        <v>1183</v>
      </c>
      <c r="C471" s="1025" t="s">
        <v>1184</v>
      </c>
      <c r="D471" s="941">
        <f>D473+D475+D477</f>
        <v>5471.99</v>
      </c>
      <c r="E471" s="944">
        <v>140</v>
      </c>
      <c r="F471" s="942">
        <f>PRODUCT(H471,1/D471)</f>
        <v>53.056118889106159</v>
      </c>
      <c r="G471" s="1054">
        <f>D471*E471</f>
        <v>766078.6</v>
      </c>
      <c r="H471" s="1053">
        <f>SUM(H472:H478)</f>
        <v>290322.55200000003</v>
      </c>
      <c r="I471" s="1071">
        <f>G471+H471</f>
        <v>1056401.152</v>
      </c>
      <c r="K471" s="676"/>
    </row>
    <row r="472" spans="1:11" s="631" customFormat="1" hidden="1" outlineLevel="1" x14ac:dyDescent="0.3">
      <c r="A472" s="642"/>
      <c r="B472" s="1177" t="s">
        <v>1844</v>
      </c>
      <c r="C472" s="941" t="s">
        <v>1845</v>
      </c>
      <c r="D472" s="943">
        <f>PRODUCT(D471,0.075,1/10)</f>
        <v>41.039925000000004</v>
      </c>
      <c r="E472" s="944"/>
      <c r="F472" s="1184">
        <v>640</v>
      </c>
      <c r="G472" s="1054"/>
      <c r="H472" s="1053">
        <f>PRODUCT(D472,F472)</f>
        <v>26265.552000000003</v>
      </c>
      <c r="I472" s="1071">
        <f t="shared" ref="I472:I482" si="37">G472+H472</f>
        <v>26265.552000000003</v>
      </c>
    </row>
    <row r="473" spans="1:11" s="631" customFormat="1" hidden="1" outlineLevel="1" x14ac:dyDescent="0.3">
      <c r="A473" s="642"/>
      <c r="B473" s="1080" t="s">
        <v>1186</v>
      </c>
      <c r="C473" s="1025" t="s">
        <v>1184</v>
      </c>
      <c r="D473" s="941">
        <f>49.59+215.34+102.14+163.79+15.62+9.46+6.19+61.04+54.38+234.94+29.52+225.94+21.8+21.8</f>
        <v>1211.55</v>
      </c>
      <c r="E473" s="944"/>
      <c r="F473" s="1185"/>
      <c r="G473" s="1054"/>
      <c r="H473" s="1053"/>
      <c r="I473" s="1071">
        <f t="shared" si="37"/>
        <v>0</v>
      </c>
    </row>
    <row r="474" spans="1:11" s="631" customFormat="1" hidden="1" outlineLevel="1" x14ac:dyDescent="0.3">
      <c r="A474" s="642"/>
      <c r="B474" s="1186" t="s">
        <v>1846</v>
      </c>
      <c r="C474" s="941" t="s">
        <v>44</v>
      </c>
      <c r="D474" s="1025">
        <f>ROUND((0.4*D473)/25,0)</f>
        <v>19</v>
      </c>
      <c r="E474" s="944"/>
      <c r="F474" s="1178">
        <v>3175</v>
      </c>
      <c r="G474" s="1054"/>
      <c r="H474" s="1053">
        <f>PRODUCT(D474,F474)</f>
        <v>60325</v>
      </c>
      <c r="I474" s="1071">
        <f>G474+H474</f>
        <v>60325</v>
      </c>
    </row>
    <row r="475" spans="1:11" s="631" customFormat="1" hidden="1" outlineLevel="1" x14ac:dyDescent="0.3">
      <c r="A475" s="642"/>
      <c r="B475" s="1079" t="s">
        <v>1187</v>
      </c>
      <c r="C475" s="1025" t="s">
        <v>1184</v>
      </c>
      <c r="D475" s="941">
        <f>501.34+733.6+201.08+18.53+130.66+26.87+41.77+321.31+276.11+55.39+42.16+577.95+251.92+471.5+97.25+63.46+280.65</f>
        <v>4091.5499999999997</v>
      </c>
      <c r="E475" s="944"/>
      <c r="F475" s="1178"/>
      <c r="G475" s="1054"/>
      <c r="H475" s="1053"/>
      <c r="I475" s="1071">
        <f t="shared" si="37"/>
        <v>0</v>
      </c>
    </row>
    <row r="476" spans="1:11" s="631" customFormat="1" hidden="1" outlineLevel="1" x14ac:dyDescent="0.3">
      <c r="A476" s="642"/>
      <c r="B476" s="1186" t="s">
        <v>1847</v>
      </c>
      <c r="C476" s="941" t="s">
        <v>44</v>
      </c>
      <c r="D476" s="1025">
        <f>ROUND((0.4*D475)/25,0)</f>
        <v>65</v>
      </c>
      <c r="E476" s="944"/>
      <c r="F476" s="1178">
        <v>2782</v>
      </c>
      <c r="G476" s="1054"/>
      <c r="H476" s="1053">
        <f>PRODUCT(D476,F476)</f>
        <v>180830</v>
      </c>
      <c r="I476" s="1071">
        <f t="shared" si="37"/>
        <v>180830</v>
      </c>
    </row>
    <row r="477" spans="1:11" s="631" customFormat="1" hidden="1" outlineLevel="1" x14ac:dyDescent="0.3">
      <c r="A477" s="642"/>
      <c r="B477" s="1079" t="s">
        <v>1188</v>
      </c>
      <c r="C477" s="941" t="s">
        <v>74</v>
      </c>
      <c r="D477" s="1025">
        <f>148.85+20.04</f>
        <v>168.89</v>
      </c>
      <c r="E477" s="944"/>
      <c r="F477" s="1178"/>
      <c r="G477" s="1054"/>
      <c r="H477" s="1053"/>
      <c r="I477" s="1071">
        <f t="shared" si="37"/>
        <v>0</v>
      </c>
    </row>
    <row r="478" spans="1:11" s="631" customFormat="1" hidden="1" outlineLevel="1" x14ac:dyDescent="0.3">
      <c r="A478" s="642"/>
      <c r="B478" s="1186" t="s">
        <v>1848</v>
      </c>
      <c r="C478" s="941" t="s">
        <v>44</v>
      </c>
      <c r="D478" s="1025">
        <f>ROUND((0.4*D477)/25,0)</f>
        <v>3</v>
      </c>
      <c r="E478" s="944"/>
      <c r="F478" s="1178">
        <v>7634</v>
      </c>
      <c r="G478" s="1187"/>
      <c r="H478" s="1053">
        <f>PRODUCT(D478,F478)</f>
        <v>22902</v>
      </c>
      <c r="I478" s="1071">
        <f t="shared" si="37"/>
        <v>22902</v>
      </c>
    </row>
    <row r="479" spans="1:11" hidden="1" outlineLevel="1" x14ac:dyDescent="0.3">
      <c r="A479" s="39" t="s">
        <v>2673</v>
      </c>
      <c r="B479" s="175" t="s">
        <v>1155</v>
      </c>
      <c r="C479" s="176" t="s">
        <v>44</v>
      </c>
      <c r="D479" s="92">
        <v>246</v>
      </c>
      <c r="E479" s="163">
        <v>290</v>
      </c>
      <c r="F479" s="108"/>
      <c r="G479" s="1068">
        <f>D479*E479</f>
        <v>71340</v>
      </c>
      <c r="H479" s="1068">
        <f t="shared" ref="H479:H482" si="38">D479*F479</f>
        <v>0</v>
      </c>
      <c r="I479" s="1068">
        <f t="shared" si="37"/>
        <v>71340</v>
      </c>
    </row>
    <row r="480" spans="1:11" hidden="1" outlineLevel="1" x14ac:dyDescent="0.3">
      <c r="A480" s="39" t="s">
        <v>2674</v>
      </c>
      <c r="B480" s="1188" t="s">
        <v>739</v>
      </c>
      <c r="C480" s="176" t="s">
        <v>62</v>
      </c>
      <c r="D480" s="42">
        <f>1.61*2*123/1000</f>
        <v>0.39606000000000002</v>
      </c>
      <c r="E480" s="163"/>
      <c r="F480" s="133">
        <v>106477.049</v>
      </c>
      <c r="G480" s="1068"/>
      <c r="H480" s="1068">
        <f t="shared" si="38"/>
        <v>42171.30002694</v>
      </c>
      <c r="I480" s="1068">
        <f t="shared" si="37"/>
        <v>42171.30002694</v>
      </c>
    </row>
    <row r="481" spans="1:9" hidden="1" outlineLevel="1" x14ac:dyDescent="0.3">
      <c r="A481" s="39" t="s">
        <v>2675</v>
      </c>
      <c r="B481" s="1188" t="s">
        <v>740</v>
      </c>
      <c r="C481" s="176" t="s">
        <v>62</v>
      </c>
      <c r="D481" s="42">
        <f>2.81*2*123/1000</f>
        <v>0.69125999999999999</v>
      </c>
      <c r="E481" s="163"/>
      <c r="F481" s="133">
        <v>106477.049</v>
      </c>
      <c r="G481" s="1068"/>
      <c r="H481" s="1068">
        <f t="shared" si="38"/>
        <v>73603.324891739991</v>
      </c>
      <c r="I481" s="1068">
        <f t="shared" si="37"/>
        <v>73603.324891739991</v>
      </c>
    </row>
    <row r="482" spans="1:9" hidden="1" outlineLevel="1" x14ac:dyDescent="0.3">
      <c r="A482" s="39" t="s">
        <v>2676</v>
      </c>
      <c r="B482" s="1188" t="s">
        <v>741</v>
      </c>
      <c r="C482" s="176" t="s">
        <v>62</v>
      </c>
      <c r="D482" s="42">
        <f>0.38*2*123/1000</f>
        <v>9.3480000000000008E-2</v>
      </c>
      <c r="E482" s="163"/>
      <c r="F482" s="133">
        <v>106477.049</v>
      </c>
      <c r="G482" s="1068"/>
      <c r="H482" s="1068">
        <f t="shared" si="38"/>
        <v>9953.474540520001</v>
      </c>
      <c r="I482" s="1068">
        <f t="shared" si="37"/>
        <v>9953.474540520001</v>
      </c>
    </row>
    <row r="483" spans="1:9" hidden="1" outlineLevel="1" x14ac:dyDescent="0.3">
      <c r="A483" s="39" t="s">
        <v>2677</v>
      </c>
      <c r="B483" s="1188" t="s">
        <v>749</v>
      </c>
      <c r="C483" s="176" t="s">
        <v>44</v>
      </c>
      <c r="D483" s="92">
        <f>8*123</f>
        <v>984</v>
      </c>
      <c r="E483" s="163"/>
      <c r="F483" s="108">
        <v>11.9</v>
      </c>
      <c r="G483" s="1068"/>
      <c r="H483" s="1068">
        <f>D483*F483</f>
        <v>11709.6</v>
      </c>
      <c r="I483" s="1068">
        <f>G483+H483</f>
        <v>11709.6</v>
      </c>
    </row>
    <row r="484" spans="1:9" collapsed="1" x14ac:dyDescent="0.3">
      <c r="A484" s="635" t="s">
        <v>851</v>
      </c>
      <c r="B484" s="636" t="s">
        <v>2585</v>
      </c>
      <c r="C484" s="637"/>
      <c r="D484" s="638"/>
      <c r="E484" s="1175"/>
      <c r="F484" s="1176"/>
      <c r="G484" s="1069">
        <f>SUM(G485:G498)</f>
        <v>448696.5675</v>
      </c>
      <c r="H484" s="1069">
        <f t="shared" ref="H484:I484" si="39">SUM(H485:H498)</f>
        <v>1387735.3791034</v>
      </c>
      <c r="I484" s="1069">
        <f t="shared" si="39"/>
        <v>1836431.9466033999</v>
      </c>
    </row>
    <row r="485" spans="1:9" hidden="1" outlineLevel="1" x14ac:dyDescent="0.3">
      <c r="A485" s="39" t="s">
        <v>2678</v>
      </c>
      <c r="B485" s="175" t="s">
        <v>1139</v>
      </c>
      <c r="C485" s="176" t="s">
        <v>44</v>
      </c>
      <c r="D485" s="92">
        <f>8+9+9*22</f>
        <v>215</v>
      </c>
      <c r="E485" s="163">
        <v>500</v>
      </c>
      <c r="F485" s="108"/>
      <c r="G485" s="1068"/>
      <c r="H485" s="1068">
        <f>D485*E485</f>
        <v>107500</v>
      </c>
      <c r="I485" s="1068">
        <f t="shared" ref="I485" si="40">G485+H485</f>
        <v>107500</v>
      </c>
    </row>
    <row r="486" spans="1:9" hidden="1" outlineLevel="1" x14ac:dyDescent="0.3">
      <c r="A486" s="39" t="s">
        <v>2679</v>
      </c>
      <c r="B486" s="1188" t="s">
        <v>748</v>
      </c>
      <c r="C486" s="176" t="s">
        <v>44</v>
      </c>
      <c r="D486" s="92">
        <f>8*215</f>
        <v>1720</v>
      </c>
      <c r="E486" s="163"/>
      <c r="F486" s="108">
        <v>11.327999999999999</v>
      </c>
      <c r="G486" s="1068"/>
      <c r="H486" s="1068">
        <f>D486*F486</f>
        <v>19484.16</v>
      </c>
      <c r="I486" s="1068">
        <f>G486+H486</f>
        <v>19484.16</v>
      </c>
    </row>
    <row r="487" spans="1:9" hidden="1" outlineLevel="1" x14ac:dyDescent="0.3">
      <c r="A487" s="39" t="s">
        <v>2680</v>
      </c>
      <c r="B487" s="175" t="s">
        <v>1141</v>
      </c>
      <c r="C487" s="176" t="s">
        <v>44</v>
      </c>
      <c r="D487" s="92">
        <f>215</f>
        <v>215</v>
      </c>
      <c r="E487" s="163">
        <f>SUM(-F487,3000)</f>
        <v>1506.9607790697676</v>
      </c>
      <c r="F487" s="108">
        <f>PRODUCT(H487,1/D487)</f>
        <v>1493.0392209302324</v>
      </c>
      <c r="G487" s="1068">
        <f>PRODUCT(D487:E487)</f>
        <v>323996.5675</v>
      </c>
      <c r="H487" s="1068">
        <f>SUM(H488:H493)</f>
        <v>321003.4325</v>
      </c>
      <c r="I487" s="1068">
        <f>SUM(G487:H487)</f>
        <v>645000</v>
      </c>
    </row>
    <row r="488" spans="1:9" hidden="1" outlineLevel="1" x14ac:dyDescent="0.3">
      <c r="A488" s="39" t="s">
        <v>2681</v>
      </c>
      <c r="B488" s="1188" t="s">
        <v>743</v>
      </c>
      <c r="C488" s="176" t="s">
        <v>62</v>
      </c>
      <c r="D488" s="42">
        <f>1.82*215/1000</f>
        <v>0.39130000000000004</v>
      </c>
      <c r="E488" s="163"/>
      <c r="F488" s="108">
        <v>50575</v>
      </c>
      <c r="G488" s="1068"/>
      <c r="H488" s="1068">
        <f t="shared" ref="H488:H493" si="41">D488*F488</f>
        <v>19789.997500000001</v>
      </c>
      <c r="I488" s="1068">
        <f t="shared" ref="I488:I498" si="42">G488+H488</f>
        <v>19789.997500000001</v>
      </c>
    </row>
    <row r="489" spans="1:9" hidden="1" outlineLevel="1" x14ac:dyDescent="0.3">
      <c r="A489" s="39" t="s">
        <v>2682</v>
      </c>
      <c r="B489" s="1188" t="s">
        <v>290</v>
      </c>
      <c r="C489" s="176" t="s">
        <v>62</v>
      </c>
      <c r="D489" s="42">
        <f>5.92*215/1000</f>
        <v>1.2727999999999999</v>
      </c>
      <c r="E489" s="163"/>
      <c r="F489" s="108">
        <v>46200</v>
      </c>
      <c r="G489" s="1068"/>
      <c r="H489" s="1068">
        <f t="shared" si="41"/>
        <v>58803.359999999993</v>
      </c>
      <c r="I489" s="1068">
        <f t="shared" si="42"/>
        <v>58803.359999999993</v>
      </c>
    </row>
    <row r="490" spans="1:9" hidden="1" outlineLevel="1" x14ac:dyDescent="0.3">
      <c r="A490" s="39" t="s">
        <v>2683</v>
      </c>
      <c r="B490" s="1188" t="s">
        <v>744</v>
      </c>
      <c r="C490" s="176" t="s">
        <v>62</v>
      </c>
      <c r="D490" s="42">
        <f>(1.73+1.73)*215/1000</f>
        <v>0.74390000000000001</v>
      </c>
      <c r="E490" s="163"/>
      <c r="F490" s="108">
        <v>43200</v>
      </c>
      <c r="G490" s="1068"/>
      <c r="H490" s="1068">
        <f t="shared" si="41"/>
        <v>32136.48</v>
      </c>
      <c r="I490" s="1068">
        <f t="shared" si="42"/>
        <v>32136.48</v>
      </c>
    </row>
    <row r="491" spans="1:9" hidden="1" outlineLevel="1" x14ac:dyDescent="0.3">
      <c r="A491" s="39" t="s">
        <v>2684</v>
      </c>
      <c r="B491" s="1188" t="s">
        <v>745</v>
      </c>
      <c r="C491" s="176" t="s">
        <v>62</v>
      </c>
      <c r="D491" s="42">
        <f>(1.9+1.9+1.14+1.38+3.99)*215/1000</f>
        <v>2.2166499999999996</v>
      </c>
      <c r="E491" s="163"/>
      <c r="F491" s="108">
        <v>47500</v>
      </c>
      <c r="G491" s="1068"/>
      <c r="H491" s="1068">
        <f t="shared" si="41"/>
        <v>105290.87499999999</v>
      </c>
      <c r="I491" s="1068">
        <f t="shared" si="42"/>
        <v>105290.87499999999</v>
      </c>
    </row>
    <row r="492" spans="1:9" hidden="1" outlineLevel="1" x14ac:dyDescent="0.3">
      <c r="A492" s="39" t="s">
        <v>2685</v>
      </c>
      <c r="B492" s="1188" t="s">
        <v>746</v>
      </c>
      <c r="C492" s="176" t="s">
        <v>74</v>
      </c>
      <c r="D492" s="42">
        <f>1.6*7.85</f>
        <v>12.56</v>
      </c>
      <c r="E492" s="163"/>
      <c r="F492" s="108">
        <v>5962</v>
      </c>
      <c r="G492" s="1068"/>
      <c r="H492" s="1068">
        <f t="shared" si="41"/>
        <v>74882.720000000001</v>
      </c>
      <c r="I492" s="1068">
        <f t="shared" si="42"/>
        <v>74882.720000000001</v>
      </c>
    </row>
    <row r="493" spans="1:9" hidden="1" outlineLevel="1" x14ac:dyDescent="0.3">
      <c r="A493" s="39" t="s">
        <v>2686</v>
      </c>
      <c r="B493" s="1188" t="s">
        <v>747</v>
      </c>
      <c r="C493" s="176" t="s">
        <v>44</v>
      </c>
      <c r="D493" s="92">
        <f>2*215</f>
        <v>430</v>
      </c>
      <c r="E493" s="163"/>
      <c r="F493" s="108">
        <v>70</v>
      </c>
      <c r="G493" s="1068"/>
      <c r="H493" s="1068">
        <f t="shared" si="41"/>
        <v>30100</v>
      </c>
      <c r="I493" s="1068">
        <f t="shared" si="42"/>
        <v>30100</v>
      </c>
    </row>
    <row r="494" spans="1:9" hidden="1" outlineLevel="1" x14ac:dyDescent="0.3">
      <c r="A494" s="39" t="s">
        <v>2687</v>
      </c>
      <c r="B494" s="175" t="s">
        <v>752</v>
      </c>
      <c r="C494" s="176" t="s">
        <v>44</v>
      </c>
      <c r="D494" s="92">
        <f>2*D485</f>
        <v>430</v>
      </c>
      <c r="E494" s="163">
        <v>290</v>
      </c>
      <c r="F494" s="108"/>
      <c r="G494" s="1068">
        <f>D494*E494</f>
        <v>124700</v>
      </c>
      <c r="H494" s="1068">
        <f>SUM(H495:H498)</f>
        <v>309372.17705170001</v>
      </c>
      <c r="I494" s="1068">
        <f t="shared" si="42"/>
        <v>434072.17705170001</v>
      </c>
    </row>
    <row r="495" spans="1:9" hidden="1" outlineLevel="1" x14ac:dyDescent="0.3">
      <c r="A495" s="39" t="s">
        <v>2688</v>
      </c>
      <c r="B495" s="1188" t="s">
        <v>739</v>
      </c>
      <c r="C495" s="176" t="s">
        <v>62</v>
      </c>
      <c r="D495" s="42">
        <f>1.61*2*215/1000</f>
        <v>0.69230000000000003</v>
      </c>
      <c r="E495" s="163"/>
      <c r="F495" s="133">
        <v>106477.049</v>
      </c>
      <c r="G495" s="1068"/>
      <c r="H495" s="1068">
        <f>D495*F495</f>
        <v>73714.0610227</v>
      </c>
      <c r="I495" s="1068">
        <f t="shared" si="42"/>
        <v>73714.0610227</v>
      </c>
    </row>
    <row r="496" spans="1:9" hidden="1" outlineLevel="1" x14ac:dyDescent="0.3">
      <c r="A496" s="39" t="s">
        <v>2689</v>
      </c>
      <c r="B496" s="1188" t="s">
        <v>753</v>
      </c>
      <c r="C496" s="176" t="s">
        <v>62</v>
      </c>
      <c r="D496" s="42">
        <f>4.32*2*215/1000</f>
        <v>1.8576000000000001</v>
      </c>
      <c r="E496" s="163"/>
      <c r="F496" s="133">
        <v>106477.049</v>
      </c>
      <c r="G496" s="1068"/>
      <c r="H496" s="1068">
        <f>D496*F496</f>
        <v>197791.76622240001</v>
      </c>
      <c r="I496" s="1068">
        <f t="shared" si="42"/>
        <v>197791.76622240001</v>
      </c>
    </row>
    <row r="497" spans="1:10" hidden="1" outlineLevel="1" x14ac:dyDescent="0.3">
      <c r="A497" s="39" t="s">
        <v>2690</v>
      </c>
      <c r="B497" s="1188" t="s">
        <v>741</v>
      </c>
      <c r="C497" s="176" t="s">
        <v>62</v>
      </c>
      <c r="D497" s="42">
        <f>0.38*2*215/1000</f>
        <v>0.16340000000000002</v>
      </c>
      <c r="E497" s="163"/>
      <c r="F497" s="133">
        <v>106477.049</v>
      </c>
      <c r="G497" s="1068"/>
      <c r="H497" s="1068">
        <f>D497*F497</f>
        <v>17398.349806600003</v>
      </c>
      <c r="I497" s="1068">
        <f t="shared" si="42"/>
        <v>17398.349806600003</v>
      </c>
    </row>
    <row r="498" spans="1:10" hidden="1" outlineLevel="1" x14ac:dyDescent="0.3">
      <c r="A498" s="39" t="s">
        <v>2691</v>
      </c>
      <c r="B498" s="1188" t="s">
        <v>749</v>
      </c>
      <c r="C498" s="176" t="s">
        <v>44</v>
      </c>
      <c r="D498" s="92">
        <f>8*215</f>
        <v>1720</v>
      </c>
      <c r="E498" s="163"/>
      <c r="F498" s="108">
        <v>11.9</v>
      </c>
      <c r="G498" s="1068"/>
      <c r="H498" s="1068">
        <f>D498*F498</f>
        <v>20468</v>
      </c>
      <c r="I498" s="1068">
        <f t="shared" si="42"/>
        <v>20468</v>
      </c>
    </row>
    <row r="499" spans="1:10" customFormat="1" collapsed="1" x14ac:dyDescent="0.3">
      <c r="A499" s="599" t="s">
        <v>555</v>
      </c>
      <c r="B499" s="324" t="s">
        <v>2583</v>
      </c>
      <c r="C499" s="323" t="s">
        <v>74</v>
      </c>
      <c r="D499" s="325">
        <f>D500+D501</f>
        <v>1818.3054</v>
      </c>
      <c r="E499" s="1189"/>
      <c r="F499" s="1190"/>
      <c r="G499" s="1073">
        <f>SUM(G500:G501)</f>
        <v>3259914.3400000003</v>
      </c>
      <c r="H499" s="1073">
        <f t="shared" ref="H499:I499" si="43">SUM(H500:H501)</f>
        <v>11182578.210000001</v>
      </c>
      <c r="I499" s="1073">
        <f t="shared" si="43"/>
        <v>14442492.550000001</v>
      </c>
    </row>
    <row r="500" spans="1:10" s="950" customFormat="1" ht="30.05" hidden="1" customHeight="1" outlineLevel="1" x14ac:dyDescent="0.3">
      <c r="A500" s="905" t="s">
        <v>556</v>
      </c>
      <c r="B500" s="945" t="s">
        <v>2572</v>
      </c>
      <c r="C500" s="946" t="s">
        <v>74</v>
      </c>
      <c r="D500" s="1028">
        <f>3.3*72.04*1+1.09*72.04*2+3.73*69.18*1+1.09*69.18*4+3.845*69.18*1+1.09*69.18*1+3.305*69.18*2</f>
        <v>1753.1285</v>
      </c>
      <c r="E500" s="947">
        <v>1800</v>
      </c>
      <c r="F500" s="948">
        <v>6150</v>
      </c>
      <c r="G500" s="1055">
        <f>D500*E500</f>
        <v>3155631.3000000003</v>
      </c>
      <c r="H500" s="1055">
        <f>D500*F500</f>
        <v>10781740.275</v>
      </c>
      <c r="I500" s="1055">
        <f>G500+H500</f>
        <v>13937371.575000001</v>
      </c>
    </row>
    <row r="501" spans="1:10" s="950" customFormat="1" hidden="1" outlineLevel="1" x14ac:dyDescent="0.3">
      <c r="A501" s="905" t="s">
        <v>573</v>
      </c>
      <c r="B501" s="945" t="s">
        <v>419</v>
      </c>
      <c r="C501" s="946" t="s">
        <v>74</v>
      </c>
      <c r="D501" s="1028">
        <f>5.59*2.59*1+1.925*2.59*1+2.29*2.74*2+2.5*2.74*1+5.59*2.59*1+1.925*2.59*1+2.5*2.74*1</f>
        <v>65.176899999999989</v>
      </c>
      <c r="E501" s="947">
        <v>1600</v>
      </c>
      <c r="F501" s="948">
        <v>6150</v>
      </c>
      <c r="G501" s="1056">
        <f>D501*E501</f>
        <v>104283.03999999998</v>
      </c>
      <c r="H501" s="1056">
        <f>D501*F501</f>
        <v>400837.93499999994</v>
      </c>
      <c r="I501" s="1056">
        <f>G501+H501</f>
        <v>505120.97499999992</v>
      </c>
    </row>
    <row r="502" spans="1:10" s="950" customFormat="1" collapsed="1" x14ac:dyDescent="0.3">
      <c r="A502" s="599" t="s">
        <v>730</v>
      </c>
      <c r="B502" s="324" t="s">
        <v>2584</v>
      </c>
      <c r="C502" s="323" t="s">
        <v>74</v>
      </c>
      <c r="D502" s="325">
        <f>D503+D519+D529</f>
        <v>2999.8112000000001</v>
      </c>
      <c r="E502" s="1189"/>
      <c r="F502" s="1190"/>
      <c r="G502" s="1073">
        <f>SUM(G503:G554)</f>
        <v>1366968.2560000001</v>
      </c>
      <c r="H502" s="1073">
        <f t="shared" ref="H502" si="44">SUM(H503:H554)</f>
        <v>9385952.0359540004</v>
      </c>
      <c r="I502" s="1073">
        <f>SUM(I503:I554)</f>
        <v>10752920.291954001</v>
      </c>
    </row>
    <row r="503" spans="1:10" s="950" customFormat="1" hidden="1" outlineLevel="1" x14ac:dyDescent="0.3">
      <c r="A503" s="905" t="s">
        <v>2692</v>
      </c>
      <c r="B503" s="951" t="s">
        <v>420</v>
      </c>
      <c r="C503" s="946" t="s">
        <v>74</v>
      </c>
      <c r="D503" s="1028">
        <f>1.52*0.9*138+1.52*1.3*69+1.77*1.3*161+1.77*1.5*207+1.56*0.9*1+1.81*1.5*10+1.81*1.3*7+1.95*1.2*2+0.8*0.8*8</f>
        <v>1299.999</v>
      </c>
      <c r="E503" s="947">
        <v>380</v>
      </c>
      <c r="F503" s="948"/>
      <c r="G503" s="1056">
        <f t="shared" ref="G503:G549" si="45">D503*E503</f>
        <v>493999.62</v>
      </c>
      <c r="H503" s="1056">
        <f t="shared" ref="H503:H549" si="46">D503*F503</f>
        <v>0</v>
      </c>
      <c r="I503" s="1056">
        <f t="shared" ref="I503:I549" si="47">G503+H503</f>
        <v>493999.62</v>
      </c>
      <c r="J503" s="950" t="s">
        <v>2507</v>
      </c>
    </row>
    <row r="504" spans="1:10" customFormat="1" hidden="1" outlineLevel="1" x14ac:dyDescent="0.3">
      <c r="A504" s="905" t="s">
        <v>2693</v>
      </c>
      <c r="B504" s="951" t="s">
        <v>2509</v>
      </c>
      <c r="C504" s="946" t="s">
        <v>74</v>
      </c>
      <c r="D504" s="1028">
        <f>138*1.44*0.9</f>
        <v>178.84800000000001</v>
      </c>
      <c r="E504" s="947"/>
      <c r="F504" s="1191">
        <v>2073.98</v>
      </c>
      <c r="G504" s="1056">
        <f t="shared" si="45"/>
        <v>0</v>
      </c>
      <c r="H504" s="1056">
        <f t="shared" si="46"/>
        <v>370927.17504</v>
      </c>
      <c r="I504" s="1056">
        <f t="shared" si="47"/>
        <v>370927.17504</v>
      </c>
    </row>
    <row r="505" spans="1:10" customFormat="1" hidden="1" outlineLevel="1" x14ac:dyDescent="0.3">
      <c r="A505" s="905" t="s">
        <v>2694</v>
      </c>
      <c r="B505" s="951" t="s">
        <v>2511</v>
      </c>
      <c r="C505" s="946" t="s">
        <v>74</v>
      </c>
      <c r="D505" s="1028">
        <f>69*1.44*1.3</f>
        <v>129.16800000000001</v>
      </c>
      <c r="E505" s="953"/>
      <c r="F505" s="1191">
        <v>1966.94</v>
      </c>
      <c r="G505" s="1056">
        <f t="shared" si="45"/>
        <v>0</v>
      </c>
      <c r="H505" s="1056">
        <f t="shared" si="46"/>
        <v>254065.70592000001</v>
      </c>
      <c r="I505" s="1056">
        <f t="shared" si="47"/>
        <v>254065.70592000001</v>
      </c>
    </row>
    <row r="506" spans="1:10" customFormat="1" hidden="1" outlineLevel="1" x14ac:dyDescent="0.3">
      <c r="A506" s="905" t="s">
        <v>2695</v>
      </c>
      <c r="B506" s="951" t="s">
        <v>2513</v>
      </c>
      <c r="C506" s="946" t="s">
        <v>74</v>
      </c>
      <c r="D506" s="1028">
        <f>161*1.25*1.69</f>
        <v>340.11250000000001</v>
      </c>
      <c r="E506" s="953"/>
      <c r="F506" s="1191">
        <v>3797.55</v>
      </c>
      <c r="G506" s="1056">
        <f t="shared" si="45"/>
        <v>0</v>
      </c>
      <c r="H506" s="1056">
        <f t="shared" si="46"/>
        <v>1291594.224375</v>
      </c>
      <c r="I506" s="1056">
        <f t="shared" si="47"/>
        <v>1291594.224375</v>
      </c>
    </row>
    <row r="507" spans="1:10" customFormat="1" hidden="1" outlineLevel="1" x14ac:dyDescent="0.3">
      <c r="A507" s="905" t="s">
        <v>2696</v>
      </c>
      <c r="B507" s="951" t="s">
        <v>2515</v>
      </c>
      <c r="C507" s="946" t="s">
        <v>74</v>
      </c>
      <c r="D507" s="1028">
        <f>207*1.45*1.69</f>
        <v>507.25349999999992</v>
      </c>
      <c r="E507" s="953"/>
      <c r="F507" s="1191">
        <v>3608.68</v>
      </c>
      <c r="G507" s="1056">
        <f t="shared" si="45"/>
        <v>0</v>
      </c>
      <c r="H507" s="1056">
        <f t="shared" si="46"/>
        <v>1830515.5603799997</v>
      </c>
      <c r="I507" s="1056">
        <f t="shared" si="47"/>
        <v>1830515.5603799997</v>
      </c>
    </row>
    <row r="508" spans="1:10" customFormat="1" hidden="1" outlineLevel="1" x14ac:dyDescent="0.3">
      <c r="A508" s="905" t="s">
        <v>2697</v>
      </c>
      <c r="B508" s="951" t="s">
        <v>2517</v>
      </c>
      <c r="C508" s="946" t="s">
        <v>74</v>
      </c>
      <c r="D508" s="1028">
        <f>1*0.9*1.48</f>
        <v>1.3320000000000001</v>
      </c>
      <c r="E508" s="953"/>
      <c r="F508" s="1191">
        <v>2031.4699999999998</v>
      </c>
      <c r="G508" s="1056">
        <f t="shared" si="45"/>
        <v>0</v>
      </c>
      <c r="H508" s="1056">
        <f t="shared" si="46"/>
        <v>2705.91804</v>
      </c>
      <c r="I508" s="1056">
        <f t="shared" si="47"/>
        <v>2705.91804</v>
      </c>
    </row>
    <row r="509" spans="1:10" customFormat="1" hidden="1" outlineLevel="1" x14ac:dyDescent="0.3">
      <c r="A509" s="905" t="s">
        <v>2698</v>
      </c>
      <c r="B509" s="951" t="s">
        <v>2519</v>
      </c>
      <c r="C509" s="946" t="s">
        <v>74</v>
      </c>
      <c r="D509" s="1028">
        <f>10*1.45*1.73</f>
        <v>25.085000000000001</v>
      </c>
      <c r="E509" s="947"/>
      <c r="F509" s="1192">
        <v>3649.81</v>
      </c>
      <c r="G509" s="1056">
        <f t="shared" si="45"/>
        <v>0</v>
      </c>
      <c r="H509" s="1056">
        <f t="shared" si="46"/>
        <v>91555.483850000004</v>
      </c>
      <c r="I509" s="1056">
        <f t="shared" si="47"/>
        <v>91555.483850000004</v>
      </c>
    </row>
    <row r="510" spans="1:10" customFormat="1" hidden="1" outlineLevel="1" x14ac:dyDescent="0.3">
      <c r="A510" s="905" t="s">
        <v>2699</v>
      </c>
      <c r="B510" s="951" t="s">
        <v>2521</v>
      </c>
      <c r="C510" s="946" t="s">
        <v>74</v>
      </c>
      <c r="D510" s="1028">
        <f>7*1.25*1.73</f>
        <v>15.137499999999999</v>
      </c>
      <c r="E510" s="947"/>
      <c r="F510" s="1192">
        <v>3868.11</v>
      </c>
      <c r="G510" s="1056">
        <f t="shared" si="45"/>
        <v>0</v>
      </c>
      <c r="H510" s="1056">
        <f t="shared" si="46"/>
        <v>58553.515124999998</v>
      </c>
      <c r="I510" s="1056">
        <f t="shared" si="47"/>
        <v>58553.515124999998</v>
      </c>
    </row>
    <row r="511" spans="1:10" customFormat="1" hidden="1" outlineLevel="1" x14ac:dyDescent="0.3">
      <c r="A511" s="905" t="s">
        <v>2700</v>
      </c>
      <c r="B511" s="951" t="s">
        <v>2522</v>
      </c>
      <c r="C511" s="946" t="s">
        <v>74</v>
      </c>
      <c r="D511" s="1028">
        <f>1*1.87*1.15</f>
        <v>2.1505000000000001</v>
      </c>
      <c r="E511" s="947"/>
      <c r="F511" s="948">
        <v>2650.81</v>
      </c>
      <c r="G511" s="1056">
        <f t="shared" si="45"/>
        <v>0</v>
      </c>
      <c r="H511" s="1056">
        <f t="shared" si="46"/>
        <v>5700.5669049999997</v>
      </c>
      <c r="I511" s="1056">
        <f t="shared" si="47"/>
        <v>5700.5669049999997</v>
      </c>
    </row>
    <row r="512" spans="1:10" customFormat="1" hidden="1" outlineLevel="1" x14ac:dyDescent="0.3">
      <c r="A512" s="905" t="s">
        <v>2701</v>
      </c>
      <c r="B512" s="951" t="s">
        <v>2522</v>
      </c>
      <c r="C512" s="946" t="s">
        <v>74</v>
      </c>
      <c r="D512" s="1028">
        <f>1*1.87*1.15</f>
        <v>2.1505000000000001</v>
      </c>
      <c r="E512" s="947"/>
      <c r="F512" s="948">
        <v>2650.81</v>
      </c>
      <c r="G512" s="1056">
        <f t="shared" si="45"/>
        <v>0</v>
      </c>
      <c r="H512" s="1056">
        <f t="shared" si="46"/>
        <v>5700.5669049999997</v>
      </c>
      <c r="I512" s="1056">
        <f t="shared" si="47"/>
        <v>5700.5669049999997</v>
      </c>
    </row>
    <row r="513" spans="1:9" customFormat="1" hidden="1" outlineLevel="1" x14ac:dyDescent="0.3">
      <c r="A513" s="905" t="s">
        <v>2702</v>
      </c>
      <c r="B513" s="951" t="s">
        <v>2523</v>
      </c>
      <c r="C513" s="946" t="s">
        <v>74</v>
      </c>
      <c r="D513" s="1028">
        <f>8*0.75*0.75</f>
        <v>4.5</v>
      </c>
      <c r="E513" s="947"/>
      <c r="F513" s="948">
        <v>2725.39</v>
      </c>
      <c r="G513" s="1056">
        <f t="shared" si="45"/>
        <v>0</v>
      </c>
      <c r="H513" s="1056">
        <f t="shared" si="46"/>
        <v>12264.254999999999</v>
      </c>
      <c r="I513" s="1056">
        <f t="shared" si="47"/>
        <v>12264.254999999999</v>
      </c>
    </row>
    <row r="514" spans="1:9" s="950" customFormat="1" hidden="1" outlineLevel="1" x14ac:dyDescent="0.3">
      <c r="A514" s="905" t="s">
        <v>2703</v>
      </c>
      <c r="B514" s="951" t="s">
        <v>462</v>
      </c>
      <c r="C514" s="946" t="s">
        <v>318</v>
      </c>
      <c r="D514" s="1028">
        <f>1*139+1.4*237+1.6*217</f>
        <v>818</v>
      </c>
      <c r="E514" s="947">
        <v>200</v>
      </c>
      <c r="F514" s="948"/>
      <c r="G514" s="1056">
        <f t="shared" si="45"/>
        <v>163600</v>
      </c>
      <c r="H514" s="1056">
        <f t="shared" si="46"/>
        <v>0</v>
      </c>
      <c r="I514" s="1056">
        <f t="shared" si="47"/>
        <v>163600</v>
      </c>
    </row>
    <row r="515" spans="1:9" customFormat="1" hidden="1" outlineLevel="1" x14ac:dyDescent="0.3">
      <c r="A515" s="905" t="s">
        <v>2704</v>
      </c>
      <c r="B515" s="951" t="s">
        <v>464</v>
      </c>
      <c r="C515" s="946" t="s">
        <v>318</v>
      </c>
      <c r="D515" s="1028">
        <f>138+1</f>
        <v>139</v>
      </c>
      <c r="E515" s="947"/>
      <c r="F515" s="948">
        <v>147</v>
      </c>
      <c r="G515" s="1056">
        <f t="shared" si="45"/>
        <v>0</v>
      </c>
      <c r="H515" s="1056">
        <f t="shared" si="46"/>
        <v>20433</v>
      </c>
      <c r="I515" s="1056">
        <f t="shared" si="47"/>
        <v>20433</v>
      </c>
    </row>
    <row r="516" spans="1:9" customFormat="1" hidden="1" outlineLevel="1" x14ac:dyDescent="0.3">
      <c r="A516" s="905" t="s">
        <v>2705</v>
      </c>
      <c r="B516" s="951" t="s">
        <v>466</v>
      </c>
      <c r="C516" s="946" t="s">
        <v>318</v>
      </c>
      <c r="D516" s="1028">
        <f>(69+161+7)*1.4</f>
        <v>331.79999999999995</v>
      </c>
      <c r="E516" s="947"/>
      <c r="F516" s="948">
        <v>147</v>
      </c>
      <c r="G516" s="1056">
        <f t="shared" si="45"/>
        <v>0</v>
      </c>
      <c r="H516" s="1056">
        <f t="shared" si="46"/>
        <v>48774.599999999991</v>
      </c>
      <c r="I516" s="1056">
        <f t="shared" si="47"/>
        <v>48774.599999999991</v>
      </c>
    </row>
    <row r="517" spans="1:9" customFormat="1" hidden="1" outlineLevel="1" x14ac:dyDescent="0.3">
      <c r="A517" s="905" t="s">
        <v>2706</v>
      </c>
      <c r="B517" s="951" t="s">
        <v>468</v>
      </c>
      <c r="C517" s="946" t="s">
        <v>318</v>
      </c>
      <c r="D517" s="1028">
        <f>(207+10)*1.6</f>
        <v>347.20000000000005</v>
      </c>
      <c r="E517" s="947"/>
      <c r="F517" s="948">
        <v>147</v>
      </c>
      <c r="G517" s="1056">
        <f t="shared" si="45"/>
        <v>0</v>
      </c>
      <c r="H517" s="1056">
        <f t="shared" si="46"/>
        <v>51038.400000000009</v>
      </c>
      <c r="I517" s="1056">
        <f t="shared" si="47"/>
        <v>51038.400000000009</v>
      </c>
    </row>
    <row r="518" spans="1:9" customFormat="1" hidden="1" outlineLevel="1" x14ac:dyDescent="0.3">
      <c r="A518" s="905" t="s">
        <v>2707</v>
      </c>
      <c r="B518" s="955" t="s">
        <v>459</v>
      </c>
      <c r="C518" s="956" t="s">
        <v>460</v>
      </c>
      <c r="D518" s="957">
        <f>ROUND(603*0.5,0)</f>
        <v>302</v>
      </c>
      <c r="E518" s="958"/>
      <c r="F518" s="959">
        <v>174</v>
      </c>
      <c r="G518" s="1056">
        <f t="shared" si="45"/>
        <v>0</v>
      </c>
      <c r="H518" s="1056">
        <f t="shared" si="46"/>
        <v>52548</v>
      </c>
      <c r="I518" s="1056">
        <f t="shared" si="47"/>
        <v>52548</v>
      </c>
    </row>
    <row r="519" spans="1:9" s="950" customFormat="1" hidden="1" outlineLevel="1" x14ac:dyDescent="0.3">
      <c r="A519" s="905" t="s">
        <v>2708</v>
      </c>
      <c r="B519" s="951" t="s">
        <v>469</v>
      </c>
      <c r="C519" s="946" t="s">
        <v>74</v>
      </c>
      <c r="D519" s="1028">
        <f>2.42*0.75*115+2.42*0.75*92+2.44*0.75*1</f>
        <v>377.53499999999997</v>
      </c>
      <c r="E519" s="947">
        <v>380</v>
      </c>
      <c r="F519" s="948"/>
      <c r="G519" s="1056">
        <f t="shared" si="45"/>
        <v>143463.29999999999</v>
      </c>
      <c r="H519" s="1056">
        <f t="shared" si="46"/>
        <v>0</v>
      </c>
      <c r="I519" s="1056">
        <f t="shared" si="47"/>
        <v>143463.29999999999</v>
      </c>
    </row>
    <row r="520" spans="1:9" customFormat="1" hidden="1" outlineLevel="1" x14ac:dyDescent="0.3">
      <c r="A520" s="905" t="s">
        <v>2709</v>
      </c>
      <c r="B520" s="951" t="s">
        <v>471</v>
      </c>
      <c r="C520" s="946" t="s">
        <v>74</v>
      </c>
      <c r="D520" s="1028">
        <f>115*2.42*0.75</f>
        <v>208.72500000000002</v>
      </c>
      <c r="E520" s="947"/>
      <c r="F520" s="948">
        <v>3228.65</v>
      </c>
      <c r="G520" s="1056">
        <f t="shared" si="45"/>
        <v>0</v>
      </c>
      <c r="H520" s="1056">
        <f t="shared" si="46"/>
        <v>673899.97125000006</v>
      </c>
      <c r="I520" s="1056">
        <f t="shared" si="47"/>
        <v>673899.97125000006</v>
      </c>
    </row>
    <row r="521" spans="1:9" customFormat="1" hidden="1" outlineLevel="1" x14ac:dyDescent="0.3">
      <c r="A521" s="905" t="s">
        <v>2710</v>
      </c>
      <c r="B521" s="951" t="s">
        <v>473</v>
      </c>
      <c r="C521" s="946" t="s">
        <v>74</v>
      </c>
      <c r="D521" s="1028">
        <f>92*2.42*0.75</f>
        <v>166.98</v>
      </c>
      <c r="E521" s="954"/>
      <c r="F521" s="948">
        <v>3228.65</v>
      </c>
      <c r="G521" s="1056">
        <f t="shared" si="45"/>
        <v>0</v>
      </c>
      <c r="H521" s="1056">
        <f t="shared" si="46"/>
        <v>539119.97699999996</v>
      </c>
      <c r="I521" s="1056">
        <f t="shared" si="47"/>
        <v>539119.97699999996</v>
      </c>
    </row>
    <row r="522" spans="1:9" customFormat="1" hidden="1" outlineLevel="1" x14ac:dyDescent="0.3">
      <c r="A522" s="905" t="s">
        <v>2711</v>
      </c>
      <c r="B522" s="951" t="s">
        <v>475</v>
      </c>
      <c r="C522" s="946" t="s">
        <v>74</v>
      </c>
      <c r="D522" s="1028">
        <f>1*2.44*0.75</f>
        <v>1.83</v>
      </c>
      <c r="E522" s="954"/>
      <c r="F522" s="948">
        <v>3162.43</v>
      </c>
      <c r="G522" s="1056">
        <f t="shared" si="45"/>
        <v>0</v>
      </c>
      <c r="H522" s="1056">
        <f t="shared" si="46"/>
        <v>5787.2469000000001</v>
      </c>
      <c r="I522" s="1056">
        <f t="shared" si="47"/>
        <v>5787.2469000000001</v>
      </c>
    </row>
    <row r="523" spans="1:9" customFormat="1" hidden="1" outlineLevel="1" x14ac:dyDescent="0.3">
      <c r="A523" s="1074" t="s">
        <v>2712</v>
      </c>
      <c r="B523" s="951" t="s">
        <v>2528</v>
      </c>
      <c r="C523" s="946"/>
      <c r="D523" s="1028"/>
      <c r="E523" s="954"/>
      <c r="F523" s="948"/>
      <c r="G523" s="1056">
        <f t="shared" si="45"/>
        <v>0</v>
      </c>
      <c r="H523" s="1056">
        <f t="shared" si="46"/>
        <v>0</v>
      </c>
      <c r="I523" s="1056">
        <f t="shared" si="47"/>
        <v>0</v>
      </c>
    </row>
    <row r="524" spans="1:9" customFormat="1" hidden="1" outlineLevel="1" x14ac:dyDescent="0.3">
      <c r="A524" s="905" t="s">
        <v>2713</v>
      </c>
      <c r="B524" s="951" t="s">
        <v>710</v>
      </c>
      <c r="C524" s="946" t="s">
        <v>62</v>
      </c>
      <c r="D524" s="1028">
        <f>(0.75*208*2)*3.05/1000</f>
        <v>0.95159999999999989</v>
      </c>
      <c r="E524" s="954"/>
      <c r="F524" s="948">
        <v>44100</v>
      </c>
      <c r="G524" s="1056">
        <f t="shared" si="45"/>
        <v>0</v>
      </c>
      <c r="H524" s="1056">
        <f t="shared" si="46"/>
        <v>41965.56</v>
      </c>
      <c r="I524" s="1056">
        <f t="shared" si="47"/>
        <v>41965.56</v>
      </c>
    </row>
    <row r="525" spans="1:9" customFormat="1" hidden="1" outlineLevel="1" x14ac:dyDescent="0.3">
      <c r="A525" s="905" t="s">
        <v>2714</v>
      </c>
      <c r="B525" s="951" t="s">
        <v>2531</v>
      </c>
      <c r="C525" s="946" t="s">
        <v>62</v>
      </c>
      <c r="D525" s="1028">
        <f>(0.3*4*208)*0.888/1000</f>
        <v>0.2216448</v>
      </c>
      <c r="E525" s="954"/>
      <c r="F525" s="948">
        <v>34400</v>
      </c>
      <c r="G525" s="1056">
        <f t="shared" si="45"/>
        <v>0</v>
      </c>
      <c r="H525" s="1056">
        <f t="shared" si="46"/>
        <v>7624.5811199999998</v>
      </c>
      <c r="I525" s="1056">
        <f t="shared" si="47"/>
        <v>7624.5811199999998</v>
      </c>
    </row>
    <row r="526" spans="1:9" customFormat="1" hidden="1" outlineLevel="1" x14ac:dyDescent="0.3">
      <c r="A526" s="905" t="s">
        <v>2715</v>
      </c>
      <c r="B526" s="951" t="s">
        <v>2533</v>
      </c>
      <c r="C526" s="946" t="s">
        <v>74</v>
      </c>
      <c r="D526" s="1028">
        <f>(0.315*0.75*208)*1.05</f>
        <v>51.597000000000001</v>
      </c>
      <c r="E526" s="954"/>
      <c r="F526" s="948">
        <v>263</v>
      </c>
      <c r="G526" s="1056">
        <f t="shared" si="45"/>
        <v>0</v>
      </c>
      <c r="H526" s="1056">
        <f t="shared" si="46"/>
        <v>13570.011</v>
      </c>
      <c r="I526" s="1056">
        <f t="shared" si="47"/>
        <v>13570.011</v>
      </c>
    </row>
    <row r="527" spans="1:9" customFormat="1" hidden="1" outlineLevel="1" x14ac:dyDescent="0.3">
      <c r="A527" s="905" t="s">
        <v>2716</v>
      </c>
      <c r="B527" s="951" t="s">
        <v>105</v>
      </c>
      <c r="C527" s="997" t="s">
        <v>34</v>
      </c>
      <c r="D527" s="1193">
        <f>0.135*0.75*208*0.15</f>
        <v>3.1590000000000003</v>
      </c>
      <c r="E527" s="948"/>
      <c r="F527" s="948">
        <v>4700</v>
      </c>
      <c r="G527" s="1056">
        <f t="shared" si="45"/>
        <v>0</v>
      </c>
      <c r="H527" s="1056">
        <f t="shared" si="46"/>
        <v>14847.300000000001</v>
      </c>
      <c r="I527" s="1056">
        <f t="shared" si="47"/>
        <v>14847.300000000001</v>
      </c>
    </row>
    <row r="528" spans="1:9" customFormat="1" hidden="1" outlineLevel="1" x14ac:dyDescent="0.3">
      <c r="A528" s="905" t="s">
        <v>2717</v>
      </c>
      <c r="B528" s="951" t="s">
        <v>106</v>
      </c>
      <c r="C528" s="997" t="s">
        <v>44</v>
      </c>
      <c r="D528" s="1194">
        <v>3</v>
      </c>
      <c r="E528" s="948"/>
      <c r="F528" s="948">
        <v>305</v>
      </c>
      <c r="G528" s="1056">
        <f t="shared" si="45"/>
        <v>0</v>
      </c>
      <c r="H528" s="1056">
        <f t="shared" si="46"/>
        <v>915</v>
      </c>
      <c r="I528" s="1056">
        <f t="shared" si="47"/>
        <v>915</v>
      </c>
    </row>
    <row r="529" spans="1:10" s="950" customFormat="1" hidden="1" outlineLevel="1" x14ac:dyDescent="0.3">
      <c r="A529" s="905" t="s">
        <v>2718</v>
      </c>
      <c r="B529" s="951" t="s">
        <v>476</v>
      </c>
      <c r="C529" s="946" t="s">
        <v>74</v>
      </c>
      <c r="D529" s="1028">
        <f>3.26*1.56*1+0.92*1.56*2+3.26*1.52*69+1.12*1.52*161+6.08*1.52*23+6.26*1.52*23+5.645*1.52*23+1.07*1.52*23+0.92*1.52*23</f>
        <v>1322.2772</v>
      </c>
      <c r="E529" s="954">
        <v>380</v>
      </c>
      <c r="F529" s="948"/>
      <c r="G529" s="1056">
        <f t="shared" si="45"/>
        <v>502465.33600000001</v>
      </c>
      <c r="H529" s="1056">
        <f t="shared" si="46"/>
        <v>0</v>
      </c>
      <c r="I529" s="1056">
        <f t="shared" si="47"/>
        <v>502465.33600000001</v>
      </c>
      <c r="J529" s="950" t="s">
        <v>2507</v>
      </c>
    </row>
    <row r="530" spans="1:10" customFormat="1" hidden="1" outlineLevel="1" x14ac:dyDescent="0.3">
      <c r="A530" s="905" t="s">
        <v>2719</v>
      </c>
      <c r="B530" s="951" t="s">
        <v>2538</v>
      </c>
      <c r="C530" s="946" t="s">
        <v>74</v>
      </c>
      <c r="D530" s="1028">
        <f>1*3.14*1.51</f>
        <v>4.7414000000000005</v>
      </c>
      <c r="E530" s="954"/>
      <c r="F530" s="1195">
        <v>2648.64</v>
      </c>
      <c r="G530" s="1056">
        <f t="shared" si="45"/>
        <v>0</v>
      </c>
      <c r="H530" s="1056">
        <f t="shared" si="46"/>
        <v>12558.261696000001</v>
      </c>
      <c r="I530" s="1056">
        <f t="shared" si="47"/>
        <v>12558.261696000001</v>
      </c>
    </row>
    <row r="531" spans="1:10" customFormat="1" hidden="1" outlineLevel="1" x14ac:dyDescent="0.3">
      <c r="A531" s="905" t="s">
        <v>2720</v>
      </c>
      <c r="B531" s="951" t="s">
        <v>2540</v>
      </c>
      <c r="C531" s="946" t="s">
        <v>74</v>
      </c>
      <c r="D531" s="1028">
        <f>2*0.92*1.51</f>
        <v>2.7784</v>
      </c>
      <c r="E531" s="954"/>
      <c r="F531" s="1195">
        <v>2422.7199999999998</v>
      </c>
      <c r="G531" s="1056">
        <f t="shared" si="45"/>
        <v>0</v>
      </c>
      <c r="H531" s="1056">
        <f t="shared" si="46"/>
        <v>6731.2852479999992</v>
      </c>
      <c r="I531" s="1056">
        <f t="shared" si="47"/>
        <v>6731.2852479999992</v>
      </c>
    </row>
    <row r="532" spans="1:10" customFormat="1" hidden="1" outlineLevel="1" x14ac:dyDescent="0.3">
      <c r="A532" s="905" t="s">
        <v>2721</v>
      </c>
      <c r="B532" s="951" t="s">
        <v>2542</v>
      </c>
      <c r="C532" s="946" t="s">
        <v>74</v>
      </c>
      <c r="D532" s="1028">
        <f>69*3.14*1.47</f>
        <v>318.49020000000002</v>
      </c>
      <c r="E532" s="954"/>
      <c r="F532" s="1195">
        <v>2688.62</v>
      </c>
      <c r="G532" s="1056">
        <f t="shared" si="45"/>
        <v>0</v>
      </c>
      <c r="H532" s="1056">
        <f t="shared" si="46"/>
        <v>856299.12152399996</v>
      </c>
      <c r="I532" s="1056">
        <f t="shared" si="47"/>
        <v>856299.12152399996</v>
      </c>
    </row>
    <row r="533" spans="1:10" customFormat="1" hidden="1" outlineLevel="1" x14ac:dyDescent="0.3">
      <c r="A533" s="905" t="s">
        <v>2722</v>
      </c>
      <c r="B533" s="951" t="s">
        <v>2544</v>
      </c>
      <c r="C533" s="946" t="s">
        <v>74</v>
      </c>
      <c r="D533" s="1028">
        <f>161*1.12*1.47</f>
        <v>265.07040000000001</v>
      </c>
      <c r="E533" s="947"/>
      <c r="F533" s="1195">
        <v>2312.7199999999998</v>
      </c>
      <c r="G533" s="1056">
        <f t="shared" si="45"/>
        <v>0</v>
      </c>
      <c r="H533" s="1056">
        <f t="shared" si="46"/>
        <v>613033.61548799998</v>
      </c>
      <c r="I533" s="1056">
        <f t="shared" si="47"/>
        <v>613033.61548799998</v>
      </c>
    </row>
    <row r="534" spans="1:10" customFormat="1" hidden="1" outlineLevel="1" x14ac:dyDescent="0.3">
      <c r="A534" s="905" t="s">
        <v>2723</v>
      </c>
      <c r="B534" s="951" t="s">
        <v>2546</v>
      </c>
      <c r="C534" s="946" t="s">
        <v>74</v>
      </c>
      <c r="D534" s="1028">
        <f>23*5.96*1.47</f>
        <v>201.50760000000002</v>
      </c>
      <c r="E534" s="947"/>
      <c r="F534" s="1195">
        <v>2397.61</v>
      </c>
      <c r="G534" s="1056">
        <f t="shared" si="45"/>
        <v>0</v>
      </c>
      <c r="H534" s="1056">
        <f t="shared" si="46"/>
        <v>483136.63683600008</v>
      </c>
      <c r="I534" s="1056">
        <f t="shared" si="47"/>
        <v>483136.63683600008</v>
      </c>
    </row>
    <row r="535" spans="1:10" customFormat="1" hidden="1" outlineLevel="1" x14ac:dyDescent="0.3">
      <c r="A535" s="905" t="s">
        <v>2724</v>
      </c>
      <c r="B535" s="951" t="s">
        <v>2548</v>
      </c>
      <c r="C535" s="946" t="s">
        <v>74</v>
      </c>
      <c r="D535" s="1028">
        <f>23*6.14*1.47</f>
        <v>207.5934</v>
      </c>
      <c r="E535" s="947"/>
      <c r="F535" s="1195">
        <v>2395.33</v>
      </c>
      <c r="G535" s="1056">
        <f t="shared" si="45"/>
        <v>0</v>
      </c>
      <c r="H535" s="1056">
        <f t="shared" si="46"/>
        <v>497254.69882200001</v>
      </c>
      <c r="I535" s="1056">
        <f t="shared" si="47"/>
        <v>497254.69882200001</v>
      </c>
    </row>
    <row r="536" spans="1:10" customFormat="1" hidden="1" outlineLevel="1" x14ac:dyDescent="0.3">
      <c r="A536" s="905" t="s">
        <v>2725</v>
      </c>
      <c r="B536" s="951" t="s">
        <v>2550</v>
      </c>
      <c r="C536" s="946" t="s">
        <v>74</v>
      </c>
      <c r="D536" s="1028">
        <f>23*5.525*1.47</f>
        <v>186.80025000000001</v>
      </c>
      <c r="E536" s="947"/>
      <c r="F536" s="1195">
        <v>2466.8000000000002</v>
      </c>
      <c r="G536" s="1056">
        <f t="shared" si="45"/>
        <v>0</v>
      </c>
      <c r="H536" s="1056">
        <f t="shared" si="46"/>
        <v>460798.85670000006</v>
      </c>
      <c r="I536" s="1056">
        <f t="shared" si="47"/>
        <v>460798.85670000006</v>
      </c>
    </row>
    <row r="537" spans="1:10" customFormat="1" hidden="1" outlineLevel="1" x14ac:dyDescent="0.3">
      <c r="A537" s="905" t="s">
        <v>2726</v>
      </c>
      <c r="B537" s="951" t="s">
        <v>2551</v>
      </c>
      <c r="C537" s="946" t="s">
        <v>74</v>
      </c>
      <c r="D537" s="1028">
        <f>23*1.07*1.47</f>
        <v>36.176700000000004</v>
      </c>
      <c r="E537" s="947"/>
      <c r="F537" s="1195">
        <v>2326.14</v>
      </c>
      <c r="G537" s="1056">
        <f t="shared" si="45"/>
        <v>0</v>
      </c>
      <c r="H537" s="1056">
        <f t="shared" si="46"/>
        <v>84152.068938000011</v>
      </c>
      <c r="I537" s="1056">
        <f t="shared" si="47"/>
        <v>84152.068938000011</v>
      </c>
    </row>
    <row r="538" spans="1:10" customFormat="1" hidden="1" outlineLevel="1" x14ac:dyDescent="0.3">
      <c r="A538" s="905" t="s">
        <v>2727</v>
      </c>
      <c r="B538" s="951" t="s">
        <v>2552</v>
      </c>
      <c r="C538" s="946" t="s">
        <v>74</v>
      </c>
      <c r="D538" s="1028">
        <f>23*0.92*1.47</f>
        <v>31.1052</v>
      </c>
      <c r="E538" s="947"/>
      <c r="F538" s="1195">
        <v>2488.0100000000002</v>
      </c>
      <c r="G538" s="1056">
        <f t="shared" si="45"/>
        <v>0</v>
      </c>
      <c r="H538" s="1056">
        <f t="shared" si="46"/>
        <v>77390.048652000012</v>
      </c>
      <c r="I538" s="1056">
        <f t="shared" si="47"/>
        <v>77390.048652000012</v>
      </c>
    </row>
    <row r="539" spans="1:10" customFormat="1" hidden="1" outlineLevel="1" x14ac:dyDescent="0.3">
      <c r="A539" s="905" t="s">
        <v>2728</v>
      </c>
      <c r="B539" s="951" t="s">
        <v>2554</v>
      </c>
      <c r="C539" s="946"/>
      <c r="D539" s="1028"/>
      <c r="E539" s="947"/>
      <c r="F539" s="1195"/>
      <c r="G539" s="1056">
        <f t="shared" si="45"/>
        <v>0</v>
      </c>
      <c r="H539" s="1056">
        <f t="shared" si="46"/>
        <v>0</v>
      </c>
      <c r="I539" s="1056">
        <f t="shared" si="47"/>
        <v>0</v>
      </c>
    </row>
    <row r="540" spans="1:10" customFormat="1" hidden="1" outlineLevel="1" x14ac:dyDescent="0.3">
      <c r="A540" s="905" t="s">
        <v>2729</v>
      </c>
      <c r="B540" s="955" t="s">
        <v>441</v>
      </c>
      <c r="C540" s="956" t="s">
        <v>96</v>
      </c>
      <c r="D540" s="957">
        <f>3*141+4*454+2*8+(4*208+5*387+2*8)*2+(3*139+4*454)</f>
        <v>10054</v>
      </c>
      <c r="E540" s="958"/>
      <c r="F540" s="959">
        <v>1.81</v>
      </c>
      <c r="G540" s="1056">
        <f t="shared" si="45"/>
        <v>0</v>
      </c>
      <c r="H540" s="1056">
        <f t="shared" si="46"/>
        <v>18197.740000000002</v>
      </c>
      <c r="I540" s="1056">
        <f t="shared" si="47"/>
        <v>18197.740000000002</v>
      </c>
    </row>
    <row r="541" spans="1:10" customFormat="1" hidden="1" outlineLevel="1" x14ac:dyDescent="0.3">
      <c r="A541" s="905" t="s">
        <v>2730</v>
      </c>
      <c r="B541" s="955" t="s">
        <v>443</v>
      </c>
      <c r="C541" s="956" t="s">
        <v>96</v>
      </c>
      <c r="D541" s="957">
        <f>3*141+4*454+2*8+(4*208+5*387+2*8)*2+(3*139+4*454)</f>
        <v>10054</v>
      </c>
      <c r="E541" s="958"/>
      <c r="F541" s="959">
        <v>1.5</v>
      </c>
      <c r="G541" s="1056">
        <f t="shared" si="45"/>
        <v>0</v>
      </c>
      <c r="H541" s="1056">
        <f t="shared" si="46"/>
        <v>15081</v>
      </c>
      <c r="I541" s="1056">
        <f t="shared" si="47"/>
        <v>15081</v>
      </c>
    </row>
    <row r="542" spans="1:10" customFormat="1" hidden="1" outlineLevel="1" x14ac:dyDescent="0.3">
      <c r="A542" s="905" t="s">
        <v>2731</v>
      </c>
      <c r="B542" s="955" t="s">
        <v>445</v>
      </c>
      <c r="C542" s="956" t="s">
        <v>96</v>
      </c>
      <c r="D542" s="957">
        <f>3*141+4*454+2*8+(4*208+5*387+2*8)*2+(3*139+4*454)</f>
        <v>10054</v>
      </c>
      <c r="E542" s="958"/>
      <c r="F542" s="959">
        <v>1.1399999999999999</v>
      </c>
      <c r="G542" s="1056">
        <f t="shared" si="45"/>
        <v>0</v>
      </c>
      <c r="H542" s="1056">
        <f t="shared" si="46"/>
        <v>11461.56</v>
      </c>
      <c r="I542" s="1056">
        <f t="shared" si="47"/>
        <v>11461.56</v>
      </c>
    </row>
    <row r="543" spans="1:10" customFormat="1" hidden="1" outlineLevel="1" x14ac:dyDescent="0.3">
      <c r="A543" s="905" t="s">
        <v>2732</v>
      </c>
      <c r="B543" s="955" t="s">
        <v>447</v>
      </c>
      <c r="C543" s="956" t="s">
        <v>96</v>
      </c>
      <c r="D543" s="957">
        <f>(3*141+4*454+2*8)*2+(9*70+16*69)+3*210</f>
        <v>6874</v>
      </c>
      <c r="E543" s="958"/>
      <c r="F543" s="959">
        <v>1.19</v>
      </c>
      <c r="G543" s="1056">
        <f t="shared" si="45"/>
        <v>0</v>
      </c>
      <c r="H543" s="1056">
        <f t="shared" si="46"/>
        <v>8180.0599999999995</v>
      </c>
      <c r="I543" s="1056">
        <f t="shared" si="47"/>
        <v>8180.0599999999995</v>
      </c>
    </row>
    <row r="544" spans="1:10" customFormat="1" hidden="1" outlineLevel="1" x14ac:dyDescent="0.3">
      <c r="A544" s="905" t="s">
        <v>2733</v>
      </c>
      <c r="B544" s="955" t="s">
        <v>449</v>
      </c>
      <c r="C544" s="956" t="s">
        <v>96</v>
      </c>
      <c r="D544" s="957">
        <f>(9*70+16*69)+3*210</f>
        <v>2364</v>
      </c>
      <c r="E544" s="958"/>
      <c r="F544" s="959">
        <v>0.86</v>
      </c>
      <c r="G544" s="1056">
        <f t="shared" si="45"/>
        <v>0</v>
      </c>
      <c r="H544" s="1056">
        <f t="shared" si="46"/>
        <v>2033.04</v>
      </c>
      <c r="I544" s="1056">
        <f t="shared" si="47"/>
        <v>2033.04</v>
      </c>
    </row>
    <row r="545" spans="1:9" customFormat="1" hidden="1" outlineLevel="1" x14ac:dyDescent="0.3">
      <c r="A545" s="905" t="s">
        <v>2734</v>
      </c>
      <c r="B545" s="955" t="s">
        <v>451</v>
      </c>
      <c r="C545" s="956" t="s">
        <v>96</v>
      </c>
      <c r="D545" s="957">
        <f>(3*141+4*454+2*8+4*208+5*387+2*8)*2+(3*139+4*454)+(9*70+16*69)*2+(3*210)*2</f>
        <v>17037</v>
      </c>
      <c r="E545" s="958"/>
      <c r="F545" s="959">
        <v>15</v>
      </c>
      <c r="G545" s="1056">
        <f t="shared" si="45"/>
        <v>0</v>
      </c>
      <c r="H545" s="1056">
        <f t="shared" si="46"/>
        <v>255555</v>
      </c>
      <c r="I545" s="1056">
        <f t="shared" si="47"/>
        <v>255555</v>
      </c>
    </row>
    <row r="546" spans="1:9" customFormat="1" hidden="1" outlineLevel="1" x14ac:dyDescent="0.3">
      <c r="A546" s="905" t="s">
        <v>2735</v>
      </c>
      <c r="B546" s="955" t="s">
        <v>453</v>
      </c>
      <c r="C546" s="956" t="s">
        <v>96</v>
      </c>
      <c r="D546" s="1109">
        <f>4*209</f>
        <v>836</v>
      </c>
      <c r="E546" s="958"/>
      <c r="F546" s="959">
        <v>35.619999999999997</v>
      </c>
      <c r="G546" s="1056">
        <f t="shared" si="45"/>
        <v>0</v>
      </c>
      <c r="H546" s="1056">
        <f t="shared" si="46"/>
        <v>29778.319999999996</v>
      </c>
      <c r="I546" s="1056">
        <f t="shared" si="47"/>
        <v>29778.319999999996</v>
      </c>
    </row>
    <row r="547" spans="1:9" customFormat="1" hidden="1" outlineLevel="1" x14ac:dyDescent="0.3">
      <c r="A547" s="905" t="s">
        <v>2736</v>
      </c>
      <c r="B547" s="955" t="s">
        <v>455</v>
      </c>
      <c r="C547" s="956" t="s">
        <v>311</v>
      </c>
      <c r="D547" s="1196">
        <f>0.12*(2.42*4*207+0.75*4*207+2.44*2+0.75*2+0.9*2*138+1.52*2*138+1.3*2*69+1.52*2*69+1.3*2*161+1.77*2*161+1.5*2*207+1.77*2*207+0.9*2+1.56*2+1.5*2*10+1.81*2*10+1.3*2*7+1.81*2*7+1.2*4+1.95*4+0.8*4*8)</f>
        <v>742.00800000000004</v>
      </c>
      <c r="E547" s="958"/>
      <c r="F547" s="959">
        <v>93.73</v>
      </c>
      <c r="G547" s="1056">
        <f t="shared" si="45"/>
        <v>0</v>
      </c>
      <c r="H547" s="1056">
        <f t="shared" si="46"/>
        <v>69548.409840000008</v>
      </c>
      <c r="I547" s="1056">
        <f t="shared" si="47"/>
        <v>69548.409840000008</v>
      </c>
    </row>
    <row r="548" spans="1:9" customFormat="1" hidden="1" outlineLevel="1" x14ac:dyDescent="0.3">
      <c r="A548" s="905" t="s">
        <v>2737</v>
      </c>
      <c r="B548" s="955" t="s">
        <v>457</v>
      </c>
      <c r="C548" s="956" t="s">
        <v>311</v>
      </c>
      <c r="D548" s="1196">
        <f>0.12*(2.42*4*207+0.75*4*207+2.44*2+0.75*2+0.9*2*138+1.52*2*138+1.3*2*69+1.52*2*69+1.3*2*161+1.77*2*161+1.5*2*207+1.77*2*207+0.9*2+1.56*2+1.5*2*10+1.81*2*10+1.3*2*7+1.81*2*7+1.2*4+1.95*4+0.8*4*8)</f>
        <v>742.00800000000004</v>
      </c>
      <c r="E548" s="958"/>
      <c r="F548" s="959">
        <v>85.5</v>
      </c>
      <c r="G548" s="1056">
        <f t="shared" si="45"/>
        <v>0</v>
      </c>
      <c r="H548" s="1056">
        <f t="shared" si="46"/>
        <v>63441.684000000001</v>
      </c>
      <c r="I548" s="1056">
        <f t="shared" si="47"/>
        <v>63441.684000000001</v>
      </c>
    </row>
    <row r="549" spans="1:9" customFormat="1" hidden="1" outlineLevel="1" x14ac:dyDescent="0.3">
      <c r="A549" s="905" t="s">
        <v>2738</v>
      </c>
      <c r="B549" s="955" t="s">
        <v>459</v>
      </c>
      <c r="C549" s="956" t="s">
        <v>460</v>
      </c>
      <c r="D549" s="957">
        <f>ROUND(811*1.5,0)</f>
        <v>1217</v>
      </c>
      <c r="E549" s="958"/>
      <c r="F549" s="959">
        <v>174</v>
      </c>
      <c r="G549" s="1056">
        <f t="shared" si="45"/>
        <v>0</v>
      </c>
      <c r="H549" s="1056">
        <f t="shared" si="46"/>
        <v>211758</v>
      </c>
      <c r="I549" s="1056">
        <f t="shared" si="47"/>
        <v>211758</v>
      </c>
    </row>
    <row r="550" spans="1:9" s="950" customFormat="1" hidden="1" outlineLevel="1" x14ac:dyDescent="0.3">
      <c r="A550" s="905" t="s">
        <v>2739</v>
      </c>
      <c r="B550" s="955" t="s">
        <v>2564</v>
      </c>
      <c r="C550" s="956" t="s">
        <v>281</v>
      </c>
      <c r="D550" s="957">
        <f>ROUND(1586.19,0)</f>
        <v>1586</v>
      </c>
      <c r="E550" s="958">
        <v>40</v>
      </c>
      <c r="F550" s="959"/>
      <c r="G550" s="1056">
        <f>D550*E550</f>
        <v>63440</v>
      </c>
      <c r="H550" s="1056">
        <f>D550*F550</f>
        <v>0</v>
      </c>
      <c r="I550" s="1056">
        <f>G550+H550</f>
        <v>63440</v>
      </c>
    </row>
    <row r="551" spans="1:9" s="950" customFormat="1" hidden="1" outlineLevel="1" x14ac:dyDescent="0.3">
      <c r="A551" s="905" t="s">
        <v>2740</v>
      </c>
      <c r="B551" s="1197" t="s">
        <v>2465</v>
      </c>
      <c r="C551" s="956" t="s">
        <v>74</v>
      </c>
      <c r="D551" s="957">
        <f>67.7+218.36</f>
        <v>286.06</v>
      </c>
      <c r="E551" s="958"/>
      <c r="F551" s="959">
        <v>432.49</v>
      </c>
      <c r="G551" s="1056">
        <f>D551*E551</f>
        <v>0</v>
      </c>
      <c r="H551" s="1056">
        <f>D551*F551</f>
        <v>123718.0894</v>
      </c>
      <c r="I551" s="1056">
        <f>G551+H551</f>
        <v>123718.0894</v>
      </c>
    </row>
    <row r="552" spans="1:9" customFormat="1" hidden="1" outlineLevel="1" x14ac:dyDescent="0.3">
      <c r="A552" s="905" t="s">
        <v>2741</v>
      </c>
      <c r="B552" s="1198" t="s">
        <v>2567</v>
      </c>
      <c r="C552" s="956" t="s">
        <v>44</v>
      </c>
      <c r="D552" s="957">
        <f>ROUND(1586.2/6,0)</f>
        <v>264</v>
      </c>
      <c r="E552" s="958"/>
      <c r="F552" s="959">
        <v>157</v>
      </c>
      <c r="G552" s="1056">
        <f>D552*E552</f>
        <v>0</v>
      </c>
      <c r="H552" s="1056">
        <f>D552*F552</f>
        <v>41448</v>
      </c>
      <c r="I552" s="1056">
        <f>G552+H552</f>
        <v>41448</v>
      </c>
    </row>
    <row r="553" spans="1:9" customFormat="1" hidden="1" outlineLevel="1" x14ac:dyDescent="0.3">
      <c r="A553" s="905" t="s">
        <v>2742</v>
      </c>
      <c r="B553" s="955" t="s">
        <v>2569</v>
      </c>
      <c r="C553" s="956" t="s">
        <v>44</v>
      </c>
      <c r="D553" s="957">
        <f>ROUND(D550*0.025/0.31,0)</f>
        <v>128</v>
      </c>
      <c r="E553" s="958"/>
      <c r="F553" s="959">
        <v>356</v>
      </c>
      <c r="G553" s="1056">
        <f>D553*E553</f>
        <v>0</v>
      </c>
      <c r="H553" s="1056">
        <f>D553*F553</f>
        <v>45568</v>
      </c>
      <c r="I553" s="1056">
        <f>G553+H553</f>
        <v>45568</v>
      </c>
    </row>
    <row r="554" spans="1:9" customFormat="1" hidden="1" outlineLevel="1" x14ac:dyDescent="0.3">
      <c r="A554" s="905" t="s">
        <v>2743</v>
      </c>
      <c r="B554" s="955" t="s">
        <v>447</v>
      </c>
      <c r="C554" s="956" t="s">
        <v>96</v>
      </c>
      <c r="D554" s="957">
        <f>ROUND(1587/0.4,0)</f>
        <v>3968</v>
      </c>
      <c r="E554" s="958"/>
      <c r="F554" s="959">
        <v>1.19</v>
      </c>
      <c r="G554" s="1056">
        <f>D554*E554</f>
        <v>0</v>
      </c>
      <c r="H554" s="1056">
        <f>D554*F554</f>
        <v>4721.92</v>
      </c>
      <c r="I554" s="1056">
        <f>G554+H554</f>
        <v>4721.92</v>
      </c>
    </row>
    <row r="555" spans="1:9" customFormat="1" ht="15.85" customHeight="1" collapsed="1" x14ac:dyDescent="0.3">
      <c r="A555" s="599" t="s">
        <v>736</v>
      </c>
      <c r="B555" s="324" t="s">
        <v>9</v>
      </c>
      <c r="C555" s="323" t="s">
        <v>497</v>
      </c>
      <c r="D555" s="325">
        <f>SUM(D556:D581)</f>
        <v>450</v>
      </c>
      <c r="E555" s="1199"/>
      <c r="F555" s="1065"/>
      <c r="G555" s="1057">
        <f>SUM(G556:G582)</f>
        <v>510766.5</v>
      </c>
      <c r="H555" s="1057">
        <f t="shared" ref="H555:I555" si="48">SUM(H556:H582)</f>
        <v>2744596.432</v>
      </c>
      <c r="I555" s="1057">
        <f t="shared" si="48"/>
        <v>3285362.932</v>
      </c>
    </row>
    <row r="556" spans="1:9" customFormat="1" hidden="1" outlineLevel="1" x14ac:dyDescent="0.3">
      <c r="A556" s="642" t="s">
        <v>2744</v>
      </c>
      <c r="B556" s="1080" t="s">
        <v>496</v>
      </c>
      <c r="C556" s="1200" t="s">
        <v>497</v>
      </c>
      <c r="D556" s="1201">
        <v>1</v>
      </c>
      <c r="E556" s="1202">
        <v>0</v>
      </c>
      <c r="F556" s="1203">
        <v>0</v>
      </c>
      <c r="G556" s="1204">
        <v>0</v>
      </c>
      <c r="H556" s="1204">
        <v>0</v>
      </c>
      <c r="I556" s="1204">
        <v>0</v>
      </c>
    </row>
    <row r="557" spans="1:9" customFormat="1" hidden="1" outlineLevel="1" x14ac:dyDescent="0.3">
      <c r="A557" s="642" t="s">
        <v>750</v>
      </c>
      <c r="B557" s="1080" t="s">
        <v>498</v>
      </c>
      <c r="C557" s="1200" t="s">
        <v>497</v>
      </c>
      <c r="D557" s="1201">
        <v>1</v>
      </c>
      <c r="E557" s="1202">
        <v>0</v>
      </c>
      <c r="F557" s="1203">
        <v>0</v>
      </c>
      <c r="G557" s="1204">
        <v>0</v>
      </c>
      <c r="H557" s="1204">
        <v>0</v>
      </c>
      <c r="I557" s="1204">
        <v>0</v>
      </c>
    </row>
    <row r="558" spans="1:9" customFormat="1" hidden="1" outlineLevel="1" x14ac:dyDescent="0.3">
      <c r="A558" s="642" t="s">
        <v>1142</v>
      </c>
      <c r="B558" s="1080" t="s">
        <v>499</v>
      </c>
      <c r="C558" s="1200" t="s">
        <v>497</v>
      </c>
      <c r="D558" s="1201">
        <v>2</v>
      </c>
      <c r="E558" s="1202">
        <v>0</v>
      </c>
      <c r="F558" s="1203">
        <v>0</v>
      </c>
      <c r="G558" s="1204">
        <v>0</v>
      </c>
      <c r="H558" s="1204">
        <v>0</v>
      </c>
      <c r="I558" s="1204">
        <v>0</v>
      </c>
    </row>
    <row r="559" spans="1:9" customFormat="1" hidden="1" outlineLevel="1" x14ac:dyDescent="0.3">
      <c r="A559" s="642" t="s">
        <v>2745</v>
      </c>
      <c r="B559" s="1080" t="s">
        <v>501</v>
      </c>
      <c r="C559" s="1200" t="s">
        <v>497</v>
      </c>
      <c r="D559" s="1201">
        <v>2</v>
      </c>
      <c r="E559" s="1202">
        <v>0</v>
      </c>
      <c r="F559" s="1205">
        <v>0</v>
      </c>
      <c r="G559" s="1204">
        <v>0</v>
      </c>
      <c r="H559" s="1204">
        <v>0</v>
      </c>
      <c r="I559" s="1204">
        <v>0</v>
      </c>
    </row>
    <row r="560" spans="1:9" customFormat="1" hidden="1" outlineLevel="1" x14ac:dyDescent="0.3">
      <c r="A560" s="642" t="s">
        <v>2746</v>
      </c>
      <c r="B560" s="1080" t="s">
        <v>1769</v>
      </c>
      <c r="C560" s="1200" t="s">
        <v>497</v>
      </c>
      <c r="D560" s="1201">
        <v>1</v>
      </c>
      <c r="E560" s="1206">
        <v>2300</v>
      </c>
      <c r="F560" s="1205">
        <v>13600</v>
      </c>
      <c r="G560" s="1204">
        <v>2300</v>
      </c>
      <c r="H560" s="1204">
        <v>13600</v>
      </c>
      <c r="I560" s="1204">
        <v>15900</v>
      </c>
    </row>
    <row r="561" spans="1:10" customFormat="1" hidden="1" outlineLevel="1" x14ac:dyDescent="0.3">
      <c r="A561" s="642" t="s">
        <v>2747</v>
      </c>
      <c r="B561" s="1080" t="s">
        <v>1770</v>
      </c>
      <c r="C561" s="1200" t="s">
        <v>497</v>
      </c>
      <c r="D561" s="1201">
        <v>1</v>
      </c>
      <c r="E561" s="1206">
        <v>3766.5</v>
      </c>
      <c r="F561" s="1207">
        <v>29220</v>
      </c>
      <c r="G561" s="1204">
        <v>3766.5</v>
      </c>
      <c r="H561" s="1204">
        <v>29220</v>
      </c>
      <c r="I561" s="1204">
        <v>32986.5</v>
      </c>
    </row>
    <row r="562" spans="1:10" customFormat="1" ht="28.8" hidden="1" outlineLevel="1" x14ac:dyDescent="0.3">
      <c r="A562" s="642" t="s">
        <v>2748</v>
      </c>
      <c r="B562" s="1080" t="s">
        <v>1771</v>
      </c>
      <c r="C562" s="1200" t="s">
        <v>497</v>
      </c>
      <c r="D562" s="1201">
        <v>23</v>
      </c>
      <c r="E562" s="1206">
        <v>750</v>
      </c>
      <c r="F562" s="1207">
        <v>9837</v>
      </c>
      <c r="G562" s="1204">
        <v>17250</v>
      </c>
      <c r="H562" s="1204">
        <v>226251</v>
      </c>
      <c r="I562" s="1204">
        <v>243501</v>
      </c>
    </row>
    <row r="563" spans="1:10" customFormat="1" ht="28.8" hidden="1" outlineLevel="1" x14ac:dyDescent="0.3">
      <c r="A563" s="642" t="s">
        <v>2749</v>
      </c>
      <c r="B563" s="1080" t="s">
        <v>1771</v>
      </c>
      <c r="C563" s="1200" t="s">
        <v>497</v>
      </c>
      <c r="D563" s="1201">
        <v>23</v>
      </c>
      <c r="E563" s="1206">
        <v>750</v>
      </c>
      <c r="F563" s="1207">
        <v>9880</v>
      </c>
      <c r="G563" s="1204">
        <v>17250</v>
      </c>
      <c r="H563" s="1204">
        <v>227240</v>
      </c>
      <c r="I563" s="1204">
        <v>244490</v>
      </c>
    </row>
    <row r="564" spans="1:10" customFormat="1" hidden="1" outlineLevel="1" x14ac:dyDescent="0.3">
      <c r="A564" s="642" t="s">
        <v>2750</v>
      </c>
      <c r="B564" s="1080" t="s">
        <v>1772</v>
      </c>
      <c r="C564" s="1200" t="s">
        <v>497</v>
      </c>
      <c r="D564" s="1201">
        <v>1</v>
      </c>
      <c r="E564" s="1208">
        <v>2300</v>
      </c>
      <c r="F564" s="1209">
        <v>10700</v>
      </c>
      <c r="G564" s="1204">
        <v>2300</v>
      </c>
      <c r="H564" s="1204">
        <v>10700</v>
      </c>
      <c r="I564" s="1204">
        <v>13000</v>
      </c>
    </row>
    <row r="565" spans="1:10" customFormat="1" hidden="1" outlineLevel="1" x14ac:dyDescent="0.3">
      <c r="A565" s="642" t="s">
        <v>2751</v>
      </c>
      <c r="B565" s="1080" t="s">
        <v>1773</v>
      </c>
      <c r="C565" s="1200" t="s">
        <v>497</v>
      </c>
      <c r="D565" s="1201">
        <v>1</v>
      </c>
      <c r="E565" s="1206">
        <v>2300</v>
      </c>
      <c r="F565" s="1205">
        <v>13250</v>
      </c>
      <c r="G565" s="1204">
        <v>2300</v>
      </c>
      <c r="H565" s="1204">
        <v>13250</v>
      </c>
      <c r="I565" s="1204">
        <v>15550</v>
      </c>
    </row>
    <row r="566" spans="1:10" customFormat="1" hidden="1" outlineLevel="1" x14ac:dyDescent="0.3">
      <c r="A566" s="642" t="s">
        <v>2752</v>
      </c>
      <c r="B566" s="1080" t="s">
        <v>1774</v>
      </c>
      <c r="C566" s="1200" t="s">
        <v>497</v>
      </c>
      <c r="D566" s="1201">
        <v>2</v>
      </c>
      <c r="E566" s="1206">
        <v>2300</v>
      </c>
      <c r="F566" s="1205">
        <v>10120</v>
      </c>
      <c r="G566" s="1204">
        <v>4600</v>
      </c>
      <c r="H566" s="1204">
        <v>20240</v>
      </c>
      <c r="I566" s="1204">
        <v>24840</v>
      </c>
    </row>
    <row r="567" spans="1:10" customFormat="1" hidden="1" outlineLevel="1" x14ac:dyDescent="0.3">
      <c r="A567" s="642" t="s">
        <v>2753</v>
      </c>
      <c r="B567" s="1080" t="s">
        <v>1775</v>
      </c>
      <c r="C567" s="1200" t="s">
        <v>497</v>
      </c>
      <c r="D567" s="1201">
        <v>1</v>
      </c>
      <c r="E567" s="1206">
        <v>2300</v>
      </c>
      <c r="F567" s="1205">
        <v>10300</v>
      </c>
      <c r="G567" s="1204">
        <v>2300</v>
      </c>
      <c r="H567" s="1204">
        <v>10300</v>
      </c>
      <c r="I567" s="1204">
        <v>12600</v>
      </c>
    </row>
    <row r="568" spans="1:10" customFormat="1" hidden="1" outlineLevel="1" x14ac:dyDescent="0.3">
      <c r="A568" s="642" t="s">
        <v>2754</v>
      </c>
      <c r="B568" s="1080" t="s">
        <v>1776</v>
      </c>
      <c r="C568" s="1200" t="s">
        <v>497</v>
      </c>
      <c r="D568" s="1201">
        <v>2</v>
      </c>
      <c r="E568" s="1206">
        <v>2300</v>
      </c>
      <c r="F568" s="1205">
        <v>9895</v>
      </c>
      <c r="G568" s="1204">
        <v>4600</v>
      </c>
      <c r="H568" s="1204">
        <v>19790</v>
      </c>
      <c r="I568" s="1204">
        <v>24390</v>
      </c>
    </row>
    <row r="569" spans="1:10" customFormat="1" hidden="1" outlineLevel="1" x14ac:dyDescent="0.3">
      <c r="A569" s="642" t="s">
        <v>2755</v>
      </c>
      <c r="B569" s="1080" t="s">
        <v>1777</v>
      </c>
      <c r="C569" s="1200" t="s">
        <v>497</v>
      </c>
      <c r="D569" s="1201">
        <v>46</v>
      </c>
      <c r="E569" s="1208">
        <v>3400</v>
      </c>
      <c r="F569" s="1209">
        <v>16105</v>
      </c>
      <c r="G569" s="1204">
        <v>156400</v>
      </c>
      <c r="H569" s="1204">
        <v>740830</v>
      </c>
      <c r="I569" s="1204">
        <v>897230</v>
      </c>
    </row>
    <row r="570" spans="1:10" customFormat="1" hidden="1" outlineLevel="1" x14ac:dyDescent="0.3">
      <c r="A570" s="642" t="s">
        <v>2756</v>
      </c>
      <c r="B570" s="1080" t="s">
        <v>1778</v>
      </c>
      <c r="C570" s="1200" t="s">
        <v>497</v>
      </c>
      <c r="D570" s="1201">
        <v>23</v>
      </c>
      <c r="E570" s="1210">
        <v>3400</v>
      </c>
      <c r="F570" s="1207">
        <v>9895</v>
      </c>
      <c r="G570" s="1204">
        <v>78200</v>
      </c>
      <c r="H570" s="1204">
        <v>227585</v>
      </c>
      <c r="I570" s="1204">
        <v>305785</v>
      </c>
      <c r="J570" t="s">
        <v>1768</v>
      </c>
    </row>
    <row r="571" spans="1:10" customFormat="1" hidden="1" outlineLevel="1" x14ac:dyDescent="0.3">
      <c r="A571" s="642" t="s">
        <v>2757</v>
      </c>
      <c r="B571" s="1080" t="s">
        <v>1779</v>
      </c>
      <c r="C571" s="1200" t="s">
        <v>497</v>
      </c>
      <c r="D571" s="1201">
        <v>23</v>
      </c>
      <c r="E571" s="1210">
        <v>2300</v>
      </c>
      <c r="F571" s="1211">
        <v>9895</v>
      </c>
      <c r="G571" s="1204">
        <v>52900</v>
      </c>
      <c r="H571" s="1204">
        <v>227585</v>
      </c>
      <c r="I571" s="1204">
        <v>280485</v>
      </c>
    </row>
    <row r="572" spans="1:10" customFormat="1" hidden="1" outlineLevel="1" x14ac:dyDescent="0.3">
      <c r="A572" s="642" t="s">
        <v>2758</v>
      </c>
      <c r="B572" s="1080" t="s">
        <v>1780</v>
      </c>
      <c r="C572" s="1200" t="s">
        <v>497</v>
      </c>
      <c r="D572" s="1201">
        <v>187</v>
      </c>
      <c r="E572" s="1210">
        <v>500</v>
      </c>
      <c r="F572" s="1203">
        <v>2738</v>
      </c>
      <c r="G572" s="1204">
        <v>93500</v>
      </c>
      <c r="H572" s="1204">
        <v>512006</v>
      </c>
      <c r="I572" s="1204">
        <v>605506</v>
      </c>
    </row>
    <row r="573" spans="1:10" customFormat="1" hidden="1" outlineLevel="1" x14ac:dyDescent="0.3">
      <c r="A573" s="642" t="s">
        <v>2759</v>
      </c>
      <c r="B573" s="1080" t="s">
        <v>530</v>
      </c>
      <c r="C573" s="1200" t="s">
        <v>497</v>
      </c>
      <c r="D573" s="1201">
        <v>90</v>
      </c>
      <c r="E573" s="1210">
        <v>500</v>
      </c>
      <c r="F573" s="1203">
        <v>2738</v>
      </c>
      <c r="G573" s="1204">
        <v>45000</v>
      </c>
      <c r="H573" s="1204">
        <v>246420</v>
      </c>
      <c r="I573" s="1204">
        <v>291420</v>
      </c>
    </row>
    <row r="574" spans="1:10" customFormat="1" hidden="1" outlineLevel="1" x14ac:dyDescent="0.3">
      <c r="A574" s="642" t="s">
        <v>2760</v>
      </c>
      <c r="B574" s="1080" t="s">
        <v>1781</v>
      </c>
      <c r="C574" s="1200" t="s">
        <v>497</v>
      </c>
      <c r="D574" s="1201">
        <v>7</v>
      </c>
      <c r="E574" s="1210">
        <v>0</v>
      </c>
      <c r="F574" s="1212">
        <v>0</v>
      </c>
      <c r="G574" s="1204">
        <v>0</v>
      </c>
      <c r="H574" s="1204">
        <v>0</v>
      </c>
      <c r="I574" s="1204">
        <v>0</v>
      </c>
      <c r="J574" t="s">
        <v>1789</v>
      </c>
    </row>
    <row r="575" spans="1:10" customFormat="1" hidden="1" outlineLevel="1" x14ac:dyDescent="0.3">
      <c r="A575" s="642" t="s">
        <v>2761</v>
      </c>
      <c r="B575" s="1080" t="s">
        <v>1782</v>
      </c>
      <c r="C575" s="1200" t="s">
        <v>497</v>
      </c>
      <c r="D575" s="1201">
        <v>1</v>
      </c>
      <c r="E575" s="1210">
        <v>2300</v>
      </c>
      <c r="F575" s="1203">
        <v>9895</v>
      </c>
      <c r="G575" s="1204">
        <v>2300</v>
      </c>
      <c r="H575" s="1204">
        <v>9895</v>
      </c>
      <c r="I575" s="1204">
        <v>12195</v>
      </c>
    </row>
    <row r="576" spans="1:10" customFormat="1" hidden="1" outlineLevel="1" x14ac:dyDescent="0.3">
      <c r="A576" s="642" t="s">
        <v>2762</v>
      </c>
      <c r="B576" s="1080" t="s">
        <v>536</v>
      </c>
      <c r="C576" s="1200" t="s">
        <v>497</v>
      </c>
      <c r="D576" s="1201">
        <v>1</v>
      </c>
      <c r="E576" s="1210">
        <v>1500</v>
      </c>
      <c r="F576" s="1203">
        <v>8625</v>
      </c>
      <c r="G576" s="1204">
        <v>1500</v>
      </c>
      <c r="H576" s="1204">
        <v>8625</v>
      </c>
      <c r="I576" s="1204">
        <v>10125</v>
      </c>
    </row>
    <row r="577" spans="1:11" customFormat="1" hidden="1" outlineLevel="1" x14ac:dyDescent="0.3">
      <c r="A577" s="642" t="s">
        <v>2763</v>
      </c>
      <c r="B577" s="1213" t="s">
        <v>1783</v>
      </c>
      <c r="C577" s="1200" t="s">
        <v>497</v>
      </c>
      <c r="D577" s="1201">
        <v>2</v>
      </c>
      <c r="E577" s="1210">
        <v>2000</v>
      </c>
      <c r="F577" s="1203">
        <v>24122.576000000005</v>
      </c>
      <c r="G577" s="1204">
        <v>4000</v>
      </c>
      <c r="H577" s="1204">
        <v>48245.152000000009</v>
      </c>
      <c r="I577" s="1204">
        <v>52245.152000000009</v>
      </c>
      <c r="J577" t="s">
        <v>1768</v>
      </c>
    </row>
    <row r="578" spans="1:11" customFormat="1" hidden="1" outlineLevel="1" x14ac:dyDescent="0.3">
      <c r="A578" s="642" t="s">
        <v>2764</v>
      </c>
      <c r="B578" s="1213" t="s">
        <v>1784</v>
      </c>
      <c r="C578" s="1200" t="s">
        <v>497</v>
      </c>
      <c r="D578" s="1201">
        <v>5</v>
      </c>
      <c r="E578" s="1210">
        <v>2000</v>
      </c>
      <c r="F578" s="1203">
        <v>21601.856</v>
      </c>
      <c r="G578" s="1204">
        <v>10000</v>
      </c>
      <c r="H578" s="1204">
        <v>108009.28</v>
      </c>
      <c r="I578" s="1204">
        <v>118009.28</v>
      </c>
      <c r="J578" t="s">
        <v>1768</v>
      </c>
    </row>
    <row r="579" spans="1:11" customFormat="1" hidden="1" outlineLevel="1" x14ac:dyDescent="0.3">
      <c r="A579" s="642" t="s">
        <v>2765</v>
      </c>
      <c r="B579" s="1080" t="s">
        <v>1785</v>
      </c>
      <c r="C579" s="1200" t="s">
        <v>497</v>
      </c>
      <c r="D579" s="1201">
        <v>1</v>
      </c>
      <c r="E579" s="1210">
        <v>3400</v>
      </c>
      <c r="F579" s="1203">
        <v>15120</v>
      </c>
      <c r="G579" s="1204">
        <v>3400</v>
      </c>
      <c r="H579" s="1204">
        <v>15120</v>
      </c>
      <c r="I579" s="1204">
        <v>18520</v>
      </c>
    </row>
    <row r="580" spans="1:11" customFormat="1" hidden="1" outlineLevel="1" x14ac:dyDescent="0.3">
      <c r="A580" s="642" t="s">
        <v>2766</v>
      </c>
      <c r="B580" s="1080" t="s">
        <v>1786</v>
      </c>
      <c r="C580" s="1200" t="s">
        <v>497</v>
      </c>
      <c r="D580" s="1201">
        <v>1</v>
      </c>
      <c r="E580" s="1210">
        <v>2300</v>
      </c>
      <c r="F580" s="1203">
        <v>9895</v>
      </c>
      <c r="G580" s="1204">
        <v>2300</v>
      </c>
      <c r="H580" s="1204">
        <v>9895</v>
      </c>
      <c r="I580" s="1204">
        <v>12195</v>
      </c>
    </row>
    <row r="581" spans="1:11" customFormat="1" hidden="1" outlineLevel="1" x14ac:dyDescent="0.3">
      <c r="A581" s="642" t="s">
        <v>2767</v>
      </c>
      <c r="B581" s="1080" t="s">
        <v>1787</v>
      </c>
      <c r="C581" s="1200" t="s">
        <v>497</v>
      </c>
      <c r="D581" s="1201">
        <v>2</v>
      </c>
      <c r="E581" s="1210">
        <v>2300</v>
      </c>
      <c r="F581" s="1203">
        <v>9895</v>
      </c>
      <c r="G581" s="1204">
        <v>4600</v>
      </c>
      <c r="H581" s="1204">
        <v>19790</v>
      </c>
      <c r="I581" s="1204">
        <v>24390</v>
      </c>
    </row>
    <row r="582" spans="1:11" customFormat="1" hidden="1" outlineLevel="1" x14ac:dyDescent="0.3">
      <c r="A582" s="642"/>
      <c r="B582" s="1080" t="s">
        <v>1788</v>
      </c>
      <c r="C582" s="1200"/>
      <c r="D582" s="1201"/>
      <c r="E582" s="1210"/>
      <c r="F582" s="1203"/>
      <c r="G582" s="1204"/>
      <c r="H582" s="1204"/>
      <c r="I582" s="1204">
        <v>30000</v>
      </c>
    </row>
    <row r="583" spans="1:11" s="349" customFormat="1" ht="14.4" collapsed="1" x14ac:dyDescent="0.25">
      <c r="A583" s="17" t="s">
        <v>857</v>
      </c>
      <c r="B583" s="18" t="s">
        <v>10</v>
      </c>
      <c r="C583" s="19" t="s">
        <v>74</v>
      </c>
      <c r="D583" s="88">
        <f>SUM(D584,D601,D615,D623,D653)</f>
        <v>688.49</v>
      </c>
      <c r="E583" s="1065"/>
      <c r="F583" s="1065"/>
      <c r="G583" s="1057">
        <f>SUM(G584:G707)</f>
        <v>834261.5942307692</v>
      </c>
      <c r="H583" s="1057">
        <f t="shared" ref="H583:I583" si="49">SUM(H584:H707)</f>
        <v>2484263.4882814093</v>
      </c>
      <c r="I583" s="1057">
        <f t="shared" si="49"/>
        <v>3318525.0825121775</v>
      </c>
      <c r="J583" s="355"/>
    </row>
    <row r="584" spans="1:11" s="363" customFormat="1" ht="14.4" hidden="1" outlineLevel="1" x14ac:dyDescent="0.25">
      <c r="A584" s="39" t="s">
        <v>2505</v>
      </c>
      <c r="B584" s="1081" t="s">
        <v>557</v>
      </c>
      <c r="C584" s="1082" t="s">
        <v>74</v>
      </c>
      <c r="D584" s="1082">
        <v>556</v>
      </c>
      <c r="E584" s="108">
        <v>600</v>
      </c>
      <c r="F584" s="108"/>
      <c r="G584" s="1068">
        <f>D584*E584</f>
        <v>333600</v>
      </c>
      <c r="H584" s="1068">
        <f>D584*F584</f>
        <v>0</v>
      </c>
      <c r="I584" s="1068">
        <f>G584+H584</f>
        <v>333600</v>
      </c>
      <c r="J584" s="361"/>
      <c r="K584" s="362"/>
    </row>
    <row r="585" spans="1:11" s="349" customFormat="1" ht="14.4" hidden="1" outlineLevel="1" x14ac:dyDescent="0.25">
      <c r="A585" s="39" t="s">
        <v>2768</v>
      </c>
      <c r="B585" s="1081" t="s">
        <v>552</v>
      </c>
      <c r="C585" s="1082" t="s">
        <v>74</v>
      </c>
      <c r="D585" s="1082">
        <f>D584*1.2</f>
        <v>667.19999999999993</v>
      </c>
      <c r="E585" s="108"/>
      <c r="F585" s="108">
        <v>48</v>
      </c>
      <c r="G585" s="1068">
        <f t="shared" ref="G585:G648" si="50">D585*E585</f>
        <v>0</v>
      </c>
      <c r="H585" s="1068">
        <f t="shared" ref="H585:H648" si="51">D585*F585</f>
        <v>32025.599999999999</v>
      </c>
      <c r="I585" s="1068">
        <f t="shared" ref="I585:I648" si="52">G585+H585</f>
        <v>32025.599999999999</v>
      </c>
      <c r="J585" s="361"/>
    </row>
    <row r="586" spans="1:11" s="349" customFormat="1" ht="28.8" hidden="1" outlineLevel="1" x14ac:dyDescent="0.25">
      <c r="A586" s="39" t="s">
        <v>2769</v>
      </c>
      <c r="B586" s="1081" t="s">
        <v>560</v>
      </c>
      <c r="C586" s="1082" t="s">
        <v>34</v>
      </c>
      <c r="D586" s="1082">
        <f>D584*0.1*1.04</f>
        <v>57.824000000000005</v>
      </c>
      <c r="E586" s="108"/>
      <c r="F586" s="108">
        <v>4867.88</v>
      </c>
      <c r="G586" s="1068">
        <f t="shared" si="50"/>
        <v>0</v>
      </c>
      <c r="H586" s="1068">
        <f t="shared" si="51"/>
        <v>281480.29312000005</v>
      </c>
      <c r="I586" s="1068">
        <f t="shared" si="52"/>
        <v>281480.29312000005</v>
      </c>
      <c r="J586" s="361"/>
    </row>
    <row r="587" spans="1:11" s="349" customFormat="1" ht="28.8" hidden="1" outlineLevel="1" x14ac:dyDescent="0.25">
      <c r="A587" s="39" t="s">
        <v>2770</v>
      </c>
      <c r="B587" s="1081" t="s">
        <v>562</v>
      </c>
      <c r="C587" s="1082" t="s">
        <v>34</v>
      </c>
      <c r="D587" s="1082">
        <f>D584*1.04*0.05</f>
        <v>28.912000000000003</v>
      </c>
      <c r="E587" s="108"/>
      <c r="F587" s="108">
        <v>4476.7700000000004</v>
      </c>
      <c r="G587" s="1068">
        <f t="shared" si="50"/>
        <v>0</v>
      </c>
      <c r="H587" s="1068">
        <f t="shared" si="51"/>
        <v>129432.37424000002</v>
      </c>
      <c r="I587" s="1068">
        <f t="shared" si="52"/>
        <v>129432.37424000002</v>
      </c>
      <c r="J587" s="361"/>
    </row>
    <row r="588" spans="1:11" s="349" customFormat="1" ht="28.8" hidden="1" outlineLevel="1" x14ac:dyDescent="0.25">
      <c r="A588" s="39" t="s">
        <v>2771</v>
      </c>
      <c r="B588" s="1081" t="s">
        <v>564</v>
      </c>
      <c r="C588" s="1082" t="s">
        <v>34</v>
      </c>
      <c r="D588" s="1082">
        <f>D584*1.04*0.05</f>
        <v>28.912000000000003</v>
      </c>
      <c r="E588" s="108"/>
      <c r="F588" s="108">
        <v>6500</v>
      </c>
      <c r="G588" s="1068">
        <f t="shared" si="50"/>
        <v>0</v>
      </c>
      <c r="H588" s="1068">
        <f t="shared" si="51"/>
        <v>187928.00000000003</v>
      </c>
      <c r="I588" s="1068">
        <f t="shared" si="52"/>
        <v>187928.00000000003</v>
      </c>
      <c r="J588" s="361"/>
    </row>
    <row r="589" spans="1:11" s="349" customFormat="1" ht="14.4" hidden="1" outlineLevel="1" x14ac:dyDescent="0.25">
      <c r="A589" s="39" t="s">
        <v>2772</v>
      </c>
      <c r="B589" s="1081" t="s">
        <v>566</v>
      </c>
      <c r="C589" s="1082" t="s">
        <v>74</v>
      </c>
      <c r="D589" s="1082">
        <f>D584*2*1.1</f>
        <v>1223.2</v>
      </c>
      <c r="E589" s="108"/>
      <c r="F589" s="108">
        <v>283.5</v>
      </c>
      <c r="G589" s="1068">
        <f t="shared" si="50"/>
        <v>0</v>
      </c>
      <c r="H589" s="1068">
        <f t="shared" si="51"/>
        <v>346777.2</v>
      </c>
      <c r="I589" s="1068">
        <f t="shared" si="52"/>
        <v>346777.2</v>
      </c>
      <c r="J589" s="361"/>
    </row>
    <row r="590" spans="1:11" s="349" customFormat="1" ht="14.4" hidden="1" outlineLevel="1" x14ac:dyDescent="0.25">
      <c r="A590" s="39" t="s">
        <v>2773</v>
      </c>
      <c r="B590" s="1081" t="s">
        <v>568</v>
      </c>
      <c r="C590" s="1082" t="s">
        <v>311</v>
      </c>
      <c r="D590" s="1082">
        <f>D589*2/3.3</f>
        <v>741.33333333333337</v>
      </c>
      <c r="E590" s="108"/>
      <c r="F590" s="108">
        <v>108.35</v>
      </c>
      <c r="G590" s="1068">
        <f t="shared" si="50"/>
        <v>0</v>
      </c>
      <c r="H590" s="1068">
        <f t="shared" si="51"/>
        <v>80323.46666666666</v>
      </c>
      <c r="I590" s="1068">
        <f t="shared" si="52"/>
        <v>80323.46666666666</v>
      </c>
      <c r="J590" s="361"/>
    </row>
    <row r="591" spans="1:11" s="349" customFormat="1" ht="14.4" hidden="1" outlineLevel="1" x14ac:dyDescent="0.25">
      <c r="A591" s="39" t="s">
        <v>2774</v>
      </c>
      <c r="B591" s="1081" t="s">
        <v>570</v>
      </c>
      <c r="C591" s="1082" t="s">
        <v>74</v>
      </c>
      <c r="D591" s="1082">
        <f>D584*1.2</f>
        <v>667.19999999999993</v>
      </c>
      <c r="E591" s="108"/>
      <c r="F591" s="108">
        <v>209.96</v>
      </c>
      <c r="G591" s="1068">
        <f t="shared" si="50"/>
        <v>0</v>
      </c>
      <c r="H591" s="1068">
        <f t="shared" si="51"/>
        <v>140085.31200000001</v>
      </c>
      <c r="I591" s="1068">
        <f t="shared" si="52"/>
        <v>140085.31200000001</v>
      </c>
      <c r="J591" s="361"/>
    </row>
    <row r="592" spans="1:11" s="349" customFormat="1" ht="14.4" hidden="1" outlineLevel="1" x14ac:dyDescent="0.25">
      <c r="A592" s="39" t="s">
        <v>2775</v>
      </c>
      <c r="B592" s="1081" t="s">
        <v>572</v>
      </c>
      <c r="C592" s="1082" t="s">
        <v>74</v>
      </c>
      <c r="D592" s="1082">
        <f>D584*1.18</f>
        <v>656.07999999999993</v>
      </c>
      <c r="E592" s="108"/>
      <c r="F592" s="108">
        <v>224.25</v>
      </c>
      <c r="G592" s="1068">
        <f t="shared" si="50"/>
        <v>0</v>
      </c>
      <c r="H592" s="1068">
        <f t="shared" si="51"/>
        <v>147125.93999999997</v>
      </c>
      <c r="I592" s="1068">
        <f t="shared" si="52"/>
        <v>147125.93999999997</v>
      </c>
      <c r="J592" s="361"/>
    </row>
    <row r="593" spans="1:10" s="363" customFormat="1" ht="14.4" hidden="1" outlineLevel="1" x14ac:dyDescent="0.25">
      <c r="A593" s="39" t="s">
        <v>2506</v>
      </c>
      <c r="B593" s="1081" t="s">
        <v>574</v>
      </c>
      <c r="C593" s="1082" t="s">
        <v>318</v>
      </c>
      <c r="D593" s="1082">
        <v>117</v>
      </c>
      <c r="E593" s="108">
        <v>450</v>
      </c>
      <c r="F593" s="108"/>
      <c r="G593" s="1068">
        <f t="shared" si="50"/>
        <v>52650</v>
      </c>
      <c r="H593" s="1068">
        <f t="shared" si="51"/>
        <v>0</v>
      </c>
      <c r="I593" s="1068">
        <f t="shared" si="52"/>
        <v>52650</v>
      </c>
      <c r="J593" s="361"/>
    </row>
    <row r="594" spans="1:10" s="349" customFormat="1" ht="28.8" hidden="1" outlineLevel="1" x14ac:dyDescent="0.25">
      <c r="A594" s="39" t="s">
        <v>2508</v>
      </c>
      <c r="B594" s="1081" t="s">
        <v>576</v>
      </c>
      <c r="C594" s="1082" t="s">
        <v>34</v>
      </c>
      <c r="D594" s="1082">
        <f>D593*1*1.04*0.1</f>
        <v>12.168000000000001</v>
      </c>
      <c r="E594" s="163"/>
      <c r="F594" s="163">
        <v>3650</v>
      </c>
      <c r="G594" s="1068">
        <f t="shared" si="50"/>
        <v>0</v>
      </c>
      <c r="H594" s="1068">
        <f t="shared" si="51"/>
        <v>44413.200000000004</v>
      </c>
      <c r="I594" s="1068">
        <f t="shared" si="52"/>
        <v>44413.200000000004</v>
      </c>
      <c r="J594" s="361"/>
    </row>
    <row r="595" spans="1:10" s="349" customFormat="1" ht="14.4" hidden="1" outlineLevel="1" x14ac:dyDescent="0.25">
      <c r="A595" s="39" t="s">
        <v>2510</v>
      </c>
      <c r="B595" s="1081" t="s">
        <v>578</v>
      </c>
      <c r="C595" s="1082" t="s">
        <v>74</v>
      </c>
      <c r="D595" s="1082">
        <f>D593*1.1*1.8</f>
        <v>231.66000000000003</v>
      </c>
      <c r="E595" s="163">
        <v>70</v>
      </c>
      <c r="F595" s="163">
        <v>248.61</v>
      </c>
      <c r="G595" s="1068">
        <f t="shared" si="50"/>
        <v>16216.200000000003</v>
      </c>
      <c r="H595" s="1068">
        <f t="shared" si="51"/>
        <v>57592.992600000012</v>
      </c>
      <c r="I595" s="1068">
        <f t="shared" si="52"/>
        <v>73809.192600000009</v>
      </c>
      <c r="J595" s="361"/>
    </row>
    <row r="596" spans="1:10" s="349" customFormat="1" ht="14.4" hidden="1" outlineLevel="1" x14ac:dyDescent="0.25">
      <c r="A596" s="39" t="s">
        <v>2512</v>
      </c>
      <c r="B596" s="1081" t="s">
        <v>580</v>
      </c>
      <c r="C596" s="1082" t="s">
        <v>311</v>
      </c>
      <c r="D596" s="1082">
        <f>D595/3.3</f>
        <v>70.200000000000017</v>
      </c>
      <c r="E596" s="163"/>
      <c r="F596" s="163">
        <v>108.35</v>
      </c>
      <c r="G596" s="1068">
        <f t="shared" si="50"/>
        <v>0</v>
      </c>
      <c r="H596" s="1068">
        <f t="shared" si="51"/>
        <v>7606.1700000000019</v>
      </c>
      <c r="I596" s="1068">
        <f t="shared" si="52"/>
        <v>7606.1700000000019</v>
      </c>
      <c r="J596" s="361"/>
    </row>
    <row r="597" spans="1:10" s="349" customFormat="1" ht="14.4" hidden="1" outlineLevel="1" x14ac:dyDescent="0.25">
      <c r="A597" s="39" t="s">
        <v>2514</v>
      </c>
      <c r="B597" s="1081" t="s">
        <v>582</v>
      </c>
      <c r="C597" s="1082" t="s">
        <v>74</v>
      </c>
      <c r="D597" s="1082">
        <f>D593*1.1*1.15</f>
        <v>148.005</v>
      </c>
      <c r="E597" s="163">
        <v>150</v>
      </c>
      <c r="F597" s="163">
        <v>470</v>
      </c>
      <c r="G597" s="1068">
        <f t="shared" si="50"/>
        <v>22200.75</v>
      </c>
      <c r="H597" s="1068">
        <f t="shared" si="51"/>
        <v>69562.349999999991</v>
      </c>
      <c r="I597" s="1068">
        <f t="shared" si="52"/>
        <v>91763.099999999991</v>
      </c>
      <c r="J597" s="361"/>
    </row>
    <row r="598" spans="1:10" s="349" customFormat="1" ht="14.4" hidden="1" outlineLevel="1" x14ac:dyDescent="0.25">
      <c r="A598" s="39" t="s">
        <v>2516</v>
      </c>
      <c r="B598" s="1081" t="s">
        <v>584</v>
      </c>
      <c r="C598" s="1082" t="s">
        <v>44</v>
      </c>
      <c r="D598" s="1083">
        <f>D593/0.6+1</f>
        <v>196</v>
      </c>
      <c r="E598" s="163"/>
      <c r="F598" s="163">
        <v>50</v>
      </c>
      <c r="G598" s="1068">
        <f t="shared" si="50"/>
        <v>0</v>
      </c>
      <c r="H598" s="1068">
        <f t="shared" si="51"/>
        <v>9800</v>
      </c>
      <c r="I598" s="1068">
        <f t="shared" si="52"/>
        <v>9800</v>
      </c>
      <c r="J598" s="361"/>
    </row>
    <row r="599" spans="1:10" s="349" customFormat="1" ht="14.4" hidden="1" outlineLevel="1" x14ac:dyDescent="0.25">
      <c r="A599" s="39" t="s">
        <v>2518</v>
      </c>
      <c r="B599" s="1081" t="s">
        <v>570</v>
      </c>
      <c r="C599" s="1082" t="s">
        <v>74</v>
      </c>
      <c r="D599" s="1082">
        <f>1.9*D593*1.15</f>
        <v>255.64499999999995</v>
      </c>
      <c r="E599" s="163"/>
      <c r="F599" s="163">
        <v>151.63999999999999</v>
      </c>
      <c r="G599" s="1068">
        <f t="shared" si="50"/>
        <v>0</v>
      </c>
      <c r="H599" s="1068">
        <f t="shared" si="51"/>
        <v>38766.007799999992</v>
      </c>
      <c r="I599" s="1068">
        <f t="shared" si="52"/>
        <v>38766.007799999992</v>
      </c>
      <c r="J599" s="361"/>
    </row>
    <row r="600" spans="1:10" s="349" customFormat="1" ht="14.4" hidden="1" outlineLevel="1" x14ac:dyDescent="0.25">
      <c r="A600" s="39" t="s">
        <v>2520</v>
      </c>
      <c r="B600" s="1081" t="s">
        <v>572</v>
      </c>
      <c r="C600" s="1082" t="s">
        <v>74</v>
      </c>
      <c r="D600" s="1082">
        <f>1.9*D593*1.15+0.2*D593*1.15</f>
        <v>282.55499999999995</v>
      </c>
      <c r="E600" s="163"/>
      <c r="F600" s="163">
        <v>224.25</v>
      </c>
      <c r="G600" s="1068">
        <f t="shared" si="50"/>
        <v>0</v>
      </c>
      <c r="H600" s="1068">
        <f t="shared" si="51"/>
        <v>63362.958749999991</v>
      </c>
      <c r="I600" s="1068">
        <f t="shared" si="52"/>
        <v>63362.958749999991</v>
      </c>
      <c r="J600" s="361"/>
    </row>
    <row r="601" spans="1:10" s="363" customFormat="1" ht="14.4" hidden="1" outlineLevel="1" x14ac:dyDescent="0.25">
      <c r="A601" s="39" t="s">
        <v>2524</v>
      </c>
      <c r="B601" s="1081" t="s">
        <v>588</v>
      </c>
      <c r="C601" s="1082" t="s">
        <v>74</v>
      </c>
      <c r="D601" s="1083">
        <v>18</v>
      </c>
      <c r="E601" s="163">
        <v>1500</v>
      </c>
      <c r="F601" s="163"/>
      <c r="G601" s="1068">
        <f t="shared" si="50"/>
        <v>27000</v>
      </c>
      <c r="H601" s="1068">
        <f t="shared" si="51"/>
        <v>0</v>
      </c>
      <c r="I601" s="1068">
        <f t="shared" si="52"/>
        <v>27000</v>
      </c>
      <c r="J601" s="361"/>
    </row>
    <row r="602" spans="1:10" s="349" customFormat="1" ht="14.4" hidden="1" outlineLevel="1" x14ac:dyDescent="0.25">
      <c r="A602" s="39" t="s">
        <v>2525</v>
      </c>
      <c r="B602" s="1081" t="s">
        <v>552</v>
      </c>
      <c r="C602" s="1082" t="s">
        <v>74</v>
      </c>
      <c r="D602" s="1082">
        <f>D601*1.15</f>
        <v>20.7</v>
      </c>
      <c r="E602" s="163"/>
      <c r="F602" s="163">
        <v>48</v>
      </c>
      <c r="G602" s="1068">
        <f t="shared" si="50"/>
        <v>0</v>
      </c>
      <c r="H602" s="1068">
        <f t="shared" si="51"/>
        <v>993.59999999999991</v>
      </c>
      <c r="I602" s="1068">
        <f t="shared" si="52"/>
        <v>993.59999999999991</v>
      </c>
      <c r="J602" s="361"/>
    </row>
    <row r="603" spans="1:10" s="349" customFormat="1" ht="14.4" hidden="1" outlineLevel="1" x14ac:dyDescent="0.25">
      <c r="A603" s="39" t="s">
        <v>2526</v>
      </c>
      <c r="B603" s="1081" t="s">
        <v>591</v>
      </c>
      <c r="C603" s="1082" t="s">
        <v>34</v>
      </c>
      <c r="D603" s="1082">
        <f>D601*0.02</f>
        <v>0.36</v>
      </c>
      <c r="E603" s="163"/>
      <c r="F603" s="163">
        <v>3255</v>
      </c>
      <c r="G603" s="1068">
        <f t="shared" si="50"/>
        <v>0</v>
      </c>
      <c r="H603" s="1068">
        <f t="shared" si="51"/>
        <v>1171.8</v>
      </c>
      <c r="I603" s="1068">
        <f t="shared" si="52"/>
        <v>1171.8</v>
      </c>
      <c r="J603" s="361"/>
    </row>
    <row r="604" spans="1:10" s="349" customFormat="1" ht="28.8" hidden="1" outlineLevel="1" x14ac:dyDescent="0.25">
      <c r="A604" s="39" t="s">
        <v>2527</v>
      </c>
      <c r="B604" s="1081" t="s">
        <v>593</v>
      </c>
      <c r="C604" s="1082" t="s">
        <v>34</v>
      </c>
      <c r="D604" s="1082">
        <f>D601*1.6*0.2</f>
        <v>5.7600000000000007</v>
      </c>
      <c r="E604" s="108"/>
      <c r="F604" s="108">
        <v>4990</v>
      </c>
      <c r="G604" s="1068">
        <f t="shared" si="50"/>
        <v>0</v>
      </c>
      <c r="H604" s="1068">
        <f t="shared" si="51"/>
        <v>28742.400000000005</v>
      </c>
      <c r="I604" s="1068">
        <f t="shared" si="52"/>
        <v>28742.400000000005</v>
      </c>
      <c r="J604" s="361"/>
    </row>
    <row r="605" spans="1:10" s="349" customFormat="1" ht="14.4" hidden="1" outlineLevel="1" x14ac:dyDescent="0.25">
      <c r="A605" s="39" t="s">
        <v>2529</v>
      </c>
      <c r="B605" s="1081" t="s">
        <v>566</v>
      </c>
      <c r="C605" s="1082" t="s">
        <v>74</v>
      </c>
      <c r="D605" s="1082">
        <f>D601*2*1.1</f>
        <v>39.6</v>
      </c>
      <c r="E605" s="108">
        <v>70</v>
      </c>
      <c r="F605" s="108">
        <v>283.5</v>
      </c>
      <c r="G605" s="1068">
        <f t="shared" si="50"/>
        <v>2772</v>
      </c>
      <c r="H605" s="1068">
        <f t="shared" si="51"/>
        <v>11226.6</v>
      </c>
      <c r="I605" s="1068">
        <f t="shared" si="52"/>
        <v>13998.6</v>
      </c>
      <c r="J605" s="361"/>
    </row>
    <row r="606" spans="1:10" s="349" customFormat="1" ht="14.4" hidden="1" outlineLevel="1" x14ac:dyDescent="0.25">
      <c r="A606" s="39" t="s">
        <v>2530</v>
      </c>
      <c r="B606" s="1081" t="s">
        <v>568</v>
      </c>
      <c r="C606" s="1082" t="s">
        <v>311</v>
      </c>
      <c r="D606" s="1082">
        <f>D605*2/3.3</f>
        <v>24.000000000000004</v>
      </c>
      <c r="E606" s="108"/>
      <c r="F606" s="108">
        <v>108.35</v>
      </c>
      <c r="G606" s="1068">
        <f t="shared" si="50"/>
        <v>0</v>
      </c>
      <c r="H606" s="1068">
        <f t="shared" si="51"/>
        <v>2600.4</v>
      </c>
      <c r="I606" s="1068">
        <f t="shared" si="52"/>
        <v>2600.4</v>
      </c>
      <c r="J606" s="361"/>
    </row>
    <row r="607" spans="1:10" s="349" customFormat="1" ht="28.8" hidden="1" outlineLevel="1" x14ac:dyDescent="0.25">
      <c r="A607" s="39" t="s">
        <v>2532</v>
      </c>
      <c r="B607" s="1081" t="s">
        <v>597</v>
      </c>
      <c r="C607" s="1082" t="s">
        <v>74</v>
      </c>
      <c r="D607" s="1082">
        <f>D601*1.4</f>
        <v>25.2</v>
      </c>
      <c r="E607" s="108"/>
      <c r="F607" s="108">
        <v>151.63999999999999</v>
      </c>
      <c r="G607" s="1068">
        <f t="shared" si="50"/>
        <v>0</v>
      </c>
      <c r="H607" s="1068">
        <f t="shared" si="51"/>
        <v>3821.3279999999995</v>
      </c>
      <c r="I607" s="1068">
        <f t="shared" si="52"/>
        <v>3821.3279999999995</v>
      </c>
      <c r="J607" s="361"/>
    </row>
    <row r="608" spans="1:10" s="349" customFormat="1" ht="14.4" hidden="1" outlineLevel="1" x14ac:dyDescent="0.25">
      <c r="A608" s="39" t="s">
        <v>2534</v>
      </c>
      <c r="B608" s="1081" t="s">
        <v>599</v>
      </c>
      <c r="C608" s="1082" t="s">
        <v>74</v>
      </c>
      <c r="D608" s="1082">
        <f>D601*1.4</f>
        <v>25.2</v>
      </c>
      <c r="E608" s="108"/>
      <c r="F608" s="108">
        <v>223.12</v>
      </c>
      <c r="G608" s="1068">
        <f t="shared" si="50"/>
        <v>0</v>
      </c>
      <c r="H608" s="1068">
        <f t="shared" si="51"/>
        <v>5622.6239999999998</v>
      </c>
      <c r="I608" s="1068">
        <f t="shared" si="52"/>
        <v>5622.6239999999998</v>
      </c>
      <c r="J608" s="361"/>
    </row>
    <row r="609" spans="1:10" s="349" customFormat="1" ht="14.4" hidden="1" outlineLevel="1" x14ac:dyDescent="0.25">
      <c r="A609" s="39" t="s">
        <v>2535</v>
      </c>
      <c r="B609" s="1081" t="s">
        <v>572</v>
      </c>
      <c r="C609" s="1082" t="s">
        <v>74</v>
      </c>
      <c r="D609" s="1082">
        <f>D601*1.5</f>
        <v>27</v>
      </c>
      <c r="E609" s="108"/>
      <c r="F609" s="108">
        <v>224.25</v>
      </c>
      <c r="G609" s="1068">
        <f t="shared" si="50"/>
        <v>0</v>
      </c>
      <c r="H609" s="1068">
        <f t="shared" si="51"/>
        <v>6054.75</v>
      </c>
      <c r="I609" s="1068">
        <f t="shared" si="52"/>
        <v>6054.75</v>
      </c>
      <c r="J609" s="361"/>
    </row>
    <row r="610" spans="1:10" s="349" customFormat="1" ht="14.4" hidden="1" outlineLevel="1" x14ac:dyDescent="0.25">
      <c r="A610" s="39" t="s">
        <v>2776</v>
      </c>
      <c r="B610" s="1081" t="s">
        <v>602</v>
      </c>
      <c r="C610" s="1082" t="s">
        <v>44</v>
      </c>
      <c r="D610" s="1083">
        <f>D609/0.6+1</f>
        <v>46</v>
      </c>
      <c r="E610" s="108"/>
      <c r="F610" s="108">
        <v>125</v>
      </c>
      <c r="G610" s="1068">
        <f t="shared" si="50"/>
        <v>0</v>
      </c>
      <c r="H610" s="1068">
        <f t="shared" si="51"/>
        <v>5750</v>
      </c>
      <c r="I610" s="1068">
        <f t="shared" si="52"/>
        <v>5750</v>
      </c>
      <c r="J610" s="361"/>
    </row>
    <row r="611" spans="1:10" s="349" customFormat="1" ht="14.4" hidden="1" outlineLevel="1" x14ac:dyDescent="0.25">
      <c r="A611" s="39" t="s">
        <v>2777</v>
      </c>
      <c r="B611" s="1081" t="s">
        <v>1125</v>
      </c>
      <c r="C611" s="1082" t="s">
        <v>44</v>
      </c>
      <c r="D611" s="1214">
        <v>140</v>
      </c>
      <c r="E611" s="108"/>
      <c r="F611" s="108">
        <v>13.8</v>
      </c>
      <c r="G611" s="1068">
        <f t="shared" si="50"/>
        <v>0</v>
      </c>
      <c r="H611" s="1068">
        <f t="shared" si="51"/>
        <v>1932</v>
      </c>
      <c r="I611" s="1068">
        <f t="shared" si="52"/>
        <v>1932</v>
      </c>
      <c r="J611" s="361"/>
    </row>
    <row r="612" spans="1:10" s="349" customFormat="1" ht="14.4" hidden="1" outlineLevel="1" x14ac:dyDescent="0.25">
      <c r="A612" s="39" t="s">
        <v>2778</v>
      </c>
      <c r="B612" s="1081" t="s">
        <v>605</v>
      </c>
      <c r="C612" s="1082" t="s">
        <v>606</v>
      </c>
      <c r="D612" s="1214">
        <v>18</v>
      </c>
      <c r="E612" s="108">
        <v>100</v>
      </c>
      <c r="F612" s="108">
        <v>120</v>
      </c>
      <c r="G612" s="1068">
        <f t="shared" si="50"/>
        <v>1800</v>
      </c>
      <c r="H612" s="1068">
        <f t="shared" si="51"/>
        <v>2160</v>
      </c>
      <c r="I612" s="1068">
        <f t="shared" si="52"/>
        <v>3960</v>
      </c>
      <c r="J612" s="361"/>
    </row>
    <row r="613" spans="1:10" s="349" customFormat="1" ht="14.4" hidden="1" outlineLevel="1" x14ac:dyDescent="0.25">
      <c r="A613" s="39" t="s">
        <v>2779</v>
      </c>
      <c r="B613" s="1081" t="s">
        <v>608</v>
      </c>
      <c r="C613" s="1082" t="s">
        <v>606</v>
      </c>
      <c r="D613" s="1214">
        <f>D612*2</f>
        <v>36</v>
      </c>
      <c r="E613" s="108">
        <v>100</v>
      </c>
      <c r="F613" s="108">
        <v>47</v>
      </c>
      <c r="G613" s="1068">
        <f t="shared" si="50"/>
        <v>3600</v>
      </c>
      <c r="H613" s="1068">
        <f t="shared" si="51"/>
        <v>1692</v>
      </c>
      <c r="I613" s="1068">
        <f t="shared" si="52"/>
        <v>5292</v>
      </c>
      <c r="J613" s="361"/>
    </row>
    <row r="614" spans="1:10" s="349" customFormat="1" ht="14.4" hidden="1" outlineLevel="1" x14ac:dyDescent="0.25">
      <c r="A614" s="39" t="s">
        <v>2780</v>
      </c>
      <c r="B614" s="1081" t="s">
        <v>1140</v>
      </c>
      <c r="C614" s="1082" t="s">
        <v>44</v>
      </c>
      <c r="D614" s="1214">
        <v>15</v>
      </c>
      <c r="E614" s="108"/>
      <c r="F614" s="108">
        <v>350</v>
      </c>
      <c r="G614" s="1068">
        <f t="shared" si="50"/>
        <v>0</v>
      </c>
      <c r="H614" s="1068">
        <f t="shared" si="51"/>
        <v>5250</v>
      </c>
      <c r="I614" s="1068">
        <f t="shared" si="52"/>
        <v>5250</v>
      </c>
      <c r="J614" s="361"/>
    </row>
    <row r="615" spans="1:10" s="363" customFormat="1" ht="14.4" hidden="1" outlineLevel="1" x14ac:dyDescent="0.25">
      <c r="A615" s="39" t="s">
        <v>2536</v>
      </c>
      <c r="B615" s="1081" t="s">
        <v>612</v>
      </c>
      <c r="C615" s="1082" t="s">
        <v>74</v>
      </c>
      <c r="D615" s="1082">
        <v>32</v>
      </c>
      <c r="E615" s="108">
        <v>1200</v>
      </c>
      <c r="F615" s="108"/>
      <c r="G615" s="1068">
        <f t="shared" si="50"/>
        <v>38400</v>
      </c>
      <c r="H615" s="1068">
        <f t="shared" si="51"/>
        <v>0</v>
      </c>
      <c r="I615" s="1068">
        <f t="shared" si="52"/>
        <v>38400</v>
      </c>
      <c r="J615" s="361"/>
    </row>
    <row r="616" spans="1:10" s="349" customFormat="1" ht="14.4" hidden="1" outlineLevel="1" x14ac:dyDescent="0.25">
      <c r="A616" s="39" t="s">
        <v>2537</v>
      </c>
      <c r="B616" s="1081" t="s">
        <v>552</v>
      </c>
      <c r="C616" s="1082" t="s">
        <v>74</v>
      </c>
      <c r="D616" s="1082">
        <f>D615*1.15</f>
        <v>36.799999999999997</v>
      </c>
      <c r="E616" s="108"/>
      <c r="F616" s="108">
        <v>48</v>
      </c>
      <c r="G616" s="1068">
        <f t="shared" si="50"/>
        <v>0</v>
      </c>
      <c r="H616" s="1068">
        <f t="shared" si="51"/>
        <v>1766.3999999999999</v>
      </c>
      <c r="I616" s="1068">
        <f t="shared" si="52"/>
        <v>1766.3999999999999</v>
      </c>
      <c r="J616" s="361"/>
    </row>
    <row r="617" spans="1:10" s="349" customFormat="1" ht="14.4" hidden="1" outlineLevel="1" x14ac:dyDescent="0.25">
      <c r="A617" s="39" t="s">
        <v>2539</v>
      </c>
      <c r="B617" s="1081" t="s">
        <v>615</v>
      </c>
      <c r="C617" s="1082" t="s">
        <v>34</v>
      </c>
      <c r="D617" s="1082">
        <f>D615*0.02</f>
        <v>0.64</v>
      </c>
      <c r="E617" s="108"/>
      <c r="F617" s="108">
        <v>3255</v>
      </c>
      <c r="G617" s="1068">
        <f t="shared" si="50"/>
        <v>0</v>
      </c>
      <c r="H617" s="1068">
        <f t="shared" si="51"/>
        <v>2083.1999999999998</v>
      </c>
      <c r="I617" s="1068">
        <f t="shared" si="52"/>
        <v>2083.1999999999998</v>
      </c>
      <c r="J617" s="361"/>
    </row>
    <row r="618" spans="1:10" s="349" customFormat="1" ht="28.8" hidden="1" outlineLevel="1" x14ac:dyDescent="0.25">
      <c r="A618" s="39" t="s">
        <v>2541</v>
      </c>
      <c r="B618" s="1081" t="s">
        <v>617</v>
      </c>
      <c r="C618" s="1082" t="s">
        <v>74</v>
      </c>
      <c r="D618" s="1082">
        <f>D615*1.4</f>
        <v>44.8</v>
      </c>
      <c r="E618" s="108"/>
      <c r="F618" s="108">
        <v>154</v>
      </c>
      <c r="G618" s="1068">
        <f t="shared" si="50"/>
        <v>0</v>
      </c>
      <c r="H618" s="1068">
        <f t="shared" si="51"/>
        <v>6899.2</v>
      </c>
      <c r="I618" s="1068">
        <f t="shared" si="52"/>
        <v>6899.2</v>
      </c>
      <c r="J618" s="361"/>
    </row>
    <row r="619" spans="1:10" s="349" customFormat="1" ht="14.4" hidden="1" outlineLevel="1" x14ac:dyDescent="0.25">
      <c r="A619" s="39" t="s">
        <v>2543</v>
      </c>
      <c r="B619" s="1081" t="s">
        <v>572</v>
      </c>
      <c r="C619" s="1082" t="s">
        <v>74</v>
      </c>
      <c r="D619" s="1082">
        <f>D615*1.5</f>
        <v>48</v>
      </c>
      <c r="E619" s="163"/>
      <c r="F619" s="163">
        <v>174.6</v>
      </c>
      <c r="G619" s="1068">
        <f t="shared" si="50"/>
        <v>0</v>
      </c>
      <c r="H619" s="1068">
        <f t="shared" si="51"/>
        <v>8380.7999999999993</v>
      </c>
      <c r="I619" s="1068">
        <f t="shared" si="52"/>
        <v>8380.7999999999993</v>
      </c>
      <c r="J619" s="361"/>
    </row>
    <row r="620" spans="1:10" s="349" customFormat="1" ht="14.4" hidden="1" outlineLevel="1" x14ac:dyDescent="0.25">
      <c r="A620" s="39" t="s">
        <v>2545</v>
      </c>
      <c r="B620" s="1081" t="s">
        <v>605</v>
      </c>
      <c r="C620" s="1082" t="s">
        <v>606</v>
      </c>
      <c r="D620" s="1214">
        <v>32</v>
      </c>
      <c r="E620" s="163">
        <v>100</v>
      </c>
      <c r="F620" s="163">
        <v>94</v>
      </c>
      <c r="G620" s="1068">
        <f t="shared" si="50"/>
        <v>3200</v>
      </c>
      <c r="H620" s="1068">
        <f t="shared" si="51"/>
        <v>3008</v>
      </c>
      <c r="I620" s="1068">
        <f t="shared" si="52"/>
        <v>6208</v>
      </c>
      <c r="J620" s="361"/>
    </row>
    <row r="621" spans="1:10" s="349" customFormat="1" ht="14.4" hidden="1" outlineLevel="1" x14ac:dyDescent="0.25">
      <c r="A621" s="39" t="s">
        <v>2547</v>
      </c>
      <c r="B621" s="1081" t="s">
        <v>610</v>
      </c>
      <c r="C621" s="1082" t="s">
        <v>44</v>
      </c>
      <c r="D621" s="1214">
        <v>20</v>
      </c>
      <c r="E621" s="163"/>
      <c r="F621" s="163">
        <v>350</v>
      </c>
      <c r="G621" s="1068">
        <f t="shared" si="50"/>
        <v>0</v>
      </c>
      <c r="H621" s="1068">
        <f t="shared" si="51"/>
        <v>7000</v>
      </c>
      <c r="I621" s="1068">
        <f t="shared" si="52"/>
        <v>7000</v>
      </c>
      <c r="J621" s="361"/>
    </row>
    <row r="622" spans="1:10" s="349" customFormat="1" ht="28.8" hidden="1" outlineLevel="1" x14ac:dyDescent="0.25">
      <c r="A622" s="39" t="s">
        <v>2549</v>
      </c>
      <c r="B622" s="1081" t="s">
        <v>622</v>
      </c>
      <c r="C622" s="1082" t="s">
        <v>34</v>
      </c>
      <c r="D622" s="1082">
        <f>D620*0.6*0.1</f>
        <v>1.92</v>
      </c>
      <c r="E622" s="163"/>
      <c r="F622" s="163">
        <v>4990</v>
      </c>
      <c r="G622" s="1068">
        <f t="shared" si="50"/>
        <v>0</v>
      </c>
      <c r="H622" s="1068">
        <f t="shared" si="51"/>
        <v>9580.7999999999993</v>
      </c>
      <c r="I622" s="1068">
        <f t="shared" si="52"/>
        <v>9580.7999999999993</v>
      </c>
      <c r="J622" s="361"/>
    </row>
    <row r="623" spans="1:10" s="363" customFormat="1" ht="14.4" hidden="1" outlineLevel="1" x14ac:dyDescent="0.25">
      <c r="A623" s="39" t="s">
        <v>2553</v>
      </c>
      <c r="B623" s="1081" t="s">
        <v>624</v>
      </c>
      <c r="C623" s="1082" t="s">
        <v>74</v>
      </c>
      <c r="D623" s="1082">
        <f>16.95+49.89</f>
        <v>66.84</v>
      </c>
      <c r="E623" s="163">
        <v>600</v>
      </c>
      <c r="F623" s="163"/>
      <c r="G623" s="1068">
        <f t="shared" si="50"/>
        <v>40104</v>
      </c>
      <c r="H623" s="1068">
        <f t="shared" si="51"/>
        <v>0</v>
      </c>
      <c r="I623" s="1068">
        <f t="shared" si="52"/>
        <v>40104</v>
      </c>
      <c r="J623" s="361"/>
    </row>
    <row r="624" spans="1:10" s="349" customFormat="1" ht="14.4" hidden="1" outlineLevel="1" x14ac:dyDescent="0.25">
      <c r="A624" s="39" t="s">
        <v>2555</v>
      </c>
      <c r="B624" s="1081" t="s">
        <v>626</v>
      </c>
      <c r="C624" s="1082" t="s">
        <v>74</v>
      </c>
      <c r="D624" s="1082">
        <f>D623*1.2</f>
        <v>80.207999999999998</v>
      </c>
      <c r="E624" s="163"/>
      <c r="F624" s="163">
        <v>240</v>
      </c>
      <c r="G624" s="1068">
        <f t="shared" si="50"/>
        <v>0</v>
      </c>
      <c r="H624" s="1068">
        <f t="shared" si="51"/>
        <v>19249.919999999998</v>
      </c>
      <c r="I624" s="1068">
        <f t="shared" si="52"/>
        <v>19249.919999999998</v>
      </c>
      <c r="J624" s="361"/>
    </row>
    <row r="625" spans="1:10" s="349" customFormat="1" ht="14.4" hidden="1" outlineLevel="1" x14ac:dyDescent="0.25">
      <c r="A625" s="39" t="s">
        <v>2556</v>
      </c>
      <c r="B625" s="1081" t="s">
        <v>552</v>
      </c>
      <c r="C625" s="1082" t="s">
        <v>74</v>
      </c>
      <c r="D625" s="1082">
        <f>D623*1.15</f>
        <v>76.866</v>
      </c>
      <c r="E625" s="163"/>
      <c r="F625" s="163">
        <v>48</v>
      </c>
      <c r="G625" s="1068">
        <f t="shared" si="50"/>
        <v>0</v>
      </c>
      <c r="H625" s="1068">
        <f t="shared" si="51"/>
        <v>3689.5680000000002</v>
      </c>
      <c r="I625" s="1068">
        <f t="shared" si="52"/>
        <v>3689.5680000000002</v>
      </c>
      <c r="J625" s="361"/>
    </row>
    <row r="626" spans="1:10" s="349" customFormat="1" ht="28.8" hidden="1" outlineLevel="1" x14ac:dyDescent="0.25">
      <c r="A626" s="39" t="s">
        <v>2557</v>
      </c>
      <c r="B626" s="1081" t="s">
        <v>560</v>
      </c>
      <c r="C626" s="1082" t="s">
        <v>34</v>
      </c>
      <c r="D626" s="1082">
        <f>D623*0.1*1.04</f>
        <v>6.9513600000000011</v>
      </c>
      <c r="E626" s="163"/>
      <c r="F626" s="163">
        <v>4867.88</v>
      </c>
      <c r="G626" s="1068">
        <f t="shared" si="50"/>
        <v>0</v>
      </c>
      <c r="H626" s="1068">
        <f t="shared" si="51"/>
        <v>33838.386316800003</v>
      </c>
      <c r="I626" s="1068">
        <f t="shared" si="52"/>
        <v>33838.386316800003</v>
      </c>
      <c r="J626" s="361"/>
    </row>
    <row r="627" spans="1:10" s="349" customFormat="1" ht="28.8" hidden="1" outlineLevel="1" x14ac:dyDescent="0.25">
      <c r="A627" s="39" t="s">
        <v>2558</v>
      </c>
      <c r="B627" s="1081" t="s">
        <v>562</v>
      </c>
      <c r="C627" s="1082" t="s">
        <v>34</v>
      </c>
      <c r="D627" s="1082">
        <f>D623*1.04*0.05</f>
        <v>3.4756800000000005</v>
      </c>
      <c r="E627" s="163"/>
      <c r="F627" s="163">
        <v>4476.7700000000004</v>
      </c>
      <c r="G627" s="1068">
        <f t="shared" si="50"/>
        <v>0</v>
      </c>
      <c r="H627" s="1068">
        <f t="shared" si="51"/>
        <v>15559.819953600005</v>
      </c>
      <c r="I627" s="1068">
        <f t="shared" si="52"/>
        <v>15559.819953600005</v>
      </c>
      <c r="J627" s="361"/>
    </row>
    <row r="628" spans="1:10" s="349" customFormat="1" ht="28.8" hidden="1" outlineLevel="1" x14ac:dyDescent="0.25">
      <c r="A628" s="39" t="s">
        <v>2559</v>
      </c>
      <c r="B628" s="1081" t="s">
        <v>564</v>
      </c>
      <c r="C628" s="1082" t="s">
        <v>34</v>
      </c>
      <c r="D628" s="1082">
        <f>D623*1.04*0.05</f>
        <v>3.4756800000000005</v>
      </c>
      <c r="E628" s="163"/>
      <c r="F628" s="163">
        <v>6500</v>
      </c>
      <c r="G628" s="1068">
        <f t="shared" si="50"/>
        <v>0</v>
      </c>
      <c r="H628" s="1068">
        <f t="shared" si="51"/>
        <v>22591.920000000002</v>
      </c>
      <c r="I628" s="1068">
        <f t="shared" si="52"/>
        <v>22591.920000000002</v>
      </c>
      <c r="J628" s="361"/>
    </row>
    <row r="629" spans="1:10" s="349" customFormat="1" ht="14.4" hidden="1" outlineLevel="1" x14ac:dyDescent="0.25">
      <c r="A629" s="39" t="s">
        <v>2560</v>
      </c>
      <c r="B629" s="1081" t="s">
        <v>566</v>
      </c>
      <c r="C629" s="1082" t="s">
        <v>74</v>
      </c>
      <c r="D629" s="1082">
        <f>D623*2*1.1</f>
        <v>147.04800000000003</v>
      </c>
      <c r="E629" s="163"/>
      <c r="F629" s="163">
        <v>263</v>
      </c>
      <c r="G629" s="1068">
        <f t="shared" si="50"/>
        <v>0</v>
      </c>
      <c r="H629" s="1068">
        <f t="shared" si="51"/>
        <v>38673.624000000011</v>
      </c>
      <c r="I629" s="1068">
        <f t="shared" si="52"/>
        <v>38673.624000000011</v>
      </c>
      <c r="J629" s="361"/>
    </row>
    <row r="630" spans="1:10" s="349" customFormat="1" ht="14.4" hidden="1" outlineLevel="1" x14ac:dyDescent="0.25">
      <c r="A630" s="39" t="s">
        <v>2561</v>
      </c>
      <c r="B630" s="1081" t="s">
        <v>570</v>
      </c>
      <c r="C630" s="1082" t="s">
        <v>74</v>
      </c>
      <c r="D630" s="1082">
        <f>D623*1.2</f>
        <v>80.207999999999998</v>
      </c>
      <c r="E630" s="163"/>
      <c r="F630" s="163">
        <v>154</v>
      </c>
      <c r="G630" s="1068">
        <f t="shared" si="50"/>
        <v>0</v>
      </c>
      <c r="H630" s="1068">
        <f t="shared" si="51"/>
        <v>12352.031999999999</v>
      </c>
      <c r="I630" s="1068">
        <f t="shared" si="52"/>
        <v>12352.031999999999</v>
      </c>
      <c r="J630" s="361"/>
    </row>
    <row r="631" spans="1:10" s="349" customFormat="1" ht="14.4" hidden="1" outlineLevel="1" x14ac:dyDescent="0.25">
      <c r="A631" s="39" t="s">
        <v>2562</v>
      </c>
      <c r="B631" s="1081" t="s">
        <v>572</v>
      </c>
      <c r="C631" s="1082" t="s">
        <v>74</v>
      </c>
      <c r="D631" s="1082">
        <f>D623*1.18</f>
        <v>78.871200000000002</v>
      </c>
      <c r="E631" s="163"/>
      <c r="F631" s="163">
        <v>223.81</v>
      </c>
      <c r="G631" s="1068">
        <f t="shared" si="50"/>
        <v>0</v>
      </c>
      <c r="H631" s="1068">
        <f t="shared" si="51"/>
        <v>17652.163272000002</v>
      </c>
      <c r="I631" s="1068">
        <f t="shared" si="52"/>
        <v>17652.163272000002</v>
      </c>
      <c r="J631" s="361"/>
    </row>
    <row r="632" spans="1:10" s="363" customFormat="1" ht="14.4" hidden="1" outlineLevel="1" x14ac:dyDescent="0.25">
      <c r="A632" s="39" t="s">
        <v>2563</v>
      </c>
      <c r="B632" s="1081" t="s">
        <v>635</v>
      </c>
      <c r="C632" s="1082" t="s">
        <v>318</v>
      </c>
      <c r="D632" s="1082">
        <v>44.9</v>
      </c>
      <c r="E632" s="163">
        <v>450</v>
      </c>
      <c r="F632" s="163"/>
      <c r="G632" s="1068">
        <f t="shared" si="50"/>
        <v>20205</v>
      </c>
      <c r="H632" s="1068">
        <f t="shared" si="51"/>
        <v>0</v>
      </c>
      <c r="I632" s="1068">
        <f t="shared" si="52"/>
        <v>20205</v>
      </c>
      <c r="J632" s="361"/>
    </row>
    <row r="633" spans="1:10" s="349" customFormat="1" ht="14.4" hidden="1" outlineLevel="1" x14ac:dyDescent="0.25">
      <c r="A633" s="39" t="s">
        <v>2565</v>
      </c>
      <c r="B633" s="1081" t="s">
        <v>570</v>
      </c>
      <c r="C633" s="1082" t="s">
        <v>74</v>
      </c>
      <c r="D633" s="1082">
        <f>1.5*1.2*D632</f>
        <v>80.819999999999993</v>
      </c>
      <c r="E633" s="163"/>
      <c r="F633" s="163">
        <v>154</v>
      </c>
      <c r="G633" s="1068">
        <f t="shared" si="50"/>
        <v>0</v>
      </c>
      <c r="H633" s="1068">
        <f t="shared" si="51"/>
        <v>12446.279999999999</v>
      </c>
      <c r="I633" s="1068">
        <f t="shared" si="52"/>
        <v>12446.279999999999</v>
      </c>
      <c r="J633" s="361"/>
    </row>
    <row r="634" spans="1:10" s="349" customFormat="1" ht="14.4" hidden="1" outlineLevel="1" x14ac:dyDescent="0.25">
      <c r="A634" s="39" t="s">
        <v>2566</v>
      </c>
      <c r="B634" s="1081" t="s">
        <v>572</v>
      </c>
      <c r="C634" s="1082" t="s">
        <v>74</v>
      </c>
      <c r="D634" s="1082">
        <f>D633</f>
        <v>80.819999999999993</v>
      </c>
      <c r="E634" s="163"/>
      <c r="F634" s="163">
        <v>223.81</v>
      </c>
      <c r="G634" s="1068">
        <f t="shared" si="50"/>
        <v>0</v>
      </c>
      <c r="H634" s="1068">
        <f t="shared" si="51"/>
        <v>18088.324199999999</v>
      </c>
      <c r="I634" s="1068">
        <f t="shared" si="52"/>
        <v>18088.324199999999</v>
      </c>
      <c r="J634" s="361"/>
    </row>
    <row r="635" spans="1:10" s="349" customFormat="1" ht="14.4" hidden="1" outlineLevel="1" x14ac:dyDescent="0.25">
      <c r="A635" s="39" t="s">
        <v>2568</v>
      </c>
      <c r="B635" s="1081" t="s">
        <v>639</v>
      </c>
      <c r="C635" s="1082" t="s">
        <v>74</v>
      </c>
      <c r="D635" s="1082">
        <f>D632*1.1*1.15</f>
        <v>56.798499999999997</v>
      </c>
      <c r="E635" s="163">
        <v>150</v>
      </c>
      <c r="F635" s="163">
        <v>470</v>
      </c>
      <c r="G635" s="1068">
        <f t="shared" si="50"/>
        <v>8519.7749999999996</v>
      </c>
      <c r="H635" s="1068">
        <f t="shared" si="51"/>
        <v>26695.294999999998</v>
      </c>
      <c r="I635" s="1068">
        <f t="shared" si="52"/>
        <v>35215.07</v>
      </c>
      <c r="J635" s="361"/>
    </row>
    <row r="636" spans="1:10" s="349" customFormat="1" ht="14.4" hidden="1" outlineLevel="1" x14ac:dyDescent="0.25">
      <c r="A636" s="39" t="s">
        <v>2570</v>
      </c>
      <c r="B636" s="1081" t="s">
        <v>584</v>
      </c>
      <c r="C636" s="1082" t="s">
        <v>44</v>
      </c>
      <c r="D636" s="1083">
        <f>D632/0.6+1</f>
        <v>75.833333333333329</v>
      </c>
      <c r="E636" s="163"/>
      <c r="F636" s="163">
        <v>50</v>
      </c>
      <c r="G636" s="1068">
        <f t="shared" si="50"/>
        <v>0</v>
      </c>
      <c r="H636" s="1068">
        <f t="shared" si="51"/>
        <v>3791.6666666666665</v>
      </c>
      <c r="I636" s="1068">
        <f t="shared" si="52"/>
        <v>3791.6666666666665</v>
      </c>
      <c r="J636" s="361"/>
    </row>
    <row r="637" spans="1:10" s="363" customFormat="1" ht="14.4" hidden="1" outlineLevel="1" x14ac:dyDescent="0.25">
      <c r="A637" s="39" t="s">
        <v>2571</v>
      </c>
      <c r="B637" s="1081" t="s">
        <v>642</v>
      </c>
      <c r="C637" s="1082" t="s">
        <v>318</v>
      </c>
      <c r="D637" s="1082">
        <v>40</v>
      </c>
      <c r="E637" s="163">
        <v>450</v>
      </c>
      <c r="F637" s="163"/>
      <c r="G637" s="1068">
        <f t="shared" si="50"/>
        <v>18000</v>
      </c>
      <c r="H637" s="1068">
        <f t="shared" si="51"/>
        <v>0</v>
      </c>
      <c r="I637" s="1068">
        <f t="shared" si="52"/>
        <v>18000</v>
      </c>
      <c r="J637" s="361"/>
    </row>
    <row r="638" spans="1:10" s="349" customFormat="1" ht="14.4" hidden="1" outlineLevel="1" x14ac:dyDescent="0.25">
      <c r="A638" s="39" t="s">
        <v>2781</v>
      </c>
      <c r="B638" s="1081" t="s">
        <v>605</v>
      </c>
      <c r="C638" s="1082" t="s">
        <v>606</v>
      </c>
      <c r="D638" s="1083">
        <f>D637</f>
        <v>40</v>
      </c>
      <c r="E638" s="163"/>
      <c r="F638" s="163">
        <v>94</v>
      </c>
      <c r="G638" s="1068">
        <f t="shared" si="50"/>
        <v>0</v>
      </c>
      <c r="H638" s="1068">
        <f t="shared" si="51"/>
        <v>3760</v>
      </c>
      <c r="I638" s="1068">
        <f t="shared" si="52"/>
        <v>3760</v>
      </c>
      <c r="J638" s="361"/>
    </row>
    <row r="639" spans="1:10" s="349" customFormat="1" ht="14.4" hidden="1" outlineLevel="1" x14ac:dyDescent="0.25">
      <c r="A639" s="39" t="s">
        <v>2782</v>
      </c>
      <c r="B639" s="1081" t="s">
        <v>608</v>
      </c>
      <c r="C639" s="1082" t="s">
        <v>606</v>
      </c>
      <c r="D639" s="1082">
        <f>D637*2</f>
        <v>80</v>
      </c>
      <c r="E639" s="163"/>
      <c r="F639" s="163">
        <v>47</v>
      </c>
      <c r="G639" s="1068">
        <f t="shared" si="50"/>
        <v>0</v>
      </c>
      <c r="H639" s="1068">
        <f t="shared" si="51"/>
        <v>3760</v>
      </c>
      <c r="I639" s="1068">
        <f t="shared" si="52"/>
        <v>3760</v>
      </c>
      <c r="J639" s="361"/>
    </row>
    <row r="640" spans="1:10" s="349" customFormat="1" ht="14.4" hidden="1" outlineLevel="1" x14ac:dyDescent="0.25">
      <c r="A640" s="39" t="s">
        <v>2783</v>
      </c>
      <c r="B640" s="1081" t="s">
        <v>610</v>
      </c>
      <c r="C640" s="1082" t="s">
        <v>44</v>
      </c>
      <c r="D640" s="1082">
        <f>20</f>
        <v>20</v>
      </c>
      <c r="E640" s="163"/>
      <c r="F640" s="163">
        <v>350</v>
      </c>
      <c r="G640" s="1068">
        <f t="shared" si="50"/>
        <v>0</v>
      </c>
      <c r="H640" s="1068">
        <f t="shared" si="51"/>
        <v>7000</v>
      </c>
      <c r="I640" s="1068">
        <f t="shared" si="52"/>
        <v>7000</v>
      </c>
      <c r="J640" s="361"/>
    </row>
    <row r="641" spans="1:10" s="349" customFormat="1" ht="14.4" hidden="1" outlineLevel="1" x14ac:dyDescent="0.25">
      <c r="A641" s="39" t="s">
        <v>2784</v>
      </c>
      <c r="B641" s="1081" t="s">
        <v>566</v>
      </c>
      <c r="C641" s="1082" t="s">
        <v>74</v>
      </c>
      <c r="D641" s="1082">
        <f>D637*0.6*1.15</f>
        <v>27.599999999999998</v>
      </c>
      <c r="E641" s="163">
        <v>70</v>
      </c>
      <c r="F641" s="163">
        <v>263</v>
      </c>
      <c r="G641" s="1068">
        <f t="shared" si="50"/>
        <v>1931.9999999999998</v>
      </c>
      <c r="H641" s="1068">
        <f t="shared" si="51"/>
        <v>7258.7999999999993</v>
      </c>
      <c r="I641" s="1068">
        <f t="shared" si="52"/>
        <v>9190.7999999999993</v>
      </c>
      <c r="J641" s="361"/>
    </row>
    <row r="642" spans="1:10" s="349" customFormat="1" ht="28.8" hidden="1" outlineLevel="1" x14ac:dyDescent="0.25">
      <c r="A642" s="39" t="s">
        <v>2785</v>
      </c>
      <c r="B642" s="1081" t="s">
        <v>648</v>
      </c>
      <c r="C642" s="1082" t="s">
        <v>34</v>
      </c>
      <c r="D642" s="1082">
        <f>D637*0.15*1.1</f>
        <v>6.6000000000000005</v>
      </c>
      <c r="E642" s="163"/>
      <c r="F642" s="163">
        <v>4990</v>
      </c>
      <c r="G642" s="1068">
        <f t="shared" si="50"/>
        <v>0</v>
      </c>
      <c r="H642" s="1068">
        <f t="shared" si="51"/>
        <v>32934</v>
      </c>
      <c r="I642" s="1068">
        <f t="shared" si="52"/>
        <v>32934</v>
      </c>
      <c r="J642" s="361"/>
    </row>
    <row r="643" spans="1:10" s="363" customFormat="1" ht="14.4" hidden="1" outlineLevel="1" x14ac:dyDescent="0.25">
      <c r="A643" s="39" t="s">
        <v>2786</v>
      </c>
      <c r="B643" s="1081" t="s">
        <v>650</v>
      </c>
      <c r="C643" s="1082" t="s">
        <v>318</v>
      </c>
      <c r="D643" s="1082">
        <v>29</v>
      </c>
      <c r="E643" s="108">
        <v>450</v>
      </c>
      <c r="F643" s="108"/>
      <c r="G643" s="1068">
        <f t="shared" si="50"/>
        <v>13050</v>
      </c>
      <c r="H643" s="1068">
        <f t="shared" si="51"/>
        <v>0</v>
      </c>
      <c r="I643" s="1068">
        <f t="shared" si="52"/>
        <v>13050</v>
      </c>
      <c r="J643" s="361"/>
    </row>
    <row r="644" spans="1:10" s="349" customFormat="1" ht="14.4" hidden="1" outlineLevel="1" x14ac:dyDescent="0.25">
      <c r="A644" s="39" t="s">
        <v>2787</v>
      </c>
      <c r="B644" s="1081" t="s">
        <v>605</v>
      </c>
      <c r="C644" s="1082" t="s">
        <v>606</v>
      </c>
      <c r="D644" s="1083">
        <f>D643</f>
        <v>29</v>
      </c>
      <c r="E644" s="108"/>
      <c r="F644" s="108">
        <v>0</v>
      </c>
      <c r="G644" s="1068">
        <f t="shared" si="50"/>
        <v>0</v>
      </c>
      <c r="H644" s="1068">
        <f t="shared" si="51"/>
        <v>0</v>
      </c>
      <c r="I644" s="1068">
        <f t="shared" si="52"/>
        <v>0</v>
      </c>
      <c r="J644" s="361"/>
    </row>
    <row r="645" spans="1:10" s="349" customFormat="1" ht="14.4" hidden="1" outlineLevel="1" x14ac:dyDescent="0.25">
      <c r="A645" s="39" t="s">
        <v>2788</v>
      </c>
      <c r="B645" s="1081" t="s">
        <v>608</v>
      </c>
      <c r="C645" s="1082" t="s">
        <v>606</v>
      </c>
      <c r="D645" s="1082">
        <f>D643</f>
        <v>29</v>
      </c>
      <c r="E645" s="108"/>
      <c r="F645" s="108">
        <v>0</v>
      </c>
      <c r="G645" s="1068">
        <f t="shared" si="50"/>
        <v>0</v>
      </c>
      <c r="H645" s="1068">
        <f t="shared" si="51"/>
        <v>0</v>
      </c>
      <c r="I645" s="1068">
        <f t="shared" si="52"/>
        <v>0</v>
      </c>
      <c r="J645" s="361"/>
    </row>
    <row r="646" spans="1:10" s="349" customFormat="1" ht="14.4" hidden="1" outlineLevel="1" x14ac:dyDescent="0.25">
      <c r="A646" s="39" t="s">
        <v>2789</v>
      </c>
      <c r="B646" s="1081" t="s">
        <v>610</v>
      </c>
      <c r="C646" s="1082" t="s">
        <v>44</v>
      </c>
      <c r="D646" s="1082">
        <f>20</f>
        <v>20</v>
      </c>
      <c r="E646" s="108"/>
      <c r="F646" s="108">
        <v>350</v>
      </c>
      <c r="G646" s="1068">
        <f t="shared" si="50"/>
        <v>0</v>
      </c>
      <c r="H646" s="1068">
        <f t="shared" si="51"/>
        <v>7000</v>
      </c>
      <c r="I646" s="1068">
        <f t="shared" si="52"/>
        <v>7000</v>
      </c>
      <c r="J646" s="361"/>
    </row>
    <row r="647" spans="1:10" s="349" customFormat="1" ht="14.4" hidden="1" outlineLevel="1" x14ac:dyDescent="0.25">
      <c r="A647" s="39" t="s">
        <v>2790</v>
      </c>
      <c r="B647" s="1081" t="s">
        <v>566</v>
      </c>
      <c r="C647" s="1082" t="s">
        <v>74</v>
      </c>
      <c r="D647" s="1082">
        <f>D643*0.6*1.15</f>
        <v>20.009999999999998</v>
      </c>
      <c r="E647" s="108">
        <v>70</v>
      </c>
      <c r="F647" s="108">
        <v>263</v>
      </c>
      <c r="G647" s="1068">
        <f t="shared" si="50"/>
        <v>1400.6999999999998</v>
      </c>
      <c r="H647" s="1068">
        <f t="shared" si="51"/>
        <v>5262.6299999999992</v>
      </c>
      <c r="I647" s="1068">
        <f t="shared" si="52"/>
        <v>6663.329999999999</v>
      </c>
      <c r="J647" s="361"/>
    </row>
    <row r="648" spans="1:10" s="349" customFormat="1" ht="28.8" hidden="1" outlineLevel="1" x14ac:dyDescent="0.25">
      <c r="A648" s="39" t="s">
        <v>2791</v>
      </c>
      <c r="B648" s="1081" t="s">
        <v>648</v>
      </c>
      <c r="C648" s="1082" t="s">
        <v>34</v>
      </c>
      <c r="D648" s="1082">
        <f>D643*0.15*1.1</f>
        <v>4.7850000000000001</v>
      </c>
      <c r="E648" s="108"/>
      <c r="F648" s="108">
        <v>4990</v>
      </c>
      <c r="G648" s="1068">
        <f t="shared" si="50"/>
        <v>0</v>
      </c>
      <c r="H648" s="1068">
        <f t="shared" si="51"/>
        <v>23877.15</v>
      </c>
      <c r="I648" s="1068">
        <f t="shared" si="52"/>
        <v>23877.15</v>
      </c>
      <c r="J648" s="361"/>
    </row>
    <row r="649" spans="1:10" s="349" customFormat="1" ht="28.8" hidden="1" outlineLevel="1" x14ac:dyDescent="0.25">
      <c r="A649" s="39" t="s">
        <v>2792</v>
      </c>
      <c r="B649" s="1081" t="s">
        <v>657</v>
      </c>
      <c r="C649" s="1082" t="s">
        <v>318</v>
      </c>
      <c r="D649" s="1082">
        <f>D643</f>
        <v>29</v>
      </c>
      <c r="E649" s="108">
        <v>50</v>
      </c>
      <c r="F649" s="108">
        <v>100</v>
      </c>
      <c r="G649" s="1068">
        <f t="shared" ref="G649:G707" si="53">D649*E649</f>
        <v>1450</v>
      </c>
      <c r="H649" s="1068">
        <f t="shared" ref="H649:H707" si="54">D649*F649</f>
        <v>2900</v>
      </c>
      <c r="I649" s="1068">
        <f t="shared" ref="I649:I707" si="55">G649+H649</f>
        <v>4350</v>
      </c>
      <c r="J649" s="361"/>
    </row>
    <row r="650" spans="1:10" s="349" customFormat="1" ht="14.4" hidden="1" outlineLevel="1" x14ac:dyDescent="0.25">
      <c r="A650" s="39" t="s">
        <v>2793</v>
      </c>
      <c r="B650" s="1081" t="s">
        <v>659</v>
      </c>
      <c r="C650" s="1082" t="s">
        <v>44</v>
      </c>
      <c r="D650" s="1082">
        <v>15</v>
      </c>
      <c r="E650" s="108"/>
      <c r="F650" s="108">
        <v>300</v>
      </c>
      <c r="G650" s="1068">
        <f t="shared" si="53"/>
        <v>0</v>
      </c>
      <c r="H650" s="1068">
        <f t="shared" si="54"/>
        <v>4500</v>
      </c>
      <c r="I650" s="1068">
        <f t="shared" si="55"/>
        <v>4500</v>
      </c>
      <c r="J650" s="361"/>
    </row>
    <row r="651" spans="1:10" s="363" customFormat="1" ht="14.4" hidden="1" outlineLevel="1" x14ac:dyDescent="0.25">
      <c r="A651" s="39" t="s">
        <v>2794</v>
      </c>
      <c r="B651" s="1081" t="s">
        <v>661</v>
      </c>
      <c r="C651" s="1082" t="s">
        <v>44</v>
      </c>
      <c r="D651" s="1082">
        <v>4</v>
      </c>
      <c r="E651" s="108">
        <v>500</v>
      </c>
      <c r="F651" s="108">
        <v>3470</v>
      </c>
      <c r="G651" s="1068">
        <f t="shared" si="53"/>
        <v>2000</v>
      </c>
      <c r="H651" s="1068">
        <f t="shared" si="54"/>
        <v>13880</v>
      </c>
      <c r="I651" s="1068">
        <f t="shared" si="55"/>
        <v>15880</v>
      </c>
      <c r="J651" s="361"/>
    </row>
    <row r="652" spans="1:10" s="363" customFormat="1" ht="14.4" hidden="1" outlineLevel="1" x14ac:dyDescent="0.25">
      <c r="A652" s="1084" t="s">
        <v>2795</v>
      </c>
      <c r="B652" s="1085" t="s">
        <v>663</v>
      </c>
      <c r="C652" s="1086" t="s">
        <v>44</v>
      </c>
      <c r="D652" s="1086">
        <v>1</v>
      </c>
      <c r="E652" s="133"/>
      <c r="F652" s="133">
        <v>30000</v>
      </c>
      <c r="G652" s="1089">
        <f t="shared" si="53"/>
        <v>0</v>
      </c>
      <c r="H652" s="1089">
        <f t="shared" si="54"/>
        <v>30000</v>
      </c>
      <c r="I652" s="1089">
        <f t="shared" si="55"/>
        <v>30000</v>
      </c>
      <c r="J652" s="361"/>
    </row>
    <row r="653" spans="1:10" s="363" customFormat="1" ht="14.4" hidden="1" outlineLevel="1" x14ac:dyDescent="0.25">
      <c r="A653" s="1084" t="s">
        <v>2796</v>
      </c>
      <c r="B653" s="1087" t="s">
        <v>665</v>
      </c>
      <c r="C653" s="1084" t="s">
        <v>74</v>
      </c>
      <c r="D653" s="1088">
        <f>15.65*1</f>
        <v>15.65</v>
      </c>
      <c r="E653" s="133">
        <v>350</v>
      </c>
      <c r="F653" s="133"/>
      <c r="G653" s="1089">
        <f t="shared" si="53"/>
        <v>5477.5</v>
      </c>
      <c r="H653" s="1089">
        <f t="shared" si="54"/>
        <v>0</v>
      </c>
      <c r="I653" s="1089">
        <f t="shared" si="55"/>
        <v>5477.5</v>
      </c>
      <c r="J653" s="361"/>
    </row>
    <row r="654" spans="1:10" s="363" customFormat="1" ht="14.4" hidden="1" outlineLevel="1" x14ac:dyDescent="0.25">
      <c r="A654" s="1084" t="s">
        <v>2797</v>
      </c>
      <c r="B654" s="138" t="s">
        <v>351</v>
      </c>
      <c r="C654" s="42" t="s">
        <v>34</v>
      </c>
      <c r="D654" s="1022">
        <f>PRODUCT(D653,0.02)</f>
        <v>0.313</v>
      </c>
      <c r="E654" s="108"/>
      <c r="F654" s="108">
        <v>3900</v>
      </c>
      <c r="G654" s="1068">
        <f t="shared" si="53"/>
        <v>0</v>
      </c>
      <c r="H654" s="1068">
        <f t="shared" si="54"/>
        <v>1220.7</v>
      </c>
      <c r="I654" s="1068">
        <f t="shared" si="55"/>
        <v>1220.7</v>
      </c>
      <c r="J654" s="361"/>
    </row>
    <row r="655" spans="1:10" s="363" customFormat="1" ht="14.4" hidden="1" outlineLevel="1" x14ac:dyDescent="0.25">
      <c r="A655" s="1084" t="s">
        <v>2798</v>
      </c>
      <c r="B655" s="1087" t="s">
        <v>1156</v>
      </c>
      <c r="C655" s="1084" t="s">
        <v>74</v>
      </c>
      <c r="D655" s="1088">
        <f>PRODUCT(D653,1.1)</f>
        <v>17.215000000000003</v>
      </c>
      <c r="E655" s="133"/>
      <c r="F655" s="133">
        <v>350</v>
      </c>
      <c r="G655" s="1068">
        <f t="shared" si="53"/>
        <v>0</v>
      </c>
      <c r="H655" s="1068">
        <f t="shared" si="54"/>
        <v>6025.2500000000009</v>
      </c>
      <c r="I655" s="1068">
        <f t="shared" si="55"/>
        <v>6025.2500000000009</v>
      </c>
      <c r="J655" s="361"/>
    </row>
    <row r="656" spans="1:10" s="363" customFormat="1" ht="14.4" hidden="1" outlineLevel="1" x14ac:dyDescent="0.25">
      <c r="A656" s="39" t="s">
        <v>2799</v>
      </c>
      <c r="B656" s="63" t="s">
        <v>667</v>
      </c>
      <c r="C656" s="42" t="s">
        <v>62</v>
      </c>
      <c r="D656" s="1022">
        <f>SUM(D658)</f>
        <v>0.88311600000000012</v>
      </c>
      <c r="E656" s="108">
        <v>25000</v>
      </c>
      <c r="F656" s="108"/>
      <c r="G656" s="1068">
        <f t="shared" si="53"/>
        <v>22077.9</v>
      </c>
      <c r="H656" s="1068">
        <f t="shared" si="54"/>
        <v>0</v>
      </c>
      <c r="I656" s="1068">
        <f t="shared" si="55"/>
        <v>22077.9</v>
      </c>
      <c r="J656" s="361"/>
    </row>
    <row r="657" spans="1:10" s="628" customFormat="1" ht="14.4" hidden="1" outlineLevel="1" x14ac:dyDescent="0.25">
      <c r="A657" s="905" t="s">
        <v>2800</v>
      </c>
      <c r="B657" s="951" t="s">
        <v>352</v>
      </c>
      <c r="C657" s="946" t="s">
        <v>62</v>
      </c>
      <c r="D657" s="946">
        <f>(106*1.95)/1000*1.04</f>
        <v>0.21496799999999999</v>
      </c>
      <c r="E657" s="1090"/>
      <c r="F657" s="1090">
        <v>45000</v>
      </c>
      <c r="G657" s="1056">
        <f t="shared" si="53"/>
        <v>0</v>
      </c>
      <c r="H657" s="1056">
        <f t="shared" si="54"/>
        <v>9673.56</v>
      </c>
      <c r="I657" s="1056">
        <f t="shared" si="55"/>
        <v>9673.56</v>
      </c>
    </row>
    <row r="658" spans="1:10" s="349" customFormat="1" ht="14.4" hidden="1" outlineLevel="1" x14ac:dyDescent="0.25">
      <c r="A658" s="905" t="s">
        <v>2801</v>
      </c>
      <c r="B658" s="63" t="s">
        <v>669</v>
      </c>
      <c r="C658" s="42" t="s">
        <v>62</v>
      </c>
      <c r="D658" s="1022">
        <f>(106*3.825+104.4*4.25)/1000*1.04</f>
        <v>0.88311600000000012</v>
      </c>
      <c r="E658" s="108"/>
      <c r="F658" s="108">
        <v>45000</v>
      </c>
      <c r="G658" s="1068">
        <f t="shared" si="53"/>
        <v>0</v>
      </c>
      <c r="H658" s="1068">
        <f t="shared" si="54"/>
        <v>39740.220000000008</v>
      </c>
      <c r="I658" s="1068">
        <f t="shared" si="55"/>
        <v>39740.220000000008</v>
      </c>
      <c r="J658" s="361"/>
    </row>
    <row r="659" spans="1:10" s="349" customFormat="1" ht="14.4" hidden="1" outlineLevel="1" x14ac:dyDescent="0.25">
      <c r="A659" s="905" t="s">
        <v>2802</v>
      </c>
      <c r="B659" s="63" t="s">
        <v>671</v>
      </c>
      <c r="C659" s="42" t="s">
        <v>62</v>
      </c>
      <c r="D659" s="1022">
        <f>(312.1*1.58)/1000*1.04</f>
        <v>0.51284272000000009</v>
      </c>
      <c r="E659" s="108"/>
      <c r="F659" s="108">
        <v>40100</v>
      </c>
      <c r="G659" s="1068">
        <f t="shared" si="53"/>
        <v>0</v>
      </c>
      <c r="H659" s="1068">
        <f t="shared" si="54"/>
        <v>20564.993072000005</v>
      </c>
      <c r="I659" s="1068">
        <f t="shared" si="55"/>
        <v>20564.993072000005</v>
      </c>
      <c r="J659" s="361"/>
    </row>
    <row r="660" spans="1:10" s="349" customFormat="1" ht="14.4" hidden="1" outlineLevel="1" x14ac:dyDescent="0.25">
      <c r="A660" s="905" t="s">
        <v>2803</v>
      </c>
      <c r="B660" s="110" t="s">
        <v>673</v>
      </c>
      <c r="C660" s="42" t="s">
        <v>79</v>
      </c>
      <c r="D660" s="1022">
        <f>3.89*D656</f>
        <v>3.4353212400000004</v>
      </c>
      <c r="E660" s="108"/>
      <c r="F660" s="108">
        <v>65</v>
      </c>
      <c r="G660" s="1068">
        <f t="shared" si="53"/>
        <v>0</v>
      </c>
      <c r="H660" s="1068">
        <f t="shared" si="54"/>
        <v>223.29588060000003</v>
      </c>
      <c r="I660" s="1068">
        <f t="shared" si="55"/>
        <v>223.29588060000003</v>
      </c>
      <c r="J660" s="361"/>
    </row>
    <row r="661" spans="1:10" s="349" customFormat="1" ht="14.4" hidden="1" outlineLevel="1" x14ac:dyDescent="0.25">
      <c r="A661" s="905" t="s">
        <v>2804</v>
      </c>
      <c r="B661" s="110" t="s">
        <v>675</v>
      </c>
      <c r="C661" s="42" t="s">
        <v>79</v>
      </c>
      <c r="D661" s="1022">
        <f>3.37*2*D656</f>
        <v>5.9522018400000007</v>
      </c>
      <c r="E661" s="108"/>
      <c r="F661" s="108">
        <v>88.45</v>
      </c>
      <c r="G661" s="1068">
        <f t="shared" si="53"/>
        <v>0</v>
      </c>
      <c r="H661" s="1068">
        <f t="shared" si="54"/>
        <v>526.47225274800007</v>
      </c>
      <c r="I661" s="1068">
        <f t="shared" si="55"/>
        <v>526.47225274800007</v>
      </c>
      <c r="J661" s="361"/>
    </row>
    <row r="662" spans="1:10" s="349" customFormat="1" hidden="1" outlineLevel="1" x14ac:dyDescent="0.25">
      <c r="A662" s="905" t="s">
        <v>2805</v>
      </c>
      <c r="B662" s="110" t="s">
        <v>348</v>
      </c>
      <c r="C662" s="42" t="s">
        <v>62</v>
      </c>
      <c r="D662" s="1215">
        <f>D656*0.019*1.2</f>
        <v>2.0135044800000002E-2</v>
      </c>
      <c r="E662" s="108"/>
      <c r="F662" s="108">
        <v>142000</v>
      </c>
      <c r="G662" s="1068">
        <f t="shared" si="53"/>
        <v>0</v>
      </c>
      <c r="H662" s="1068">
        <f t="shared" si="54"/>
        <v>2859.1763616000003</v>
      </c>
      <c r="I662" s="1068">
        <f t="shared" si="55"/>
        <v>2859.1763616000003</v>
      </c>
      <c r="J662" s="361"/>
    </row>
    <row r="663" spans="1:10" s="623" customFormat="1" ht="14.4" hidden="1" outlineLevel="1" x14ac:dyDescent="0.25">
      <c r="A663" s="905" t="s">
        <v>2806</v>
      </c>
      <c r="B663" s="319" t="s">
        <v>1794</v>
      </c>
      <c r="C663" s="946" t="s">
        <v>43</v>
      </c>
      <c r="D663" s="946">
        <f>ROUND((3.08*3+1.88+3.8*2+1.5+2.6+2.5*4+4*3+2.8+3+1.8+2.5*2),0)</f>
        <v>57</v>
      </c>
      <c r="E663" s="1090">
        <v>2500</v>
      </c>
      <c r="F663" s="1090"/>
      <c r="G663" s="1056">
        <f>D663*E663</f>
        <v>142500</v>
      </c>
      <c r="H663" s="1056">
        <f t="shared" si="54"/>
        <v>0</v>
      </c>
      <c r="I663" s="1056">
        <f t="shared" si="55"/>
        <v>142500</v>
      </c>
    </row>
    <row r="664" spans="1:10" s="628" customFormat="1" ht="14.4" hidden="1" outlineLevel="1" x14ac:dyDescent="0.25">
      <c r="A664" s="905" t="s">
        <v>2807</v>
      </c>
      <c r="B664" s="951" t="s">
        <v>283</v>
      </c>
      <c r="C664" s="946" t="s">
        <v>43</v>
      </c>
      <c r="D664" s="946">
        <f>D663</f>
        <v>57</v>
      </c>
      <c r="E664" s="1090"/>
      <c r="F664" s="1090">
        <v>2300</v>
      </c>
      <c r="G664" s="1056">
        <f t="shared" ref="G664:G666" si="56">D664*E664</f>
        <v>0</v>
      </c>
      <c r="H664" s="1056">
        <f t="shared" si="54"/>
        <v>131100</v>
      </c>
      <c r="I664" s="1056">
        <f t="shared" si="55"/>
        <v>131100</v>
      </c>
    </row>
    <row r="665" spans="1:10" s="628" customFormat="1" ht="14.4" hidden="1" outlineLevel="1" x14ac:dyDescent="0.25">
      <c r="A665" s="905" t="s">
        <v>2808</v>
      </c>
      <c r="B665" s="951" t="s">
        <v>284</v>
      </c>
      <c r="C665" s="946" t="s">
        <v>44</v>
      </c>
      <c r="D665" s="946">
        <v>4</v>
      </c>
      <c r="E665" s="1090"/>
      <c r="F665" s="1090">
        <v>15000</v>
      </c>
      <c r="G665" s="1056">
        <f t="shared" si="56"/>
        <v>0</v>
      </c>
      <c r="H665" s="1056">
        <f t="shared" si="54"/>
        <v>60000</v>
      </c>
      <c r="I665" s="1056">
        <f t="shared" si="55"/>
        <v>60000</v>
      </c>
    </row>
    <row r="666" spans="1:10" s="628" customFormat="1" ht="14.4" hidden="1" outlineLevel="1" x14ac:dyDescent="0.25">
      <c r="A666" s="905" t="s">
        <v>2809</v>
      </c>
      <c r="B666" s="951" t="s">
        <v>285</v>
      </c>
      <c r="C666" s="946" t="s">
        <v>44</v>
      </c>
      <c r="D666" s="946">
        <v>26</v>
      </c>
      <c r="E666" s="1090"/>
      <c r="F666" s="1090">
        <v>700</v>
      </c>
      <c r="G666" s="1056">
        <f t="shared" si="56"/>
        <v>0</v>
      </c>
      <c r="H666" s="1056">
        <f>D666*F666</f>
        <v>18200</v>
      </c>
      <c r="I666" s="1056">
        <f t="shared" si="55"/>
        <v>18200</v>
      </c>
    </row>
    <row r="667" spans="1:10" s="363" customFormat="1" ht="14.4" hidden="1" outlineLevel="1" x14ac:dyDescent="0.25">
      <c r="A667" s="1019" t="s">
        <v>2810</v>
      </c>
      <c r="B667" s="110" t="s">
        <v>678</v>
      </c>
      <c r="C667" s="1021" t="s">
        <v>44</v>
      </c>
      <c r="D667" s="1022">
        <v>1</v>
      </c>
      <c r="E667" s="108">
        <v>25000</v>
      </c>
      <c r="F667" s="108"/>
      <c r="G667" s="1068">
        <f t="shared" si="53"/>
        <v>25000</v>
      </c>
      <c r="H667" s="1068">
        <f t="shared" si="54"/>
        <v>0</v>
      </c>
      <c r="I667" s="1068">
        <f t="shared" si="55"/>
        <v>25000</v>
      </c>
      <c r="J667" s="361"/>
    </row>
    <row r="668" spans="1:10" s="349" customFormat="1" ht="14.4" hidden="1" outlineLevel="1" x14ac:dyDescent="0.25">
      <c r="A668" s="1019" t="s">
        <v>2811</v>
      </c>
      <c r="B668" s="110" t="s">
        <v>289</v>
      </c>
      <c r="C668" s="1021" t="s">
        <v>62</v>
      </c>
      <c r="D668" s="1022">
        <f>SUM(D669:D673)</f>
        <v>0.17894240000000003</v>
      </c>
      <c r="E668" s="108"/>
      <c r="F668" s="108"/>
      <c r="G668" s="1068">
        <f t="shared" si="53"/>
        <v>0</v>
      </c>
      <c r="H668" s="1068">
        <f t="shared" si="54"/>
        <v>0</v>
      </c>
      <c r="I668" s="1068">
        <f t="shared" si="55"/>
        <v>0</v>
      </c>
      <c r="J668" s="361"/>
    </row>
    <row r="669" spans="1:10" s="349" customFormat="1" ht="14.4" hidden="1" outlineLevel="1" x14ac:dyDescent="0.25">
      <c r="A669" s="1019"/>
      <c r="B669" s="110" t="s">
        <v>680</v>
      </c>
      <c r="C669" s="1021" t="s">
        <v>62</v>
      </c>
      <c r="D669" s="1022">
        <f>(2*15.26+2*12.64)/1000*1.04</f>
        <v>5.8032E-2</v>
      </c>
      <c r="E669" s="108"/>
      <c r="F669" s="108">
        <v>52200</v>
      </c>
      <c r="G669" s="1068">
        <f t="shared" si="53"/>
        <v>0</v>
      </c>
      <c r="H669" s="1068">
        <f t="shared" si="54"/>
        <v>3029.2703999999999</v>
      </c>
      <c r="I669" s="1068">
        <f t="shared" si="55"/>
        <v>3029.2703999999999</v>
      </c>
      <c r="J669" s="361"/>
    </row>
    <row r="670" spans="1:10" s="349" customFormat="1" ht="14.4" hidden="1" outlineLevel="1" x14ac:dyDescent="0.25">
      <c r="A670" s="1019"/>
      <c r="B670" s="110" t="s">
        <v>681</v>
      </c>
      <c r="C670" s="1021" t="s">
        <v>62</v>
      </c>
      <c r="D670" s="1022">
        <f>(2*4.79+4*4.37+2*4.22+6*3.63+2*3.36)/1000*1.04</f>
        <v>6.6560000000000008E-2</v>
      </c>
      <c r="E670" s="108"/>
      <c r="F670" s="108">
        <v>44100</v>
      </c>
      <c r="G670" s="1068">
        <f t="shared" si="53"/>
        <v>0</v>
      </c>
      <c r="H670" s="1068">
        <f t="shared" si="54"/>
        <v>2935.2960000000003</v>
      </c>
      <c r="I670" s="1068">
        <f t="shared" si="55"/>
        <v>2935.2960000000003</v>
      </c>
      <c r="J670" s="361"/>
    </row>
    <row r="671" spans="1:10" s="349" customFormat="1" ht="14.4" hidden="1" outlineLevel="1" x14ac:dyDescent="0.25">
      <c r="A671" s="1019"/>
      <c r="B671" s="110" t="s">
        <v>682</v>
      </c>
      <c r="C671" s="1021" t="s">
        <v>62</v>
      </c>
      <c r="D671" s="1022">
        <f>(2*1.06+2*1)/1000*1.04</f>
        <v>4.2848000000000009E-3</v>
      </c>
      <c r="E671" s="108"/>
      <c r="F671" s="146">
        <v>46400</v>
      </c>
      <c r="G671" s="1068">
        <f t="shared" si="53"/>
        <v>0</v>
      </c>
      <c r="H671" s="1068">
        <f t="shared" si="54"/>
        <v>198.81472000000005</v>
      </c>
      <c r="I671" s="1068">
        <f t="shared" si="55"/>
        <v>198.81472000000005</v>
      </c>
      <c r="J671" s="361"/>
    </row>
    <row r="672" spans="1:10" s="349" customFormat="1" ht="14.4" hidden="1" outlineLevel="1" x14ac:dyDescent="0.25">
      <c r="A672" s="1019"/>
      <c r="B672" s="110" t="s">
        <v>683</v>
      </c>
      <c r="C672" s="1021" t="s">
        <v>62</v>
      </c>
      <c r="D672" s="1022">
        <f>(1*29.9+3*5.14)/1000*1.04</f>
        <v>4.7132799999999996E-2</v>
      </c>
      <c r="E672" s="108"/>
      <c r="F672" s="146">
        <v>54600</v>
      </c>
      <c r="G672" s="1068">
        <f t="shared" si="53"/>
        <v>0</v>
      </c>
      <c r="H672" s="1068">
        <f t="shared" si="54"/>
        <v>2573.4508799999999</v>
      </c>
      <c r="I672" s="1068">
        <f t="shared" si="55"/>
        <v>2573.4508799999999</v>
      </c>
      <c r="J672" s="361"/>
    </row>
    <row r="673" spans="1:10" s="349" customFormat="1" ht="14.4" hidden="1" outlineLevel="1" x14ac:dyDescent="0.25">
      <c r="A673" s="1019"/>
      <c r="B673" s="110" t="s">
        <v>684</v>
      </c>
      <c r="C673" s="1021" t="s">
        <v>62</v>
      </c>
      <c r="D673" s="1022">
        <f>(2*1.41)/1000*1.04</f>
        <v>2.9328000000000002E-3</v>
      </c>
      <c r="E673" s="108"/>
      <c r="F673" s="108">
        <v>54700</v>
      </c>
      <c r="G673" s="1068">
        <f t="shared" si="53"/>
        <v>0</v>
      </c>
      <c r="H673" s="1068">
        <f t="shared" si="54"/>
        <v>160.42416</v>
      </c>
      <c r="I673" s="1068">
        <f t="shared" si="55"/>
        <v>160.42416</v>
      </c>
      <c r="J673" s="361"/>
    </row>
    <row r="674" spans="1:10" s="349" customFormat="1" ht="14.4" hidden="1" outlineLevel="1" x14ac:dyDescent="0.25">
      <c r="A674" s="1019"/>
      <c r="B674" s="110" t="s">
        <v>685</v>
      </c>
      <c r="C674" s="1021" t="s">
        <v>44</v>
      </c>
      <c r="D674" s="1022">
        <v>6</v>
      </c>
      <c r="E674" s="108"/>
      <c r="F674" s="108">
        <v>350</v>
      </c>
      <c r="G674" s="1068">
        <f t="shared" si="53"/>
        <v>0</v>
      </c>
      <c r="H674" s="1068">
        <f t="shared" si="54"/>
        <v>2100</v>
      </c>
      <c r="I674" s="1068">
        <f t="shared" si="55"/>
        <v>2100</v>
      </c>
      <c r="J674" s="361"/>
    </row>
    <row r="675" spans="1:10" s="349" customFormat="1" ht="14.4" hidden="1" outlineLevel="1" x14ac:dyDescent="0.25">
      <c r="A675" s="1019" t="s">
        <v>2812</v>
      </c>
      <c r="B675" s="1158" t="s">
        <v>687</v>
      </c>
      <c r="C675" s="1021" t="s">
        <v>44</v>
      </c>
      <c r="D675" s="1022">
        <v>2</v>
      </c>
      <c r="E675" s="108"/>
      <c r="F675" s="108"/>
      <c r="G675" s="1068">
        <f t="shared" si="53"/>
        <v>0</v>
      </c>
      <c r="H675" s="1068">
        <f t="shared" si="54"/>
        <v>0</v>
      </c>
      <c r="I675" s="1068">
        <f t="shared" si="55"/>
        <v>0</v>
      </c>
      <c r="J675" s="361"/>
    </row>
    <row r="676" spans="1:10" s="349" customFormat="1" ht="14.4" hidden="1" outlineLevel="1" x14ac:dyDescent="0.25">
      <c r="A676" s="1019"/>
      <c r="B676" s="110" t="s">
        <v>684</v>
      </c>
      <c r="C676" s="1021" t="s">
        <v>62</v>
      </c>
      <c r="D676" s="1022">
        <f>(1*2.16+1*0.95+1*0.64)*2/1000*1.04</f>
        <v>7.8000000000000005E-3</v>
      </c>
      <c r="E676" s="108"/>
      <c r="F676" s="108">
        <v>54700</v>
      </c>
      <c r="G676" s="1068">
        <f t="shared" si="53"/>
        <v>0</v>
      </c>
      <c r="H676" s="1068">
        <f t="shared" si="54"/>
        <v>426.66</v>
      </c>
      <c r="I676" s="1068">
        <f t="shared" si="55"/>
        <v>426.66</v>
      </c>
      <c r="J676" s="361"/>
    </row>
    <row r="677" spans="1:10" s="349" customFormat="1" ht="14.4" hidden="1" outlineLevel="1" x14ac:dyDescent="0.25">
      <c r="A677" s="1019" t="s">
        <v>2813</v>
      </c>
      <c r="B677" s="110" t="s">
        <v>689</v>
      </c>
      <c r="C677" s="42" t="s">
        <v>79</v>
      </c>
      <c r="D677" s="1022">
        <f>3.89*2*(D668+D676)</f>
        <v>1.4528558720000002</v>
      </c>
      <c r="E677" s="108"/>
      <c r="F677" s="108">
        <v>65</v>
      </c>
      <c r="G677" s="1068">
        <f t="shared" si="53"/>
        <v>0</v>
      </c>
      <c r="H677" s="1068">
        <f t="shared" si="54"/>
        <v>94.435631680000014</v>
      </c>
      <c r="I677" s="1068">
        <f t="shared" si="55"/>
        <v>94.435631680000014</v>
      </c>
      <c r="J677" s="361"/>
    </row>
    <row r="678" spans="1:10" s="349" customFormat="1" ht="14.4" hidden="1" outlineLevel="1" x14ac:dyDescent="0.25">
      <c r="A678" s="1019" t="s">
        <v>2814</v>
      </c>
      <c r="B678" s="110" t="s">
        <v>675</v>
      </c>
      <c r="C678" s="42" t="s">
        <v>79</v>
      </c>
      <c r="D678" s="1022">
        <f>3.37*2*(D668+D676)</f>
        <v>1.2586437760000002</v>
      </c>
      <c r="E678" s="108"/>
      <c r="F678" s="108">
        <v>88.45</v>
      </c>
      <c r="G678" s="1068">
        <f t="shared" si="53"/>
        <v>0</v>
      </c>
      <c r="H678" s="1068">
        <f t="shared" si="54"/>
        <v>111.32704198720002</v>
      </c>
      <c r="I678" s="1068">
        <f t="shared" si="55"/>
        <v>111.32704198720002</v>
      </c>
      <c r="J678" s="361"/>
    </row>
    <row r="679" spans="1:10" s="363" customFormat="1" ht="14.4" hidden="1" outlineLevel="1" x14ac:dyDescent="0.25">
      <c r="A679" s="1019" t="s">
        <v>2815</v>
      </c>
      <c r="B679" s="110" t="s">
        <v>692</v>
      </c>
      <c r="C679" s="1021" t="s">
        <v>62</v>
      </c>
      <c r="D679" s="1022">
        <f>0.254/1.04</f>
        <v>0.24423076923076922</v>
      </c>
      <c r="E679" s="108">
        <v>25000</v>
      </c>
      <c r="F679" s="108"/>
      <c r="G679" s="1068">
        <f t="shared" si="53"/>
        <v>6105.7692307692305</v>
      </c>
      <c r="H679" s="1068">
        <f t="shared" si="54"/>
        <v>0</v>
      </c>
      <c r="I679" s="1068">
        <f t="shared" si="55"/>
        <v>6105.7692307692305</v>
      </c>
      <c r="J679" s="361"/>
    </row>
    <row r="680" spans="1:10" s="349" customFormat="1" ht="14.4" hidden="1" outlineLevel="1" x14ac:dyDescent="0.25">
      <c r="A680" s="1019" t="s">
        <v>2816</v>
      </c>
      <c r="B680" s="110" t="s">
        <v>289</v>
      </c>
      <c r="C680" s="1021" t="s">
        <v>62</v>
      </c>
      <c r="D680" s="1022">
        <f>SUM(D681:D684)</f>
        <v>0.25415520000000003</v>
      </c>
      <c r="E680" s="108"/>
      <c r="F680" s="108"/>
      <c r="G680" s="1068">
        <f t="shared" si="53"/>
        <v>0</v>
      </c>
      <c r="H680" s="1068">
        <f t="shared" si="54"/>
        <v>0</v>
      </c>
      <c r="I680" s="1068">
        <f t="shared" si="55"/>
        <v>0</v>
      </c>
      <c r="J680" s="361"/>
    </row>
    <row r="681" spans="1:10" s="349" customFormat="1" ht="14.4" hidden="1" outlineLevel="1" x14ac:dyDescent="0.25">
      <c r="A681" s="1019"/>
      <c r="B681" s="110" t="s">
        <v>694</v>
      </c>
      <c r="C681" s="1021" t="s">
        <v>62</v>
      </c>
      <c r="D681" s="1022">
        <f>(1*17.41*2+1*5.29*2+2*5.02+2*4.8+6*2.16+1*12.27*2+1*5.29*2+2*5.26+2*5.04+2*2.16)/1000*1.04</f>
        <v>0.14356160000000001</v>
      </c>
      <c r="E681" s="108"/>
      <c r="F681" s="108">
        <v>46800</v>
      </c>
      <c r="G681" s="1068">
        <f t="shared" si="53"/>
        <v>0</v>
      </c>
      <c r="H681" s="1068">
        <f t="shared" si="54"/>
        <v>6718.6828800000003</v>
      </c>
      <c r="I681" s="1068">
        <f t="shared" si="55"/>
        <v>6718.6828800000003</v>
      </c>
      <c r="J681" s="361"/>
    </row>
    <row r="682" spans="1:10" s="349" customFormat="1" ht="14.4" hidden="1" outlineLevel="1" x14ac:dyDescent="0.25">
      <c r="A682" s="1019"/>
      <c r="B682" s="110" t="s">
        <v>695</v>
      </c>
      <c r="C682" s="1021" t="s">
        <v>62</v>
      </c>
      <c r="D682" s="1022">
        <f>(18*2.17*2)/1000*1.04</f>
        <v>8.1244800000000006E-2</v>
      </c>
      <c r="E682" s="108"/>
      <c r="F682" s="108">
        <v>38600</v>
      </c>
      <c r="G682" s="1068">
        <f t="shared" si="53"/>
        <v>0</v>
      </c>
      <c r="H682" s="1068">
        <f t="shared" si="54"/>
        <v>3136.0492800000002</v>
      </c>
      <c r="I682" s="1068">
        <f t="shared" si="55"/>
        <v>3136.0492800000002</v>
      </c>
      <c r="J682" s="361"/>
    </row>
    <row r="683" spans="1:10" s="349" customFormat="1" ht="14.4" hidden="1" outlineLevel="1" x14ac:dyDescent="0.25">
      <c r="A683" s="1019"/>
      <c r="B683" s="110" t="s">
        <v>696</v>
      </c>
      <c r="C683" s="1021" t="s">
        <v>62</v>
      </c>
      <c r="D683" s="1022">
        <f>(6*1.06+2*1.06)/1000*1.04</f>
        <v>8.8191999999999993E-3</v>
      </c>
      <c r="E683" s="108"/>
      <c r="F683" s="108">
        <v>54700</v>
      </c>
      <c r="G683" s="1068">
        <f t="shared" si="53"/>
        <v>0</v>
      </c>
      <c r="H683" s="1068">
        <f t="shared" si="54"/>
        <v>482.41023999999999</v>
      </c>
      <c r="I683" s="1068">
        <f t="shared" si="55"/>
        <v>482.41023999999999</v>
      </c>
      <c r="J683" s="361"/>
    </row>
    <row r="684" spans="1:10" s="349" customFormat="1" ht="14.4" hidden="1" outlineLevel="1" x14ac:dyDescent="0.25">
      <c r="A684" s="1019"/>
      <c r="B684" s="110" t="s">
        <v>697</v>
      </c>
      <c r="C684" s="1021" t="s">
        <v>62</v>
      </c>
      <c r="D684" s="1022">
        <f>(2*9.87)/1000*1.04</f>
        <v>2.0529599999999999E-2</v>
      </c>
      <c r="E684" s="108"/>
      <c r="F684" s="108">
        <v>54700</v>
      </c>
      <c r="G684" s="1068">
        <f t="shared" si="53"/>
        <v>0</v>
      </c>
      <c r="H684" s="1068">
        <f t="shared" si="54"/>
        <v>1122.96912</v>
      </c>
      <c r="I684" s="1068">
        <f t="shared" si="55"/>
        <v>1122.96912</v>
      </c>
      <c r="J684" s="361"/>
    </row>
    <row r="685" spans="1:10" s="349" customFormat="1" ht="14.4" hidden="1" outlineLevel="1" x14ac:dyDescent="0.25">
      <c r="A685" s="1019" t="s">
        <v>2817</v>
      </c>
      <c r="B685" s="110" t="s">
        <v>699</v>
      </c>
      <c r="C685" s="1021" t="s">
        <v>44</v>
      </c>
      <c r="D685" s="1022">
        <f>16</f>
        <v>16</v>
      </c>
      <c r="E685" s="108"/>
      <c r="F685" s="108">
        <v>180</v>
      </c>
      <c r="G685" s="1068">
        <f t="shared" si="53"/>
        <v>0</v>
      </c>
      <c r="H685" s="1068">
        <f t="shared" si="54"/>
        <v>2880</v>
      </c>
      <c r="I685" s="1068">
        <f t="shared" si="55"/>
        <v>2880</v>
      </c>
      <c r="J685" s="361"/>
    </row>
    <row r="686" spans="1:10" s="349" customFormat="1" ht="14.4" hidden="1" outlineLevel="1" x14ac:dyDescent="0.25">
      <c r="A686" s="1019" t="s">
        <v>2819</v>
      </c>
      <c r="B686" s="110" t="s">
        <v>701</v>
      </c>
      <c r="C686" s="1021" t="s">
        <v>44</v>
      </c>
      <c r="D686" s="1022">
        <v>16</v>
      </c>
      <c r="E686" s="108"/>
      <c r="F686" s="108">
        <v>350</v>
      </c>
      <c r="G686" s="1068">
        <f t="shared" si="53"/>
        <v>0</v>
      </c>
      <c r="H686" s="1068">
        <f t="shared" si="54"/>
        <v>5600</v>
      </c>
      <c r="I686" s="1068">
        <f t="shared" si="55"/>
        <v>5600</v>
      </c>
      <c r="J686" s="361"/>
    </row>
    <row r="687" spans="1:10" s="349" customFormat="1" ht="14.4" hidden="1" outlineLevel="1" x14ac:dyDescent="0.25">
      <c r="A687" s="1019" t="s">
        <v>2818</v>
      </c>
      <c r="B687" s="110" t="s">
        <v>689</v>
      </c>
      <c r="C687" s="42" t="s">
        <v>79</v>
      </c>
      <c r="D687" s="1022">
        <f>3.89*2*D680</f>
        <v>1.9773274560000003</v>
      </c>
      <c r="E687" s="108"/>
      <c r="F687" s="108">
        <v>65</v>
      </c>
      <c r="G687" s="1068">
        <f t="shared" si="53"/>
        <v>0</v>
      </c>
      <c r="H687" s="1068">
        <f t="shared" si="54"/>
        <v>128.52628464000003</v>
      </c>
      <c r="I687" s="1068">
        <f t="shared" si="55"/>
        <v>128.52628464000003</v>
      </c>
      <c r="J687" s="361"/>
    </row>
    <row r="688" spans="1:10" s="349" customFormat="1" ht="14.4" hidden="1" outlineLevel="1" x14ac:dyDescent="0.25">
      <c r="A688" s="1019" t="s">
        <v>2820</v>
      </c>
      <c r="B688" s="110" t="s">
        <v>675</v>
      </c>
      <c r="C688" s="42" t="s">
        <v>79</v>
      </c>
      <c r="D688" s="1022">
        <f>3.37*2*D680</f>
        <v>1.7130060480000002</v>
      </c>
      <c r="E688" s="108"/>
      <c r="F688" s="108">
        <v>88.45</v>
      </c>
      <c r="G688" s="1068">
        <f t="shared" si="53"/>
        <v>0</v>
      </c>
      <c r="H688" s="1068">
        <f t="shared" si="54"/>
        <v>151.51538494560003</v>
      </c>
      <c r="I688" s="1068">
        <f t="shared" si="55"/>
        <v>151.51538494560003</v>
      </c>
      <c r="J688" s="361"/>
    </row>
    <row r="689" spans="1:10" s="363" customFormat="1" ht="14.4" hidden="1" outlineLevel="1" x14ac:dyDescent="0.25">
      <c r="A689" s="1019" t="s">
        <v>2821</v>
      </c>
      <c r="B689" s="110" t="s">
        <v>705</v>
      </c>
      <c r="C689" s="1021" t="s">
        <v>44</v>
      </c>
      <c r="D689" s="1022">
        <v>1</v>
      </c>
      <c r="E689" s="108">
        <v>25000</v>
      </c>
      <c r="F689" s="108"/>
      <c r="G689" s="1068">
        <f t="shared" si="53"/>
        <v>25000</v>
      </c>
      <c r="H689" s="1068">
        <f t="shared" si="54"/>
        <v>0</v>
      </c>
      <c r="I689" s="1068">
        <f t="shared" si="55"/>
        <v>25000</v>
      </c>
      <c r="J689" s="361"/>
    </row>
    <row r="690" spans="1:10" s="349" customFormat="1" ht="14.4" hidden="1" outlineLevel="1" x14ac:dyDescent="0.25">
      <c r="A690" s="1019" t="s">
        <v>2822</v>
      </c>
      <c r="B690" s="110" t="s">
        <v>289</v>
      </c>
      <c r="C690" s="1021" t="s">
        <v>62</v>
      </c>
      <c r="D690" s="1022">
        <f>SUM(D691:D695)</f>
        <v>0.14347840000000001</v>
      </c>
      <c r="E690" s="108"/>
      <c r="F690" s="108"/>
      <c r="G690" s="1068">
        <f t="shared" si="53"/>
        <v>0</v>
      </c>
      <c r="H690" s="1068">
        <f t="shared" si="54"/>
        <v>0</v>
      </c>
      <c r="I690" s="1068">
        <f t="shared" si="55"/>
        <v>0</v>
      </c>
      <c r="J690" s="361"/>
    </row>
    <row r="691" spans="1:10" s="349" customFormat="1" ht="14.4" hidden="1" outlineLevel="1" x14ac:dyDescent="0.25">
      <c r="A691" s="1019"/>
      <c r="B691" s="110" t="s">
        <v>707</v>
      </c>
      <c r="C691" s="1021" t="s">
        <v>62</v>
      </c>
      <c r="D691" s="1022">
        <f>(4*3.8)/1000*1.04</f>
        <v>1.5807999999999999E-2</v>
      </c>
      <c r="E691" s="108"/>
      <c r="F691" s="146">
        <v>45000</v>
      </c>
      <c r="G691" s="1068">
        <f t="shared" si="53"/>
        <v>0</v>
      </c>
      <c r="H691" s="1068">
        <f t="shared" si="54"/>
        <v>711.36</v>
      </c>
      <c r="I691" s="1068">
        <f t="shared" si="55"/>
        <v>711.36</v>
      </c>
      <c r="J691" s="361"/>
    </row>
    <row r="692" spans="1:10" s="349" customFormat="1" ht="14.4" hidden="1" outlineLevel="1" x14ac:dyDescent="0.25">
      <c r="A692" s="1019"/>
      <c r="B692" s="110" t="s">
        <v>708</v>
      </c>
      <c r="C692" s="1021" t="s">
        <v>62</v>
      </c>
      <c r="D692" s="1022">
        <f>(4*1.13)/1000*1.04</f>
        <v>4.7007999999999998E-3</v>
      </c>
      <c r="E692" s="108"/>
      <c r="F692" s="146">
        <v>45000</v>
      </c>
      <c r="G692" s="1068">
        <f t="shared" si="53"/>
        <v>0</v>
      </c>
      <c r="H692" s="1068">
        <f t="shared" si="54"/>
        <v>211.536</v>
      </c>
      <c r="I692" s="1068">
        <f t="shared" si="55"/>
        <v>211.536</v>
      </c>
      <c r="J692" s="361"/>
    </row>
    <row r="693" spans="1:10" s="349" customFormat="1" ht="14.4" hidden="1" outlineLevel="1" x14ac:dyDescent="0.25">
      <c r="A693" s="1019"/>
      <c r="B693" s="110" t="s">
        <v>709</v>
      </c>
      <c r="C693" s="1021" t="s">
        <v>62</v>
      </c>
      <c r="D693" s="1022">
        <f>(4*7.04)/1000*1.04</f>
        <v>2.9286400000000001E-2</v>
      </c>
      <c r="E693" s="108"/>
      <c r="F693" s="146">
        <v>42800</v>
      </c>
      <c r="G693" s="1068">
        <f t="shared" si="53"/>
        <v>0</v>
      </c>
      <c r="H693" s="1068">
        <f t="shared" si="54"/>
        <v>1253.4579200000001</v>
      </c>
      <c r="I693" s="1068">
        <f t="shared" si="55"/>
        <v>1253.4579200000001</v>
      </c>
      <c r="J693" s="361"/>
    </row>
    <row r="694" spans="1:10" s="349" customFormat="1" ht="14.4" hidden="1" outlineLevel="1" x14ac:dyDescent="0.25">
      <c r="A694" s="1019"/>
      <c r="B694" s="110" t="s">
        <v>680</v>
      </c>
      <c r="C694" s="1021" t="s">
        <v>62</v>
      </c>
      <c r="D694" s="1022">
        <f>(2*10.65+2*31.81)/1000*1.04</f>
        <v>8.8316800000000001E-2</v>
      </c>
      <c r="E694" s="108"/>
      <c r="F694" s="108">
        <v>52200</v>
      </c>
      <c r="G694" s="1068">
        <f t="shared" si="53"/>
        <v>0</v>
      </c>
      <c r="H694" s="1068">
        <f t="shared" si="54"/>
        <v>4610.1369599999998</v>
      </c>
      <c r="I694" s="1068">
        <f t="shared" si="55"/>
        <v>4610.1369599999998</v>
      </c>
      <c r="J694" s="361"/>
    </row>
    <row r="695" spans="1:10" s="349" customFormat="1" ht="14.4" hidden="1" outlineLevel="1" x14ac:dyDescent="0.25">
      <c r="A695" s="1019"/>
      <c r="B695" s="110" t="s">
        <v>710</v>
      </c>
      <c r="C695" s="1021" t="s">
        <v>62</v>
      </c>
      <c r="D695" s="1022">
        <f>(4*1.29)/1000*1.04</f>
        <v>5.3664000000000003E-3</v>
      </c>
      <c r="E695" s="108"/>
      <c r="F695" s="146">
        <v>44100</v>
      </c>
      <c r="G695" s="1068">
        <f t="shared" si="53"/>
        <v>0</v>
      </c>
      <c r="H695" s="1068">
        <f t="shared" si="54"/>
        <v>236.65824000000001</v>
      </c>
      <c r="I695" s="1068">
        <f t="shared" si="55"/>
        <v>236.65824000000001</v>
      </c>
      <c r="J695" s="361"/>
    </row>
    <row r="696" spans="1:10" s="349" customFormat="1" ht="14.4" hidden="1" outlineLevel="1" x14ac:dyDescent="0.25">
      <c r="A696" s="1019" t="s">
        <v>2823</v>
      </c>
      <c r="B696" s="110" t="s">
        <v>685</v>
      </c>
      <c r="C696" s="1021" t="s">
        <v>44</v>
      </c>
      <c r="D696" s="1022">
        <f>16</f>
        <v>16</v>
      </c>
      <c r="E696" s="108"/>
      <c r="F696" s="108">
        <v>350</v>
      </c>
      <c r="G696" s="1068">
        <f t="shared" si="53"/>
        <v>0</v>
      </c>
      <c r="H696" s="1068">
        <f t="shared" si="54"/>
        <v>5600</v>
      </c>
      <c r="I696" s="1068">
        <f t="shared" si="55"/>
        <v>5600</v>
      </c>
      <c r="J696" s="361"/>
    </row>
    <row r="697" spans="1:10" s="349" customFormat="1" ht="14.4" hidden="1" outlineLevel="1" x14ac:dyDescent="0.25">
      <c r="A697" s="1019" t="s">
        <v>2824</v>
      </c>
      <c r="B697" s="110" t="s">
        <v>689</v>
      </c>
      <c r="C697" s="42" t="s">
        <v>79</v>
      </c>
      <c r="D697" s="1022">
        <f>3.89*2*D690</f>
        <v>1.1162619520000001</v>
      </c>
      <c r="E697" s="108"/>
      <c r="F697" s="108">
        <v>65</v>
      </c>
      <c r="G697" s="1068">
        <f t="shared" si="53"/>
        <v>0</v>
      </c>
      <c r="H697" s="1068">
        <f t="shared" si="54"/>
        <v>72.557026880000009</v>
      </c>
      <c r="I697" s="1068">
        <f t="shared" si="55"/>
        <v>72.557026880000009</v>
      </c>
      <c r="J697" s="361"/>
    </row>
    <row r="698" spans="1:10" s="349" customFormat="1" ht="14.4" hidden="1" outlineLevel="1" x14ac:dyDescent="0.25">
      <c r="A698" s="1019" t="s">
        <v>2825</v>
      </c>
      <c r="B698" s="110" t="s">
        <v>675</v>
      </c>
      <c r="C698" s="42" t="s">
        <v>79</v>
      </c>
      <c r="D698" s="1022">
        <f>3.37*2*D690</f>
        <v>0.96704441600000002</v>
      </c>
      <c r="E698" s="108"/>
      <c r="F698" s="108">
        <v>88.45</v>
      </c>
      <c r="G698" s="1068">
        <f t="shared" si="53"/>
        <v>0</v>
      </c>
      <c r="H698" s="1068">
        <f t="shared" si="54"/>
        <v>85.535078595200005</v>
      </c>
      <c r="I698" s="1068">
        <f t="shared" si="55"/>
        <v>85.535078595200005</v>
      </c>
      <c r="J698" s="361"/>
    </row>
    <row r="699" spans="1:10" s="363" customFormat="1" ht="14.4" hidden="1" outlineLevel="1" x14ac:dyDescent="0.25">
      <c r="A699" s="39" t="s">
        <v>2826</v>
      </c>
      <c r="B699" s="451" t="s">
        <v>718</v>
      </c>
      <c r="C699" s="1021" t="s">
        <v>74</v>
      </c>
      <c r="D699" s="144">
        <f>D707</f>
        <v>7.0299999999999994</v>
      </c>
      <c r="E699" s="108"/>
      <c r="F699" s="108"/>
      <c r="G699" s="1068">
        <f t="shared" si="53"/>
        <v>0</v>
      </c>
      <c r="H699" s="1068">
        <f t="shared" si="54"/>
        <v>0</v>
      </c>
      <c r="I699" s="1068">
        <f t="shared" si="55"/>
        <v>0</v>
      </c>
      <c r="J699" s="361"/>
    </row>
    <row r="700" spans="1:10" s="349" customFormat="1" ht="14.4" hidden="1" outlineLevel="1" x14ac:dyDescent="0.25">
      <c r="A700" s="39" t="s">
        <v>2827</v>
      </c>
      <c r="B700" s="451" t="s">
        <v>289</v>
      </c>
      <c r="C700" s="1021" t="s">
        <v>62</v>
      </c>
      <c r="D700" s="144">
        <f>SUM(D701:D704)</f>
        <v>0.32034079999999998</v>
      </c>
      <c r="E700" s="108"/>
      <c r="F700" s="108"/>
      <c r="G700" s="1068">
        <f t="shared" si="53"/>
        <v>0</v>
      </c>
      <c r="H700" s="1068">
        <f t="shared" si="54"/>
        <v>0</v>
      </c>
      <c r="I700" s="1068">
        <f t="shared" si="55"/>
        <v>0</v>
      </c>
      <c r="J700" s="361"/>
    </row>
    <row r="701" spans="1:10" s="349" customFormat="1" ht="14.4" hidden="1" outlineLevel="1" x14ac:dyDescent="0.25">
      <c r="A701" s="39"/>
      <c r="B701" s="451" t="s">
        <v>720</v>
      </c>
      <c r="C701" s="1021" t="s">
        <v>62</v>
      </c>
      <c r="D701" s="144">
        <f>(4*13.15+2*6.71+4*12.15+2*7.72+4*14.02+2*7.58)/1000*1.04</f>
        <v>0.20935199999999998</v>
      </c>
      <c r="E701" s="108"/>
      <c r="F701" s="146">
        <v>41800</v>
      </c>
      <c r="G701" s="1068">
        <f t="shared" si="53"/>
        <v>0</v>
      </c>
      <c r="H701" s="1068">
        <f t="shared" si="54"/>
        <v>8750.9135999999999</v>
      </c>
      <c r="I701" s="1068">
        <f t="shared" si="55"/>
        <v>8750.9135999999999</v>
      </c>
      <c r="J701" s="361"/>
    </row>
    <row r="702" spans="1:10" s="349" customFormat="1" ht="14.4" hidden="1" outlineLevel="1" x14ac:dyDescent="0.25">
      <c r="A702" s="39"/>
      <c r="B702" s="451" t="s">
        <v>721</v>
      </c>
      <c r="C702" s="1021" t="s">
        <v>62</v>
      </c>
      <c r="D702" s="144">
        <f>(2*4.47+2*1.72+2*4.88+2*1.81+2*5.74+2*2.07)/1000*1.04</f>
        <v>4.3035200000000003E-2</v>
      </c>
      <c r="E702" s="108"/>
      <c r="F702" s="146">
        <v>42200</v>
      </c>
      <c r="G702" s="1068">
        <f t="shared" si="53"/>
        <v>0</v>
      </c>
      <c r="H702" s="1068">
        <f t="shared" si="54"/>
        <v>1816.0854400000001</v>
      </c>
      <c r="I702" s="1068">
        <f t="shared" si="55"/>
        <v>1816.0854400000001</v>
      </c>
      <c r="J702" s="361"/>
    </row>
    <row r="703" spans="1:10" s="349" customFormat="1" ht="14.4" hidden="1" outlineLevel="1" x14ac:dyDescent="0.25">
      <c r="A703" s="39"/>
      <c r="B703" s="451" t="s">
        <v>722</v>
      </c>
      <c r="C703" s="1021" t="s">
        <v>62</v>
      </c>
      <c r="D703" s="144">
        <f>(2*1.4+2*1.12+2*1.45+2*1.19+2*1.45+2*1.12)/1000*1.04</f>
        <v>1.6078400000000003E-2</v>
      </c>
      <c r="E703" s="108"/>
      <c r="F703" s="146">
        <v>41400</v>
      </c>
      <c r="G703" s="1068">
        <f t="shared" si="53"/>
        <v>0</v>
      </c>
      <c r="H703" s="1068">
        <f t="shared" si="54"/>
        <v>665.64576000000011</v>
      </c>
      <c r="I703" s="1068">
        <f t="shared" si="55"/>
        <v>665.64576000000011</v>
      </c>
      <c r="J703" s="361"/>
    </row>
    <row r="704" spans="1:10" s="349" customFormat="1" ht="14.4" hidden="1" outlineLevel="1" x14ac:dyDescent="0.25">
      <c r="A704" s="39"/>
      <c r="B704" s="451" t="s">
        <v>723</v>
      </c>
      <c r="C704" s="1021" t="s">
        <v>62</v>
      </c>
      <c r="D704" s="144">
        <f>(4*4.41+4*4.03+4*4.03)/1000*1.04</f>
        <v>5.187520000000001E-2</v>
      </c>
      <c r="E704" s="108"/>
      <c r="F704" s="146">
        <v>55400</v>
      </c>
      <c r="G704" s="1068">
        <f t="shared" si="53"/>
        <v>0</v>
      </c>
      <c r="H704" s="1068">
        <f t="shared" si="54"/>
        <v>2873.8860800000007</v>
      </c>
      <c r="I704" s="1068">
        <f t="shared" si="55"/>
        <v>2873.8860800000007</v>
      </c>
      <c r="J704" s="361"/>
    </row>
    <row r="705" spans="1:10" s="349" customFormat="1" ht="14.4" hidden="1" outlineLevel="1" x14ac:dyDescent="0.25">
      <c r="A705" s="39" t="s">
        <v>2828</v>
      </c>
      <c r="B705" s="451" t="s">
        <v>725</v>
      </c>
      <c r="C705" s="1021" t="s">
        <v>44</v>
      </c>
      <c r="D705" s="144">
        <f>4+4+4</f>
        <v>12</v>
      </c>
      <c r="E705" s="108"/>
      <c r="F705" s="146">
        <v>180</v>
      </c>
      <c r="G705" s="1068">
        <f t="shared" si="53"/>
        <v>0</v>
      </c>
      <c r="H705" s="1068">
        <f t="shared" si="54"/>
        <v>2160</v>
      </c>
      <c r="I705" s="1068">
        <f t="shared" si="55"/>
        <v>2160</v>
      </c>
      <c r="J705" s="361"/>
    </row>
    <row r="706" spans="1:10" s="349" customFormat="1" ht="14.4" hidden="1" outlineLevel="1" x14ac:dyDescent="0.25">
      <c r="A706" s="39" t="s">
        <v>2829</v>
      </c>
      <c r="B706" s="451" t="s">
        <v>727</v>
      </c>
      <c r="C706" s="1021" t="s">
        <v>44</v>
      </c>
      <c r="D706" s="144">
        <f>8+8+9</f>
        <v>25</v>
      </c>
      <c r="E706" s="108"/>
      <c r="F706" s="146">
        <v>345</v>
      </c>
      <c r="G706" s="1068">
        <f t="shared" si="53"/>
        <v>0</v>
      </c>
      <c r="H706" s="1068">
        <f t="shared" si="54"/>
        <v>8625</v>
      </c>
      <c r="I706" s="1068">
        <f t="shared" si="55"/>
        <v>8625</v>
      </c>
      <c r="J706" s="361"/>
    </row>
    <row r="707" spans="1:10" s="349" customFormat="1" ht="14.4" hidden="1" outlineLevel="1" x14ac:dyDescent="0.25">
      <c r="A707" s="39" t="s">
        <v>2830</v>
      </c>
      <c r="B707" s="451" t="s">
        <v>729</v>
      </c>
      <c r="C707" s="1021" t="s">
        <v>74</v>
      </c>
      <c r="D707" s="144">
        <f>2.04+2.34+2.65</f>
        <v>7.0299999999999994</v>
      </c>
      <c r="E707" s="108"/>
      <c r="F707" s="146">
        <v>829</v>
      </c>
      <c r="G707" s="1068">
        <f t="shared" si="53"/>
        <v>0</v>
      </c>
      <c r="H707" s="1068">
        <f t="shared" si="54"/>
        <v>5827.87</v>
      </c>
      <c r="I707" s="1068">
        <f t="shared" si="55"/>
        <v>5827.87</v>
      </c>
      <c r="J707" s="361"/>
    </row>
    <row r="708" spans="1:10" s="555" customFormat="1" collapsed="1" x14ac:dyDescent="0.3">
      <c r="A708" s="557" t="s">
        <v>860</v>
      </c>
      <c r="B708" s="558" t="s">
        <v>260</v>
      </c>
      <c r="C708" s="1062" t="s">
        <v>74</v>
      </c>
      <c r="D708" s="1063">
        <f>D709+D721+D752+D753+D768+D783+D818</f>
        <v>93.69</v>
      </c>
      <c r="E708" s="1065"/>
      <c r="F708" s="1216"/>
      <c r="G708" s="1075">
        <f>SUM(G709,G721,G743,G764,G779,G808,G829:G845,G794)</f>
        <v>80959.623999999996</v>
      </c>
      <c r="H708" s="1075">
        <f>SUM(H709,H721,H743,H764,H779,H808,H833:H845,H794,H829)</f>
        <v>474246.11409787199</v>
      </c>
      <c r="I708" s="1075">
        <f>SUM(I709,I721,I743,I764,I779,I808,I832:I845,I829,I794)</f>
        <v>555205.73809787189</v>
      </c>
    </row>
    <row r="709" spans="1:10" s="565" customFormat="1" hidden="1" outlineLevel="1" x14ac:dyDescent="0.3">
      <c r="A709" s="561" t="s">
        <v>1741</v>
      </c>
      <c r="B709" s="562" t="s">
        <v>1628</v>
      </c>
      <c r="C709" s="563" t="s">
        <v>74</v>
      </c>
      <c r="D709" s="1031">
        <f>D716</f>
        <v>4.0599999999999996</v>
      </c>
      <c r="E709" s="108"/>
      <c r="F709" s="108"/>
      <c r="G709" s="1076">
        <f>SUM(G710:G720)</f>
        <v>1376.5440000000001</v>
      </c>
      <c r="H709" s="1076">
        <f>SUM(H710:H720)</f>
        <v>13293.5956090688</v>
      </c>
      <c r="I709" s="1076">
        <f>SUM(I710:I720)</f>
        <v>14670.139609068801</v>
      </c>
    </row>
    <row r="710" spans="1:10" s="555" customFormat="1" hidden="1" outlineLevel="1" x14ac:dyDescent="0.3">
      <c r="A710" s="1029" t="s">
        <v>2831</v>
      </c>
      <c r="B710" s="1217" t="s">
        <v>1630</v>
      </c>
      <c r="C710" s="1030"/>
      <c r="D710" s="1031"/>
      <c r="E710" s="108"/>
      <c r="F710" s="108"/>
      <c r="G710" s="1068">
        <f t="shared" ref="G710:G720" si="57">D710*E710</f>
        <v>0</v>
      </c>
      <c r="H710" s="1068">
        <f t="shared" ref="H710:H720" si="58">D710*F710</f>
        <v>0</v>
      </c>
      <c r="I710" s="1068">
        <f t="shared" ref="I710:I720" si="59">G710+H710</f>
        <v>0</v>
      </c>
    </row>
    <row r="711" spans="1:10" s="555" customFormat="1" hidden="1" outlineLevel="1" x14ac:dyDescent="0.3">
      <c r="A711" s="561"/>
      <c r="B711" s="562" t="s">
        <v>1631</v>
      </c>
      <c r="C711" s="563" t="s">
        <v>62</v>
      </c>
      <c r="D711" s="1031">
        <f>(2*4.19+2*2.03+2*1.9)*2/1000*1.04</f>
        <v>3.3779200000000002E-2</v>
      </c>
      <c r="E711" s="108">
        <v>15000</v>
      </c>
      <c r="F711" s="108">
        <v>45000</v>
      </c>
      <c r="G711" s="1068">
        <f t="shared" si="57"/>
        <v>506.68800000000005</v>
      </c>
      <c r="H711" s="1068">
        <f t="shared" si="58"/>
        <v>1520.0640000000001</v>
      </c>
      <c r="I711" s="1068">
        <f t="shared" si="59"/>
        <v>2026.7520000000002</v>
      </c>
    </row>
    <row r="712" spans="1:10" s="555" customFormat="1" hidden="1" outlineLevel="1" x14ac:dyDescent="0.3">
      <c r="A712" s="561" t="s">
        <v>2832</v>
      </c>
      <c r="B712" s="1218" t="s">
        <v>1633</v>
      </c>
      <c r="C712" s="563"/>
      <c r="D712" s="1031"/>
      <c r="E712" s="108"/>
      <c r="F712" s="146"/>
      <c r="G712" s="1068">
        <f t="shared" si="57"/>
        <v>0</v>
      </c>
      <c r="H712" s="1068">
        <f t="shared" si="58"/>
        <v>0</v>
      </c>
      <c r="I712" s="1068">
        <f t="shared" si="59"/>
        <v>0</v>
      </c>
    </row>
    <row r="713" spans="1:10" s="555" customFormat="1" hidden="1" outlineLevel="1" x14ac:dyDescent="0.3">
      <c r="A713" s="561"/>
      <c r="B713" s="562" t="s">
        <v>1631</v>
      </c>
      <c r="C713" s="563" t="s">
        <v>62</v>
      </c>
      <c r="D713" s="1031">
        <f>(4*4.06+2*0.54+2*0.07)*2/1000*1.04</f>
        <v>3.6316800000000003E-2</v>
      </c>
      <c r="E713" s="108">
        <v>15000</v>
      </c>
      <c r="F713" s="146">
        <v>45000</v>
      </c>
      <c r="G713" s="1068">
        <f t="shared" si="57"/>
        <v>544.75200000000007</v>
      </c>
      <c r="H713" s="1068">
        <f t="shared" si="58"/>
        <v>1634.2560000000001</v>
      </c>
      <c r="I713" s="1068">
        <f t="shared" si="59"/>
        <v>2179.0080000000003</v>
      </c>
    </row>
    <row r="714" spans="1:10" s="555" customFormat="1" hidden="1" outlineLevel="1" x14ac:dyDescent="0.3">
      <c r="A714" s="1029" t="s">
        <v>2833</v>
      </c>
      <c r="B714" s="1217" t="s">
        <v>1635</v>
      </c>
      <c r="C714" s="1030" t="s">
        <v>44</v>
      </c>
      <c r="D714" s="1031">
        <v>2</v>
      </c>
      <c r="E714" s="108"/>
      <c r="F714" s="146"/>
      <c r="G714" s="1068">
        <f t="shared" si="57"/>
        <v>0</v>
      </c>
      <c r="H714" s="1068">
        <f t="shared" si="58"/>
        <v>0</v>
      </c>
      <c r="I714" s="1068">
        <f t="shared" si="59"/>
        <v>0</v>
      </c>
    </row>
    <row r="715" spans="1:10" s="555" customFormat="1" hidden="1" outlineLevel="1" x14ac:dyDescent="0.3">
      <c r="A715" s="561"/>
      <c r="B715" s="562" t="s">
        <v>1631</v>
      </c>
      <c r="C715" s="563" t="s">
        <v>62</v>
      </c>
      <c r="D715" s="1031">
        <f>(1*2.03+1*1.97+1*0.69+1*0.32+1*0.2)*2*2/1000*1.04</f>
        <v>2.1673600000000001E-2</v>
      </c>
      <c r="E715" s="108">
        <v>15000</v>
      </c>
      <c r="F715" s="146">
        <v>45000</v>
      </c>
      <c r="G715" s="1068">
        <f t="shared" si="57"/>
        <v>325.10400000000004</v>
      </c>
      <c r="H715" s="1068">
        <f t="shared" si="58"/>
        <v>975.31200000000001</v>
      </c>
      <c r="I715" s="1068">
        <f t="shared" si="59"/>
        <v>1300.4160000000002</v>
      </c>
    </row>
    <row r="716" spans="1:10" s="555" customFormat="1" hidden="1" outlineLevel="1" x14ac:dyDescent="0.3">
      <c r="A716" s="561" t="s">
        <v>2836</v>
      </c>
      <c r="B716" s="562" t="s">
        <v>1636</v>
      </c>
      <c r="C716" s="563" t="s">
        <v>74</v>
      </c>
      <c r="D716" s="1031">
        <f>2.03*2</f>
        <v>4.0599999999999996</v>
      </c>
      <c r="E716" s="108"/>
      <c r="F716" s="146">
        <v>1567.45</v>
      </c>
      <c r="G716" s="1068">
        <f t="shared" si="57"/>
        <v>0</v>
      </c>
      <c r="H716" s="1068">
        <f t="shared" si="58"/>
        <v>6363.8469999999998</v>
      </c>
      <c r="I716" s="1068">
        <f t="shared" si="59"/>
        <v>6363.8469999999998</v>
      </c>
    </row>
    <row r="717" spans="1:10" s="555" customFormat="1" hidden="1" outlineLevel="1" x14ac:dyDescent="0.3">
      <c r="A717" s="561" t="s">
        <v>2837</v>
      </c>
      <c r="B717" s="562" t="s">
        <v>1638</v>
      </c>
      <c r="C717" s="1030" t="s">
        <v>44</v>
      </c>
      <c r="D717" s="1031">
        <f>7*2</f>
        <v>14</v>
      </c>
      <c r="E717" s="108"/>
      <c r="F717" s="146">
        <v>178.5</v>
      </c>
      <c r="G717" s="1068">
        <f t="shared" si="57"/>
        <v>0</v>
      </c>
      <c r="H717" s="1068">
        <f t="shared" si="58"/>
        <v>2499</v>
      </c>
      <c r="I717" s="1068">
        <f t="shared" si="59"/>
        <v>2499</v>
      </c>
    </row>
    <row r="718" spans="1:10" s="555" customFormat="1" hidden="1" outlineLevel="1" x14ac:dyDescent="0.3">
      <c r="A718" s="561" t="s">
        <v>2838</v>
      </c>
      <c r="B718" s="562" t="s">
        <v>3651</v>
      </c>
      <c r="C718" s="563" t="s">
        <v>44</v>
      </c>
      <c r="D718" s="1031">
        <f>2*2</f>
        <v>4</v>
      </c>
      <c r="E718" s="108"/>
      <c r="F718" s="146">
        <v>50</v>
      </c>
      <c r="G718" s="1068">
        <f t="shared" si="57"/>
        <v>0</v>
      </c>
      <c r="H718" s="1068">
        <f t="shared" si="58"/>
        <v>200</v>
      </c>
      <c r="I718" s="1068">
        <f t="shared" si="59"/>
        <v>200</v>
      </c>
    </row>
    <row r="719" spans="1:10" s="555" customFormat="1" hidden="1" outlineLevel="1" x14ac:dyDescent="0.3">
      <c r="A719" s="561" t="s">
        <v>2839</v>
      </c>
      <c r="B719" s="562" t="s">
        <v>294</v>
      </c>
      <c r="C719" s="563" t="s">
        <v>79</v>
      </c>
      <c r="D719" s="1031">
        <f>3.89*2*(D711+D713+D715)</f>
        <v>0.71396748800000009</v>
      </c>
      <c r="E719" s="108"/>
      <c r="F719" s="146">
        <v>65</v>
      </c>
      <c r="G719" s="1068">
        <f t="shared" si="57"/>
        <v>0</v>
      </c>
      <c r="H719" s="1068">
        <f t="shared" si="58"/>
        <v>46.407886720000008</v>
      </c>
      <c r="I719" s="1068">
        <f t="shared" si="59"/>
        <v>46.407886720000008</v>
      </c>
    </row>
    <row r="720" spans="1:10" s="555" customFormat="1" hidden="1" outlineLevel="1" x14ac:dyDescent="0.3">
      <c r="A720" s="561" t="s">
        <v>2840</v>
      </c>
      <c r="B720" s="562" t="s">
        <v>295</v>
      </c>
      <c r="C720" s="563" t="s">
        <v>79</v>
      </c>
      <c r="D720" s="1031">
        <f>3.37*2*(D711+D713+D715)</f>
        <v>0.61852710400000011</v>
      </c>
      <c r="E720" s="108"/>
      <c r="F720" s="146">
        <v>88.45</v>
      </c>
      <c r="G720" s="1068">
        <f t="shared" si="57"/>
        <v>0</v>
      </c>
      <c r="H720" s="1068">
        <f t="shared" si="58"/>
        <v>54.708722348800009</v>
      </c>
      <c r="I720" s="1068">
        <f t="shared" si="59"/>
        <v>54.708722348800009</v>
      </c>
    </row>
    <row r="721" spans="1:9" s="565" customFormat="1" hidden="1" outlineLevel="1" x14ac:dyDescent="0.3">
      <c r="A721" s="1029" t="s">
        <v>1742</v>
      </c>
      <c r="B721" s="575" t="s">
        <v>1643</v>
      </c>
      <c r="C721" s="1030" t="s">
        <v>74</v>
      </c>
      <c r="D721" s="1031">
        <f>D738</f>
        <v>14.36</v>
      </c>
      <c r="E721" s="108"/>
      <c r="F721" s="146"/>
      <c r="G721" s="1068">
        <f>SUM(G722:G742)</f>
        <v>5340.8159999999998</v>
      </c>
      <c r="H721" s="1068">
        <f>SUM(H722:H742)</f>
        <v>50872.092008803207</v>
      </c>
      <c r="I721" s="1068">
        <f>SUM(I722:I742)</f>
        <v>56212.908008803199</v>
      </c>
    </row>
    <row r="722" spans="1:9" s="555" customFormat="1" hidden="1" outlineLevel="1" x14ac:dyDescent="0.3">
      <c r="A722" s="561" t="s">
        <v>2841</v>
      </c>
      <c r="B722" s="1217" t="s">
        <v>1630</v>
      </c>
      <c r="C722" s="1030"/>
      <c r="D722" s="1031"/>
      <c r="E722" s="108"/>
      <c r="F722" s="146"/>
      <c r="G722" s="1068">
        <f t="shared" ref="G722:G742" si="60">D722*E722</f>
        <v>0</v>
      </c>
      <c r="H722" s="1068">
        <f t="shared" ref="H722:H742" si="61">D722*F722</f>
        <v>0</v>
      </c>
      <c r="I722" s="1068">
        <f t="shared" ref="I722:I742" si="62">G722+H722</f>
        <v>0</v>
      </c>
    </row>
    <row r="723" spans="1:9" s="555" customFormat="1" hidden="1" outlineLevel="1" x14ac:dyDescent="0.3">
      <c r="A723" s="561"/>
      <c r="B723" s="562" t="s">
        <v>1631</v>
      </c>
      <c r="C723" s="563" t="s">
        <v>62</v>
      </c>
      <c r="D723" s="1031">
        <f>(2*6.24+2*2.48+3*2.35+4*1.48)*2/1000*1.04</f>
        <v>6.3252800000000012E-2</v>
      </c>
      <c r="E723" s="108">
        <v>15000</v>
      </c>
      <c r="F723" s="146">
        <v>45000</v>
      </c>
      <c r="G723" s="1068">
        <f t="shared" si="60"/>
        <v>948.79200000000014</v>
      </c>
      <c r="H723" s="1068">
        <f t="shared" si="61"/>
        <v>2846.3760000000007</v>
      </c>
      <c r="I723" s="1068">
        <f t="shared" si="62"/>
        <v>3795.1680000000006</v>
      </c>
    </row>
    <row r="724" spans="1:9" s="555" customFormat="1" hidden="1" outlineLevel="1" x14ac:dyDescent="0.3">
      <c r="A724" s="1029" t="s">
        <v>2842</v>
      </c>
      <c r="B724" s="1218" t="s">
        <v>1633</v>
      </c>
      <c r="C724" s="563"/>
      <c r="D724" s="1031"/>
      <c r="E724" s="108"/>
      <c r="F724" s="146"/>
      <c r="G724" s="1068">
        <f t="shared" si="60"/>
        <v>0</v>
      </c>
      <c r="H724" s="1068">
        <f t="shared" si="61"/>
        <v>0</v>
      </c>
      <c r="I724" s="1068">
        <f t="shared" si="62"/>
        <v>0</v>
      </c>
    </row>
    <row r="725" spans="1:9" s="555" customFormat="1" hidden="1" outlineLevel="1" x14ac:dyDescent="0.3">
      <c r="A725" s="561"/>
      <c r="B725" s="562" t="s">
        <v>1644</v>
      </c>
      <c r="C725" s="563" t="s">
        <v>62</v>
      </c>
      <c r="D725" s="1031">
        <f>(1*26.11)*2/1000*1.04</f>
        <v>5.4308799999999997E-2</v>
      </c>
      <c r="E725" s="108">
        <v>15000</v>
      </c>
      <c r="F725" s="146">
        <v>45000</v>
      </c>
      <c r="G725" s="1068">
        <f t="shared" si="60"/>
        <v>814.63199999999995</v>
      </c>
      <c r="H725" s="1068">
        <f t="shared" si="61"/>
        <v>2443.8959999999997</v>
      </c>
      <c r="I725" s="1068">
        <f t="shared" si="62"/>
        <v>3258.5279999999998</v>
      </c>
    </row>
    <row r="726" spans="1:9" s="555" customFormat="1" hidden="1" outlineLevel="1" x14ac:dyDescent="0.3">
      <c r="A726" s="561"/>
      <c r="B726" s="562" t="s">
        <v>1645</v>
      </c>
      <c r="C726" s="563" t="s">
        <v>62</v>
      </c>
      <c r="D726" s="1031">
        <f>(5*1.83)*2/1000*1.04</f>
        <v>1.9032E-2</v>
      </c>
      <c r="E726" s="108">
        <v>15000</v>
      </c>
      <c r="F726" s="146">
        <v>45000</v>
      </c>
      <c r="G726" s="1068">
        <f t="shared" si="60"/>
        <v>285.48</v>
      </c>
      <c r="H726" s="1068">
        <f t="shared" si="61"/>
        <v>856.44</v>
      </c>
      <c r="I726" s="1068">
        <f t="shared" si="62"/>
        <v>1141.92</v>
      </c>
    </row>
    <row r="727" spans="1:9" s="555" customFormat="1" hidden="1" outlineLevel="1" x14ac:dyDescent="0.3">
      <c r="A727" s="561"/>
      <c r="B727" s="562" t="s">
        <v>722</v>
      </c>
      <c r="C727" s="563" t="s">
        <v>62</v>
      </c>
      <c r="D727" s="1031">
        <f>(3*8.16+13*2.68)*2/1000*1.04</f>
        <v>0.12338560000000001</v>
      </c>
      <c r="E727" s="108">
        <v>15000</v>
      </c>
      <c r="F727" s="146">
        <v>41400</v>
      </c>
      <c r="G727" s="1068">
        <f t="shared" si="60"/>
        <v>1850.7840000000001</v>
      </c>
      <c r="H727" s="1068">
        <f t="shared" si="61"/>
        <v>5108.1638400000002</v>
      </c>
      <c r="I727" s="1068">
        <f t="shared" si="62"/>
        <v>6958.9478400000007</v>
      </c>
    </row>
    <row r="728" spans="1:9" s="555" customFormat="1" hidden="1" outlineLevel="1" x14ac:dyDescent="0.3">
      <c r="A728" s="561"/>
      <c r="B728" s="562" t="s">
        <v>1646</v>
      </c>
      <c r="C728" s="563" t="s">
        <v>62</v>
      </c>
      <c r="D728" s="1031">
        <f>(3*1.37+1*1.29+1*0.37+3*0.14)*2/1000*1.04</f>
        <v>1.2875200000000002E-2</v>
      </c>
      <c r="E728" s="108">
        <v>15000</v>
      </c>
      <c r="F728" s="146">
        <v>46000</v>
      </c>
      <c r="G728" s="1068">
        <f t="shared" si="60"/>
        <v>193.12800000000001</v>
      </c>
      <c r="H728" s="1068">
        <f t="shared" si="61"/>
        <v>592.25920000000008</v>
      </c>
      <c r="I728" s="1068">
        <f t="shared" si="62"/>
        <v>785.38720000000012</v>
      </c>
    </row>
    <row r="729" spans="1:9" s="555" customFormat="1" hidden="1" outlineLevel="1" x14ac:dyDescent="0.3">
      <c r="A729" s="561"/>
      <c r="B729" s="562" t="s">
        <v>1647</v>
      </c>
      <c r="C729" s="563" t="s">
        <v>62</v>
      </c>
      <c r="D729" s="1031">
        <f>(5*1.81)/1000*1.04</f>
        <v>9.412000000000002E-3</v>
      </c>
      <c r="E729" s="108">
        <v>15000</v>
      </c>
      <c r="F729" s="146">
        <v>55400</v>
      </c>
      <c r="G729" s="1068">
        <f t="shared" si="60"/>
        <v>141.18000000000004</v>
      </c>
      <c r="H729" s="1068">
        <f t="shared" si="61"/>
        <v>521.42480000000012</v>
      </c>
      <c r="I729" s="1068">
        <f t="shared" si="62"/>
        <v>662.60480000000018</v>
      </c>
    </row>
    <row r="730" spans="1:9" s="555" customFormat="1" hidden="1" outlineLevel="1" x14ac:dyDescent="0.3">
      <c r="A730" s="561"/>
      <c r="B730" s="562" t="s">
        <v>1648</v>
      </c>
      <c r="C730" s="563" t="s">
        <v>62</v>
      </c>
      <c r="D730" s="1031">
        <f>(1*1.11)/1000*1.04</f>
        <v>1.1544000000000001E-3</v>
      </c>
      <c r="E730" s="108">
        <v>15000</v>
      </c>
      <c r="F730" s="146">
        <v>55400</v>
      </c>
      <c r="G730" s="1068">
        <f t="shared" si="60"/>
        <v>17.316000000000003</v>
      </c>
      <c r="H730" s="1068">
        <f t="shared" si="61"/>
        <v>63.953760000000003</v>
      </c>
      <c r="I730" s="1068">
        <f t="shared" si="62"/>
        <v>81.269760000000005</v>
      </c>
    </row>
    <row r="731" spans="1:9" s="555" customFormat="1" hidden="1" outlineLevel="1" x14ac:dyDescent="0.3">
      <c r="A731" s="561"/>
      <c r="B731" s="562" t="s">
        <v>1649</v>
      </c>
      <c r="C731" s="563" t="s">
        <v>62</v>
      </c>
      <c r="D731" s="1031">
        <f>(2*0.25)/1000*1.04</f>
        <v>5.2000000000000006E-4</v>
      </c>
      <c r="E731" s="108">
        <v>15000</v>
      </c>
      <c r="F731" s="146">
        <v>54600</v>
      </c>
      <c r="G731" s="1068">
        <f t="shared" si="60"/>
        <v>7.8000000000000007</v>
      </c>
      <c r="H731" s="1068">
        <f t="shared" si="61"/>
        <v>28.392000000000003</v>
      </c>
      <c r="I731" s="1068">
        <f t="shared" si="62"/>
        <v>36.192000000000007</v>
      </c>
    </row>
    <row r="732" spans="1:9" s="555" customFormat="1" hidden="1" outlineLevel="1" x14ac:dyDescent="0.3">
      <c r="A732" s="561" t="s">
        <v>2843</v>
      </c>
      <c r="B732" s="1217" t="s">
        <v>1635</v>
      </c>
      <c r="C732" s="1030" t="s">
        <v>44</v>
      </c>
      <c r="D732" s="1031">
        <v>3</v>
      </c>
      <c r="E732" s="108"/>
      <c r="F732" s="146"/>
      <c r="G732" s="1068">
        <f t="shared" si="60"/>
        <v>0</v>
      </c>
      <c r="H732" s="1068">
        <f t="shared" si="61"/>
        <v>0</v>
      </c>
      <c r="I732" s="1068">
        <f t="shared" si="62"/>
        <v>0</v>
      </c>
    </row>
    <row r="733" spans="1:9" s="555" customFormat="1" hidden="1" outlineLevel="1" x14ac:dyDescent="0.3">
      <c r="A733" s="1029"/>
      <c r="B733" s="562" t="s">
        <v>722</v>
      </c>
      <c r="C733" s="563" t="s">
        <v>62</v>
      </c>
      <c r="D733" s="1031">
        <f>(1*3.27+1*3.13)*3*2/1000*1.04</f>
        <v>3.9936000000000006E-2</v>
      </c>
      <c r="E733" s="108">
        <v>15000</v>
      </c>
      <c r="F733" s="146">
        <v>41400</v>
      </c>
      <c r="G733" s="1068">
        <f t="shared" si="60"/>
        <v>599.04000000000008</v>
      </c>
      <c r="H733" s="1068">
        <f t="shared" si="61"/>
        <v>1653.3504000000003</v>
      </c>
      <c r="I733" s="1068">
        <f t="shared" si="62"/>
        <v>2252.3904000000002</v>
      </c>
    </row>
    <row r="734" spans="1:9" s="555" customFormat="1" hidden="1" outlineLevel="1" x14ac:dyDescent="0.3">
      <c r="A734" s="1029"/>
      <c r="B734" s="562" t="s">
        <v>1646</v>
      </c>
      <c r="C734" s="563" t="s">
        <v>62</v>
      </c>
      <c r="D734" s="1031">
        <f>(1*1.58+1*0.45+1*0.42)*3*2/1000*1.04</f>
        <v>1.5288000000000001E-2</v>
      </c>
      <c r="E734" s="108">
        <v>15000</v>
      </c>
      <c r="F734" s="146">
        <v>46000</v>
      </c>
      <c r="G734" s="1068">
        <f t="shared" si="60"/>
        <v>229.32000000000002</v>
      </c>
      <c r="H734" s="1068">
        <f t="shared" si="61"/>
        <v>703.24800000000005</v>
      </c>
      <c r="I734" s="1068">
        <f t="shared" si="62"/>
        <v>932.5680000000001</v>
      </c>
    </row>
    <row r="735" spans="1:9" s="555" customFormat="1" hidden="1" outlineLevel="1" x14ac:dyDescent="0.3">
      <c r="A735" s="561" t="s">
        <v>2844</v>
      </c>
      <c r="B735" s="1217" t="s">
        <v>1651</v>
      </c>
      <c r="C735" s="1030" t="s">
        <v>44</v>
      </c>
      <c r="D735" s="1031">
        <v>1</v>
      </c>
      <c r="E735" s="108"/>
      <c r="F735" s="146"/>
      <c r="G735" s="1068">
        <f t="shared" si="60"/>
        <v>0</v>
      </c>
      <c r="H735" s="1068">
        <f t="shared" si="61"/>
        <v>0</v>
      </c>
      <c r="I735" s="1068">
        <f t="shared" si="62"/>
        <v>0</v>
      </c>
    </row>
    <row r="736" spans="1:9" s="555" customFormat="1" hidden="1" outlineLevel="1" x14ac:dyDescent="0.3">
      <c r="A736" s="1029"/>
      <c r="B736" s="562" t="s">
        <v>722</v>
      </c>
      <c r="C736" s="563" t="s">
        <v>62</v>
      </c>
      <c r="D736" s="1031">
        <f>(1*3.27+1*3.13)*2/1000*1.04</f>
        <v>1.3312000000000001E-2</v>
      </c>
      <c r="E736" s="108">
        <v>15000</v>
      </c>
      <c r="F736" s="146">
        <v>41400</v>
      </c>
      <c r="G736" s="1068">
        <f t="shared" si="60"/>
        <v>199.68</v>
      </c>
      <c r="H736" s="1068">
        <f t="shared" si="61"/>
        <v>551.11680000000001</v>
      </c>
      <c r="I736" s="1068">
        <f t="shared" si="62"/>
        <v>750.79680000000008</v>
      </c>
    </row>
    <row r="737" spans="1:9" s="555" customFormat="1" hidden="1" outlineLevel="1" x14ac:dyDescent="0.3">
      <c r="A737" s="1029"/>
      <c r="B737" s="562" t="s">
        <v>1646</v>
      </c>
      <c r="C737" s="563" t="s">
        <v>62</v>
      </c>
      <c r="D737" s="1031">
        <f>(1*0.85+1*0.45+1*0.42)*2/1000*1.04</f>
        <v>3.5776000000000002E-3</v>
      </c>
      <c r="E737" s="108">
        <v>15000</v>
      </c>
      <c r="F737" s="146">
        <v>46000</v>
      </c>
      <c r="G737" s="1068">
        <f t="shared" si="60"/>
        <v>53.664000000000001</v>
      </c>
      <c r="H737" s="1068">
        <f t="shared" si="61"/>
        <v>164.56960000000001</v>
      </c>
      <c r="I737" s="1068">
        <f t="shared" si="62"/>
        <v>218.23360000000002</v>
      </c>
    </row>
    <row r="738" spans="1:9" s="555" customFormat="1" hidden="1" outlineLevel="1" x14ac:dyDescent="0.3">
      <c r="A738" s="1029" t="s">
        <v>2845</v>
      </c>
      <c r="B738" s="562" t="s">
        <v>1636</v>
      </c>
      <c r="C738" s="563" t="s">
        <v>74</v>
      </c>
      <c r="D738" s="1031">
        <f>7.18*2</f>
        <v>14.36</v>
      </c>
      <c r="E738" s="108"/>
      <c r="F738" s="146">
        <v>1567.45</v>
      </c>
      <c r="G738" s="1068">
        <f t="shared" si="60"/>
        <v>0</v>
      </c>
      <c r="H738" s="1068">
        <f t="shared" si="61"/>
        <v>22508.581999999999</v>
      </c>
      <c r="I738" s="1068">
        <f t="shared" si="62"/>
        <v>22508.581999999999</v>
      </c>
    </row>
    <row r="739" spans="1:9" s="555" customFormat="1" hidden="1" outlineLevel="1" x14ac:dyDescent="0.3">
      <c r="A739" s="1029" t="s">
        <v>2846</v>
      </c>
      <c r="B739" s="562" t="s">
        <v>1638</v>
      </c>
      <c r="C739" s="1030" t="s">
        <v>44</v>
      </c>
      <c r="D739" s="1031">
        <f>34*2</f>
        <v>68</v>
      </c>
      <c r="E739" s="108"/>
      <c r="F739" s="146">
        <v>178.5</v>
      </c>
      <c r="G739" s="1068">
        <f t="shared" si="60"/>
        <v>0</v>
      </c>
      <c r="H739" s="1068">
        <f t="shared" si="61"/>
        <v>12138</v>
      </c>
      <c r="I739" s="1068">
        <f t="shared" si="62"/>
        <v>12138</v>
      </c>
    </row>
    <row r="740" spans="1:9" s="555" customFormat="1" hidden="1" outlineLevel="1" x14ac:dyDescent="0.3">
      <c r="A740" s="1029" t="s">
        <v>2847</v>
      </c>
      <c r="B740" s="562" t="s">
        <v>3651</v>
      </c>
      <c r="C740" s="563" t="s">
        <v>44</v>
      </c>
      <c r="D740" s="1031">
        <f>3*2</f>
        <v>6</v>
      </c>
      <c r="E740" s="108"/>
      <c r="F740" s="146">
        <v>50</v>
      </c>
      <c r="G740" s="1068">
        <f t="shared" si="60"/>
        <v>0</v>
      </c>
      <c r="H740" s="1068">
        <f t="shared" si="61"/>
        <v>300</v>
      </c>
      <c r="I740" s="1068">
        <f t="shared" si="62"/>
        <v>300</v>
      </c>
    </row>
    <row r="741" spans="1:9" s="555" customFormat="1" hidden="1" outlineLevel="1" x14ac:dyDescent="0.3">
      <c r="A741" s="1029" t="s">
        <v>2848</v>
      </c>
      <c r="B741" s="562" t="s">
        <v>294</v>
      </c>
      <c r="C741" s="563" t="s">
        <v>79</v>
      </c>
      <c r="D741" s="1031">
        <f>3.89*2*(D723+D725+D726+D727+D728+D729+D730+D731+D733+D734+D736+D737)</f>
        <v>2.7701032320000003</v>
      </c>
      <c r="E741" s="108"/>
      <c r="F741" s="146">
        <v>65</v>
      </c>
      <c r="G741" s="1068">
        <f t="shared" si="60"/>
        <v>0</v>
      </c>
      <c r="H741" s="1068">
        <f t="shared" si="61"/>
        <v>180.05671008000002</v>
      </c>
      <c r="I741" s="1068">
        <f t="shared" si="62"/>
        <v>180.05671008000002</v>
      </c>
    </row>
    <row r="742" spans="1:9" s="555" customFormat="1" hidden="1" outlineLevel="1" x14ac:dyDescent="0.3">
      <c r="A742" s="1029" t="s">
        <v>2849</v>
      </c>
      <c r="B742" s="562" t="s">
        <v>295</v>
      </c>
      <c r="C742" s="563" t="s">
        <v>79</v>
      </c>
      <c r="D742" s="1031">
        <f>3.37*2*(D723+D725+D726+D727+D728+D729+D730+D731+D733+D734+D736+D737)</f>
        <v>2.3998066560000004</v>
      </c>
      <c r="E742" s="108"/>
      <c r="F742" s="146">
        <v>88.45</v>
      </c>
      <c r="G742" s="1068">
        <f t="shared" si="60"/>
        <v>0</v>
      </c>
      <c r="H742" s="1068">
        <f t="shared" si="61"/>
        <v>212.26289872320004</v>
      </c>
      <c r="I742" s="1068">
        <f t="shared" si="62"/>
        <v>212.26289872320004</v>
      </c>
    </row>
    <row r="743" spans="1:9" s="555" customFormat="1" hidden="1" outlineLevel="1" x14ac:dyDescent="0.3">
      <c r="A743" s="1029" t="s">
        <v>1743</v>
      </c>
      <c r="B743" s="562" t="s">
        <v>1657</v>
      </c>
      <c r="C743" s="563"/>
      <c r="D743" s="1031"/>
      <c r="E743" s="108"/>
      <c r="F743" s="108"/>
      <c r="G743" s="1068">
        <f>SUM(G744:G763)</f>
        <v>7387.0679999999993</v>
      </c>
      <c r="H743" s="1068">
        <f>SUM(H744:H763)</f>
        <v>49203.846799999999</v>
      </c>
      <c r="I743" s="1068">
        <f>SUM(I744:I763)</f>
        <v>56590.914799999999</v>
      </c>
    </row>
    <row r="744" spans="1:9" s="555" customFormat="1" hidden="1" outlineLevel="1" x14ac:dyDescent="0.3">
      <c r="A744" s="1029" t="s">
        <v>2850</v>
      </c>
      <c r="B744" s="562" t="s">
        <v>1659</v>
      </c>
      <c r="C744" s="563" t="s">
        <v>62</v>
      </c>
      <c r="D744" s="1031">
        <f>7*11.5/1000*1.04</f>
        <v>8.3720000000000003E-2</v>
      </c>
      <c r="E744" s="108">
        <v>15000</v>
      </c>
      <c r="F744" s="108">
        <v>62800</v>
      </c>
      <c r="G744" s="1068">
        <f t="shared" ref="G744:G807" si="63">D744*E744</f>
        <v>1255.8</v>
      </c>
      <c r="H744" s="1068">
        <f t="shared" ref="H744:H807" si="64">D744*F744</f>
        <v>5257.616</v>
      </c>
      <c r="I744" s="1068">
        <f t="shared" ref="I744:I807" si="65">G744+H744</f>
        <v>6513.4160000000002</v>
      </c>
    </row>
    <row r="745" spans="1:9" s="555" customFormat="1" hidden="1" outlineLevel="1" x14ac:dyDescent="0.3">
      <c r="A745" s="1029" t="s">
        <v>2851</v>
      </c>
      <c r="B745" s="562" t="s">
        <v>336</v>
      </c>
      <c r="C745" s="563" t="s">
        <v>62</v>
      </c>
      <c r="D745" s="1031">
        <f>(25.37*5+5.1*4+4.62*4+2.18*11+0.92*7)/1000*1.04</f>
        <v>0.20399600000000001</v>
      </c>
      <c r="E745" s="108">
        <v>15000</v>
      </c>
      <c r="F745" s="108">
        <v>41800</v>
      </c>
      <c r="G745" s="1068">
        <f t="shared" si="63"/>
        <v>3059.94</v>
      </c>
      <c r="H745" s="1068">
        <f t="shared" si="64"/>
        <v>8527.0328000000009</v>
      </c>
      <c r="I745" s="1068">
        <f t="shared" si="65"/>
        <v>11586.972800000001</v>
      </c>
    </row>
    <row r="746" spans="1:9" s="555" customFormat="1" hidden="1" outlineLevel="1" x14ac:dyDescent="0.3">
      <c r="A746" s="1029" t="s">
        <v>2835</v>
      </c>
      <c r="B746" s="562" t="s">
        <v>1662</v>
      </c>
      <c r="C746" s="563" t="s">
        <v>62</v>
      </c>
      <c r="D746" s="1031">
        <f>49.84*2/1000*1.04</f>
        <v>0.10366720000000001</v>
      </c>
      <c r="E746" s="108">
        <v>15000</v>
      </c>
      <c r="F746" s="108">
        <v>41400</v>
      </c>
      <c r="G746" s="1068">
        <f t="shared" si="63"/>
        <v>1555.0080000000003</v>
      </c>
      <c r="H746" s="1068">
        <f t="shared" si="64"/>
        <v>4291.8220800000008</v>
      </c>
      <c r="I746" s="1068">
        <f t="shared" si="65"/>
        <v>5846.8300800000015</v>
      </c>
    </row>
    <row r="747" spans="1:9" s="555" customFormat="1" hidden="1" outlineLevel="1" x14ac:dyDescent="0.3">
      <c r="A747" s="1029" t="s">
        <v>2852</v>
      </c>
      <c r="B747" s="562" t="s">
        <v>1664</v>
      </c>
      <c r="C747" s="563" t="s">
        <v>62</v>
      </c>
      <c r="D747" s="1031">
        <f>3*17.08/1000*1.04</f>
        <v>5.3289599999999993E-2</v>
      </c>
      <c r="E747" s="108">
        <v>15000</v>
      </c>
      <c r="F747" s="108">
        <v>41800</v>
      </c>
      <c r="G747" s="1068">
        <f t="shared" si="63"/>
        <v>799.34399999999994</v>
      </c>
      <c r="H747" s="1068">
        <f t="shared" si="64"/>
        <v>2227.5052799999999</v>
      </c>
      <c r="I747" s="1068">
        <f t="shared" si="65"/>
        <v>3026.8492799999999</v>
      </c>
    </row>
    <row r="748" spans="1:9" s="555" customFormat="1" hidden="1" outlineLevel="1" x14ac:dyDescent="0.3">
      <c r="A748" s="1029" t="s">
        <v>2853</v>
      </c>
      <c r="B748" s="562" t="s">
        <v>1631</v>
      </c>
      <c r="C748" s="563" t="s">
        <v>62</v>
      </c>
      <c r="D748" s="1031">
        <f>13.05/1000*1.04</f>
        <v>1.3572000000000001E-2</v>
      </c>
      <c r="E748" s="108">
        <v>15000</v>
      </c>
      <c r="F748" s="108">
        <v>45000</v>
      </c>
      <c r="G748" s="1068">
        <f t="shared" si="63"/>
        <v>203.58</v>
      </c>
      <c r="H748" s="1068">
        <f t="shared" si="64"/>
        <v>610.74</v>
      </c>
      <c r="I748" s="1068">
        <f t="shared" si="65"/>
        <v>814.32</v>
      </c>
    </row>
    <row r="749" spans="1:9" s="555" customFormat="1" hidden="1" outlineLevel="1" x14ac:dyDescent="0.3">
      <c r="A749" s="1029" t="s">
        <v>2854</v>
      </c>
      <c r="B749" s="562" t="s">
        <v>1667</v>
      </c>
      <c r="C749" s="563" t="s">
        <v>62</v>
      </c>
      <c r="D749" s="1031">
        <f>(2*1.54+2*4.52+7*2.97)/1000*1.04</f>
        <v>3.4226400000000004E-2</v>
      </c>
      <c r="E749" s="108">
        <v>15000</v>
      </c>
      <c r="F749" s="108">
        <v>45100</v>
      </c>
      <c r="G749" s="1068">
        <f t="shared" si="63"/>
        <v>513.39600000000007</v>
      </c>
      <c r="H749" s="1068">
        <f t="shared" si="64"/>
        <v>1543.6106400000001</v>
      </c>
      <c r="I749" s="1068">
        <f t="shared" si="65"/>
        <v>2057.0066400000001</v>
      </c>
    </row>
    <row r="750" spans="1:9" s="555" customFormat="1" hidden="1" outlineLevel="1" x14ac:dyDescent="0.3">
      <c r="A750" s="1029" t="s">
        <v>2855</v>
      </c>
      <c r="B750" s="562" t="s">
        <v>1669</v>
      </c>
      <c r="C750" s="1030" t="s">
        <v>44</v>
      </c>
      <c r="D750" s="1031">
        <v>8</v>
      </c>
      <c r="E750" s="108"/>
      <c r="F750" s="146">
        <v>178.5</v>
      </c>
      <c r="G750" s="1068">
        <f t="shared" si="63"/>
        <v>0</v>
      </c>
      <c r="H750" s="1068">
        <f t="shared" si="64"/>
        <v>1428</v>
      </c>
      <c r="I750" s="1068">
        <f t="shared" si="65"/>
        <v>1428</v>
      </c>
    </row>
    <row r="751" spans="1:9" s="555" customFormat="1" hidden="1" outlineLevel="1" x14ac:dyDescent="0.3">
      <c r="A751" s="1029" t="s">
        <v>2856</v>
      </c>
      <c r="B751" s="562" t="s">
        <v>1671</v>
      </c>
      <c r="C751" s="563" t="s">
        <v>44</v>
      </c>
      <c r="D751" s="1031">
        <f>28</f>
        <v>28</v>
      </c>
      <c r="E751" s="108"/>
      <c r="F751" s="108">
        <v>180</v>
      </c>
      <c r="G751" s="1068">
        <f t="shared" si="63"/>
        <v>0</v>
      </c>
      <c r="H751" s="1068">
        <f t="shared" si="64"/>
        <v>5040</v>
      </c>
      <c r="I751" s="1068">
        <f t="shared" si="65"/>
        <v>5040</v>
      </c>
    </row>
    <row r="752" spans="1:9" s="555" customFormat="1" hidden="1" outlineLevel="1" x14ac:dyDescent="0.3">
      <c r="A752" s="1029" t="s">
        <v>2857</v>
      </c>
      <c r="B752" s="562" t="s">
        <v>1673</v>
      </c>
      <c r="C752" s="563" t="s">
        <v>74</v>
      </c>
      <c r="D752" s="1031">
        <f>6.61</f>
        <v>6.61</v>
      </c>
      <c r="E752" s="108"/>
      <c r="F752" s="108">
        <v>588</v>
      </c>
      <c r="G752" s="1068">
        <f t="shared" si="63"/>
        <v>0</v>
      </c>
      <c r="H752" s="1068">
        <f t="shared" si="64"/>
        <v>3886.6800000000003</v>
      </c>
      <c r="I752" s="1068">
        <f t="shared" si="65"/>
        <v>3886.6800000000003</v>
      </c>
    </row>
    <row r="753" spans="1:9" s="555" customFormat="1" hidden="1" outlineLevel="1" x14ac:dyDescent="0.3">
      <c r="A753" s="1029" t="s">
        <v>2858</v>
      </c>
      <c r="B753" s="562" t="s">
        <v>729</v>
      </c>
      <c r="C753" s="563" t="s">
        <v>74</v>
      </c>
      <c r="D753" s="1031">
        <f>14.96</f>
        <v>14.96</v>
      </c>
      <c r="E753" s="108"/>
      <c r="F753" s="108">
        <v>829</v>
      </c>
      <c r="G753" s="1068">
        <f t="shared" si="63"/>
        <v>0</v>
      </c>
      <c r="H753" s="1068">
        <f t="shared" si="64"/>
        <v>12401.84</v>
      </c>
      <c r="I753" s="1068">
        <f t="shared" si="65"/>
        <v>12401.84</v>
      </c>
    </row>
    <row r="754" spans="1:9" s="555" customFormat="1" hidden="1" outlineLevel="1" x14ac:dyDescent="0.3">
      <c r="A754" s="1029"/>
      <c r="B754" s="1219" t="s">
        <v>1675</v>
      </c>
      <c r="C754" s="563"/>
      <c r="D754" s="1031"/>
      <c r="E754" s="108"/>
      <c r="F754" s="108"/>
      <c r="G754" s="1068">
        <f t="shared" si="63"/>
        <v>0</v>
      </c>
      <c r="H754" s="1068">
        <f t="shared" si="64"/>
        <v>0</v>
      </c>
      <c r="I754" s="1068">
        <f t="shared" si="65"/>
        <v>0</v>
      </c>
    </row>
    <row r="755" spans="1:9" s="555" customFormat="1" hidden="1" outlineLevel="1" x14ac:dyDescent="0.3">
      <c r="A755" s="1220" t="s">
        <v>2859</v>
      </c>
      <c r="B755" s="1221" t="s">
        <v>1676</v>
      </c>
      <c r="C755" s="956" t="s">
        <v>44</v>
      </c>
      <c r="D755" s="301">
        <v>2</v>
      </c>
      <c r="E755" s="1222"/>
      <c r="F755" s="108">
        <v>555</v>
      </c>
      <c r="G755" s="1068">
        <f t="shared" si="63"/>
        <v>0</v>
      </c>
      <c r="H755" s="1068">
        <f t="shared" si="64"/>
        <v>1110</v>
      </c>
      <c r="I755" s="1068">
        <f t="shared" si="65"/>
        <v>1110</v>
      </c>
    </row>
    <row r="756" spans="1:9" s="555" customFormat="1" hidden="1" outlineLevel="1" x14ac:dyDescent="0.3">
      <c r="A756" s="1220" t="s">
        <v>2860</v>
      </c>
      <c r="B756" s="1221" t="s">
        <v>1677</v>
      </c>
      <c r="C756" s="956" t="s">
        <v>44</v>
      </c>
      <c r="D756" s="301">
        <v>1</v>
      </c>
      <c r="E756" s="1222"/>
      <c r="F756" s="108">
        <v>550</v>
      </c>
      <c r="G756" s="1068">
        <f t="shared" si="63"/>
        <v>0</v>
      </c>
      <c r="H756" s="1068">
        <f t="shared" si="64"/>
        <v>550</v>
      </c>
      <c r="I756" s="1068">
        <f t="shared" si="65"/>
        <v>550</v>
      </c>
    </row>
    <row r="757" spans="1:9" s="555" customFormat="1" hidden="1" outlineLevel="1" x14ac:dyDescent="0.3">
      <c r="A757" s="1220" t="s">
        <v>2861</v>
      </c>
      <c r="B757" s="1221" t="s">
        <v>1678</v>
      </c>
      <c r="C757" s="1223" t="s">
        <v>44</v>
      </c>
      <c r="D757" s="1224">
        <f>D755*4</f>
        <v>8</v>
      </c>
      <c r="E757" s="1222"/>
      <c r="F757" s="108">
        <v>38</v>
      </c>
      <c r="G757" s="1068">
        <f t="shared" si="63"/>
        <v>0</v>
      </c>
      <c r="H757" s="1068">
        <f t="shared" si="64"/>
        <v>304</v>
      </c>
      <c r="I757" s="1068">
        <f t="shared" si="65"/>
        <v>304</v>
      </c>
    </row>
    <row r="758" spans="1:9" s="555" customFormat="1" hidden="1" outlineLevel="1" x14ac:dyDescent="0.3">
      <c r="A758" s="1220" t="s">
        <v>2862</v>
      </c>
      <c r="B758" s="1221" t="s">
        <v>1679</v>
      </c>
      <c r="C758" s="1223" t="s">
        <v>44</v>
      </c>
      <c r="D758" s="1224">
        <v>1</v>
      </c>
      <c r="E758" s="1222"/>
      <c r="F758" s="108">
        <v>96</v>
      </c>
      <c r="G758" s="1068">
        <f t="shared" si="63"/>
        <v>0</v>
      </c>
      <c r="H758" s="1068">
        <f t="shared" si="64"/>
        <v>96</v>
      </c>
      <c r="I758" s="1068">
        <f t="shared" si="65"/>
        <v>96</v>
      </c>
    </row>
    <row r="759" spans="1:9" s="555" customFormat="1" hidden="1" outlineLevel="1" x14ac:dyDescent="0.3">
      <c r="A759" s="1220" t="s">
        <v>2863</v>
      </c>
      <c r="B759" s="1221" t="s">
        <v>1680</v>
      </c>
      <c r="C759" s="1223" t="s">
        <v>44</v>
      </c>
      <c r="D759" s="1224">
        <f>2*D756</f>
        <v>2</v>
      </c>
      <c r="E759" s="1222"/>
      <c r="F759" s="108">
        <v>140</v>
      </c>
      <c r="G759" s="1068">
        <f t="shared" si="63"/>
        <v>0</v>
      </c>
      <c r="H759" s="1068">
        <f t="shared" si="64"/>
        <v>280</v>
      </c>
      <c r="I759" s="1068">
        <f t="shared" si="65"/>
        <v>280</v>
      </c>
    </row>
    <row r="760" spans="1:9" s="555" customFormat="1" hidden="1" outlineLevel="1" x14ac:dyDescent="0.3">
      <c r="A760" s="1220" t="s">
        <v>2864</v>
      </c>
      <c r="B760" s="1221" t="s">
        <v>1681</v>
      </c>
      <c r="C760" s="1223" t="s">
        <v>44</v>
      </c>
      <c r="D760" s="1224">
        <v>2</v>
      </c>
      <c r="E760" s="1222"/>
      <c r="F760" s="108">
        <v>360</v>
      </c>
      <c r="G760" s="1068">
        <f t="shared" si="63"/>
        <v>0</v>
      </c>
      <c r="H760" s="1068">
        <f t="shared" si="64"/>
        <v>720</v>
      </c>
      <c r="I760" s="1068">
        <f t="shared" si="65"/>
        <v>720</v>
      </c>
    </row>
    <row r="761" spans="1:9" s="555" customFormat="1" hidden="1" outlineLevel="1" x14ac:dyDescent="0.3">
      <c r="A761" s="1220" t="s">
        <v>2865</v>
      </c>
      <c r="B761" s="1221" t="s">
        <v>1682</v>
      </c>
      <c r="C761" s="1223" t="s">
        <v>44</v>
      </c>
      <c r="D761" s="1224">
        <v>1</v>
      </c>
      <c r="E761" s="1222"/>
      <c r="F761" s="108">
        <v>650</v>
      </c>
      <c r="G761" s="1068">
        <f t="shared" si="63"/>
        <v>0</v>
      </c>
      <c r="H761" s="1068">
        <f t="shared" si="64"/>
        <v>650</v>
      </c>
      <c r="I761" s="1068">
        <f t="shared" si="65"/>
        <v>650</v>
      </c>
    </row>
    <row r="762" spans="1:9" s="555" customFormat="1" hidden="1" outlineLevel="1" x14ac:dyDescent="0.3">
      <c r="A762" s="1220" t="s">
        <v>2866</v>
      </c>
      <c r="B762" s="1221" t="s">
        <v>1683</v>
      </c>
      <c r="C762" s="1223" t="s">
        <v>44</v>
      </c>
      <c r="D762" s="1224">
        <v>2</v>
      </c>
      <c r="E762" s="1222"/>
      <c r="F762" s="108">
        <v>93</v>
      </c>
      <c r="G762" s="1068">
        <f t="shared" si="63"/>
        <v>0</v>
      </c>
      <c r="H762" s="1068">
        <f t="shared" si="64"/>
        <v>186</v>
      </c>
      <c r="I762" s="1068">
        <f t="shared" si="65"/>
        <v>186</v>
      </c>
    </row>
    <row r="763" spans="1:9" s="555" customFormat="1" hidden="1" outlineLevel="1" x14ac:dyDescent="0.3">
      <c r="A763" s="1220" t="s">
        <v>2867</v>
      </c>
      <c r="B763" s="1221" t="s">
        <v>1684</v>
      </c>
      <c r="C763" s="1223" t="s">
        <v>44</v>
      </c>
      <c r="D763" s="1224">
        <v>1</v>
      </c>
      <c r="E763" s="1222"/>
      <c r="F763" s="108">
        <v>93</v>
      </c>
      <c r="G763" s="1068">
        <f t="shared" si="63"/>
        <v>0</v>
      </c>
      <c r="H763" s="1068">
        <f t="shared" si="64"/>
        <v>93</v>
      </c>
      <c r="I763" s="1068">
        <f t="shared" si="65"/>
        <v>93</v>
      </c>
    </row>
    <row r="764" spans="1:9" s="555" customFormat="1" hidden="1" outlineLevel="1" x14ac:dyDescent="0.3">
      <c r="A764" s="1029" t="s">
        <v>1744</v>
      </c>
      <c r="B764" s="562" t="s">
        <v>1686</v>
      </c>
      <c r="C764" s="563"/>
      <c r="D764" s="1031"/>
      <c r="E764" s="108"/>
      <c r="F764" s="108"/>
      <c r="G764" s="1068">
        <f>SUM(G765:G778)</f>
        <v>1765.7639999999999</v>
      </c>
      <c r="H764" s="1068">
        <f>SUM(H765:H778)</f>
        <v>15153.931680000002</v>
      </c>
      <c r="I764" s="1068">
        <f>SUM(I765:I778)</f>
        <v>16919.695680000001</v>
      </c>
    </row>
    <row r="765" spans="1:9" s="555" customFormat="1" hidden="1" outlineLevel="1" x14ac:dyDescent="0.3">
      <c r="A765" s="1029" t="s">
        <v>2868</v>
      </c>
      <c r="B765" s="562" t="s">
        <v>1659</v>
      </c>
      <c r="C765" s="563" t="s">
        <v>62</v>
      </c>
      <c r="D765" s="1031">
        <f>2.68*5/1000*1.04</f>
        <v>1.3936E-2</v>
      </c>
      <c r="E765" s="108">
        <v>15000</v>
      </c>
      <c r="F765" s="108">
        <v>62800</v>
      </c>
      <c r="G765" s="1068">
        <f t="shared" si="63"/>
        <v>209.04000000000002</v>
      </c>
      <c r="H765" s="1068">
        <f t="shared" si="64"/>
        <v>875.18079999999998</v>
      </c>
      <c r="I765" s="1068">
        <f t="shared" si="65"/>
        <v>1084.2208000000001</v>
      </c>
    </row>
    <row r="766" spans="1:9" s="555" customFormat="1" hidden="1" outlineLevel="1" x14ac:dyDescent="0.3">
      <c r="A766" s="1029" t="s">
        <v>2870</v>
      </c>
      <c r="B766" s="562" t="s">
        <v>336</v>
      </c>
      <c r="C766" s="563" t="s">
        <v>62</v>
      </c>
      <c r="D766" s="1031">
        <f>(2*0.44+5*0.93+2*1.74+3*2.52+7*2.18+5.67*2+14.13*2+14.18*2)/1000*1.04</f>
        <v>0.1037816</v>
      </c>
      <c r="E766" s="108">
        <v>15000</v>
      </c>
      <c r="F766" s="108">
        <v>41800</v>
      </c>
      <c r="G766" s="1068">
        <f t="shared" si="63"/>
        <v>1556.7239999999999</v>
      </c>
      <c r="H766" s="1068">
        <f t="shared" si="64"/>
        <v>4338.0708800000002</v>
      </c>
      <c r="I766" s="1068">
        <f t="shared" si="65"/>
        <v>5894.7948800000004</v>
      </c>
    </row>
    <row r="767" spans="1:9" s="555" customFormat="1" hidden="1" outlineLevel="1" x14ac:dyDescent="0.3">
      <c r="A767" s="1029" t="s">
        <v>2869</v>
      </c>
      <c r="B767" s="562" t="s">
        <v>1671</v>
      </c>
      <c r="C767" s="563" t="s">
        <v>44</v>
      </c>
      <c r="D767" s="1031">
        <v>28</v>
      </c>
      <c r="E767" s="108"/>
      <c r="F767" s="108">
        <v>180</v>
      </c>
      <c r="G767" s="1068">
        <f t="shared" si="63"/>
        <v>0</v>
      </c>
      <c r="H767" s="1068">
        <f t="shared" si="64"/>
        <v>5040</v>
      </c>
      <c r="I767" s="1068">
        <f t="shared" si="65"/>
        <v>5040</v>
      </c>
    </row>
    <row r="768" spans="1:9" s="555" customFormat="1" hidden="1" outlineLevel="1" x14ac:dyDescent="0.3">
      <c r="A768" s="1029" t="s">
        <v>2871</v>
      </c>
      <c r="B768" s="562" t="s">
        <v>1673</v>
      </c>
      <c r="C768" s="563" t="s">
        <v>74</v>
      </c>
      <c r="D768" s="1031">
        <v>0.86</v>
      </c>
      <c r="E768" s="108"/>
      <c r="F768" s="108">
        <v>588</v>
      </c>
      <c r="G768" s="1068">
        <f t="shared" si="63"/>
        <v>0</v>
      </c>
      <c r="H768" s="1068">
        <f t="shared" si="64"/>
        <v>505.68</v>
      </c>
      <c r="I768" s="1068">
        <f t="shared" si="65"/>
        <v>505.68</v>
      </c>
    </row>
    <row r="769" spans="1:9" s="555" customFormat="1" hidden="1" outlineLevel="1" x14ac:dyDescent="0.3">
      <c r="A769" s="1029"/>
      <c r="B769" s="1219" t="s">
        <v>1675</v>
      </c>
      <c r="C769" s="1225"/>
      <c r="D769" s="1226"/>
      <c r="E769" s="108"/>
      <c r="F769" s="108"/>
      <c r="G769" s="1068">
        <f t="shared" si="63"/>
        <v>0</v>
      </c>
      <c r="H769" s="1068">
        <f t="shared" si="64"/>
        <v>0</v>
      </c>
      <c r="I769" s="1068">
        <f t="shared" si="65"/>
        <v>0</v>
      </c>
    </row>
    <row r="770" spans="1:9" s="555" customFormat="1" hidden="1" outlineLevel="1" x14ac:dyDescent="0.3">
      <c r="A770" s="1220" t="s">
        <v>2872</v>
      </c>
      <c r="B770" s="1221" t="s">
        <v>1676</v>
      </c>
      <c r="C770" s="956" t="s">
        <v>44</v>
      </c>
      <c r="D770" s="956">
        <v>2</v>
      </c>
      <c r="E770" s="1222"/>
      <c r="F770" s="108">
        <v>555</v>
      </c>
      <c r="G770" s="1068">
        <f>D770*E770</f>
        <v>0</v>
      </c>
      <c r="H770" s="1068">
        <f t="shared" si="64"/>
        <v>1110</v>
      </c>
      <c r="I770" s="1068">
        <f t="shared" si="65"/>
        <v>1110</v>
      </c>
    </row>
    <row r="771" spans="1:9" s="555" customFormat="1" hidden="1" outlineLevel="1" x14ac:dyDescent="0.3">
      <c r="A771" s="1220" t="s">
        <v>2875</v>
      </c>
      <c r="B771" s="1221" t="s">
        <v>1677</v>
      </c>
      <c r="C771" s="956" t="s">
        <v>44</v>
      </c>
      <c r="D771" s="956">
        <v>1</v>
      </c>
      <c r="E771" s="1222"/>
      <c r="F771" s="108">
        <v>550</v>
      </c>
      <c r="G771" s="1068">
        <f>D771*E771</f>
        <v>0</v>
      </c>
      <c r="H771" s="1068">
        <f t="shared" si="64"/>
        <v>550</v>
      </c>
      <c r="I771" s="1068">
        <f t="shared" si="65"/>
        <v>550</v>
      </c>
    </row>
    <row r="772" spans="1:9" s="555" customFormat="1" hidden="1" outlineLevel="1" x14ac:dyDescent="0.3">
      <c r="A772" s="1220" t="s">
        <v>2876</v>
      </c>
      <c r="B772" s="1221" t="s">
        <v>1679</v>
      </c>
      <c r="C772" s="1223" t="s">
        <v>44</v>
      </c>
      <c r="D772" s="1224">
        <v>1</v>
      </c>
      <c r="E772" s="1222"/>
      <c r="F772" s="108">
        <v>38</v>
      </c>
      <c r="G772" s="1068">
        <f t="shared" si="63"/>
        <v>0</v>
      </c>
      <c r="H772" s="1068">
        <f t="shared" si="64"/>
        <v>38</v>
      </c>
      <c r="I772" s="1068">
        <f t="shared" si="65"/>
        <v>38</v>
      </c>
    </row>
    <row r="773" spans="1:9" s="555" customFormat="1" hidden="1" outlineLevel="1" x14ac:dyDescent="0.3">
      <c r="A773" s="1220" t="s">
        <v>2877</v>
      </c>
      <c r="B773" s="1221" t="s">
        <v>1678</v>
      </c>
      <c r="C773" s="1223" t="s">
        <v>44</v>
      </c>
      <c r="D773" s="1223">
        <f>D770*4</f>
        <v>8</v>
      </c>
      <c r="E773" s="1222"/>
      <c r="F773" s="108">
        <v>96</v>
      </c>
      <c r="G773" s="1068">
        <f t="shared" si="63"/>
        <v>0</v>
      </c>
      <c r="H773" s="1068">
        <f t="shared" si="64"/>
        <v>768</v>
      </c>
      <c r="I773" s="1068">
        <f t="shared" si="65"/>
        <v>768</v>
      </c>
    </row>
    <row r="774" spans="1:9" s="555" customFormat="1" hidden="1" outlineLevel="1" x14ac:dyDescent="0.3">
      <c r="A774" s="1220" t="s">
        <v>2873</v>
      </c>
      <c r="B774" s="1221" t="s">
        <v>1680</v>
      </c>
      <c r="C774" s="1223" t="s">
        <v>44</v>
      </c>
      <c r="D774" s="1223">
        <f>D771*2</f>
        <v>2</v>
      </c>
      <c r="E774" s="1222"/>
      <c r="F774" s="108">
        <v>140</v>
      </c>
      <c r="G774" s="1068">
        <f t="shared" si="63"/>
        <v>0</v>
      </c>
      <c r="H774" s="1068">
        <f t="shared" si="64"/>
        <v>280</v>
      </c>
      <c r="I774" s="1068">
        <f t="shared" si="65"/>
        <v>280</v>
      </c>
    </row>
    <row r="775" spans="1:9" s="555" customFormat="1" hidden="1" outlineLevel="1" x14ac:dyDescent="0.3">
      <c r="A775" s="1220" t="s">
        <v>2878</v>
      </c>
      <c r="B775" s="1221" t="s">
        <v>1681</v>
      </c>
      <c r="C775" s="1223" t="s">
        <v>44</v>
      </c>
      <c r="D775" s="1223">
        <v>2</v>
      </c>
      <c r="E775" s="1222"/>
      <c r="F775" s="108">
        <v>360</v>
      </c>
      <c r="G775" s="1068">
        <f t="shared" si="63"/>
        <v>0</v>
      </c>
      <c r="H775" s="1068">
        <f t="shared" si="64"/>
        <v>720</v>
      </c>
      <c r="I775" s="1068">
        <f t="shared" si="65"/>
        <v>720</v>
      </c>
    </row>
    <row r="776" spans="1:9" s="555" customFormat="1" hidden="1" outlineLevel="1" x14ac:dyDescent="0.3">
      <c r="A776" s="1220" t="s">
        <v>2879</v>
      </c>
      <c r="B776" s="1221" t="s">
        <v>1682</v>
      </c>
      <c r="C776" s="1223" t="s">
        <v>44</v>
      </c>
      <c r="D776" s="1223">
        <v>1</v>
      </c>
      <c r="E776" s="1222"/>
      <c r="F776" s="108">
        <v>650</v>
      </c>
      <c r="G776" s="1068">
        <f t="shared" si="63"/>
        <v>0</v>
      </c>
      <c r="H776" s="1068">
        <f t="shared" si="64"/>
        <v>650</v>
      </c>
      <c r="I776" s="1068">
        <f t="shared" si="65"/>
        <v>650</v>
      </c>
    </row>
    <row r="777" spans="1:9" s="555" customFormat="1" hidden="1" outlineLevel="1" x14ac:dyDescent="0.3">
      <c r="A777" s="1220" t="s">
        <v>2880</v>
      </c>
      <c r="B777" s="1221" t="s">
        <v>1683</v>
      </c>
      <c r="C777" s="1223" t="s">
        <v>44</v>
      </c>
      <c r="D777" s="1223">
        <v>2</v>
      </c>
      <c r="E777" s="1222"/>
      <c r="F777" s="108">
        <v>93</v>
      </c>
      <c r="G777" s="1068">
        <f t="shared" si="63"/>
        <v>0</v>
      </c>
      <c r="H777" s="1068">
        <f t="shared" si="64"/>
        <v>186</v>
      </c>
      <c r="I777" s="1068">
        <f t="shared" si="65"/>
        <v>186</v>
      </c>
    </row>
    <row r="778" spans="1:9" s="555" customFormat="1" hidden="1" outlineLevel="1" x14ac:dyDescent="0.3">
      <c r="A778" s="1220" t="s">
        <v>2881</v>
      </c>
      <c r="B778" s="1221" t="s">
        <v>1684</v>
      </c>
      <c r="C778" s="1223" t="s">
        <v>44</v>
      </c>
      <c r="D778" s="1223">
        <v>1</v>
      </c>
      <c r="E778" s="1222"/>
      <c r="F778" s="108">
        <v>93</v>
      </c>
      <c r="G778" s="1068">
        <f t="shared" si="63"/>
        <v>0</v>
      </c>
      <c r="H778" s="1068">
        <f t="shared" si="64"/>
        <v>93</v>
      </c>
      <c r="I778" s="1068">
        <f t="shared" si="65"/>
        <v>93</v>
      </c>
    </row>
    <row r="779" spans="1:9" s="555" customFormat="1" hidden="1" outlineLevel="1" x14ac:dyDescent="0.3">
      <c r="A779" s="1029" t="s">
        <v>1745</v>
      </c>
      <c r="B779" s="585" t="s">
        <v>1692</v>
      </c>
      <c r="C779" s="1225"/>
      <c r="D779" s="1226"/>
      <c r="E779" s="108"/>
      <c r="F779" s="108"/>
      <c r="G779" s="1068">
        <f>SUM(G780:G793)</f>
        <v>7830.1080000000002</v>
      </c>
      <c r="H779" s="1068">
        <f>SUM(H780:H793)</f>
        <v>62087.389439999999</v>
      </c>
      <c r="I779" s="1068">
        <f>SUM(I780:I793)</f>
        <v>69917.497440000006</v>
      </c>
    </row>
    <row r="780" spans="1:9" s="555" customFormat="1" hidden="1" outlineLevel="1" x14ac:dyDescent="0.3">
      <c r="A780" s="1029" t="s">
        <v>2882</v>
      </c>
      <c r="B780" s="562" t="s">
        <v>1659</v>
      </c>
      <c r="C780" s="563" t="s">
        <v>62</v>
      </c>
      <c r="D780" s="1031">
        <f>(11*15.02+4*6.3)/1000*1.04</f>
        <v>0.19803679999999999</v>
      </c>
      <c r="E780" s="108">
        <v>15000</v>
      </c>
      <c r="F780" s="108">
        <v>62800</v>
      </c>
      <c r="G780" s="1068">
        <f t="shared" si="63"/>
        <v>2970.5519999999997</v>
      </c>
      <c r="H780" s="1068">
        <f t="shared" si="64"/>
        <v>12436.711039999998</v>
      </c>
      <c r="I780" s="1068">
        <f t="shared" si="65"/>
        <v>15407.263039999998</v>
      </c>
    </row>
    <row r="781" spans="1:9" s="555" customFormat="1" hidden="1" outlineLevel="1" x14ac:dyDescent="0.3">
      <c r="A781" s="1029" t="s">
        <v>2883</v>
      </c>
      <c r="B781" s="562" t="s">
        <v>336</v>
      </c>
      <c r="C781" s="563" t="s">
        <v>62</v>
      </c>
      <c r="D781" s="1031">
        <f>(15*0.92+15*2.18+2*2.52+4*5.92+3*25.87+3*32.68+14.89*2+28.77)/1000*1.04</f>
        <v>0.32179679999999999</v>
      </c>
      <c r="E781" s="108">
        <v>15000</v>
      </c>
      <c r="F781" s="108">
        <v>41800</v>
      </c>
      <c r="G781" s="1068">
        <f t="shared" si="63"/>
        <v>4826.9520000000002</v>
      </c>
      <c r="H781" s="1068">
        <f t="shared" si="64"/>
        <v>13451.106239999999</v>
      </c>
      <c r="I781" s="1068">
        <f t="shared" si="65"/>
        <v>18278.058239999998</v>
      </c>
    </row>
    <row r="782" spans="1:9" s="555" customFormat="1" hidden="1" outlineLevel="1" x14ac:dyDescent="0.3">
      <c r="A782" s="1029" t="s">
        <v>2834</v>
      </c>
      <c r="B782" s="562" t="s">
        <v>1696</v>
      </c>
      <c r="C782" s="563" t="s">
        <v>62</v>
      </c>
      <c r="D782" s="1031">
        <f>11*0.19/1000*1.04</f>
        <v>2.1735999999999999E-3</v>
      </c>
      <c r="E782" s="108">
        <v>15000</v>
      </c>
      <c r="F782" s="108">
        <v>55600</v>
      </c>
      <c r="G782" s="1068">
        <f t="shared" si="63"/>
        <v>32.603999999999999</v>
      </c>
      <c r="H782" s="1068">
        <f t="shared" si="64"/>
        <v>120.85216</v>
      </c>
      <c r="I782" s="1068">
        <f t="shared" si="65"/>
        <v>153.45616000000001</v>
      </c>
    </row>
    <row r="783" spans="1:9" s="555" customFormat="1" hidden="1" outlineLevel="1" x14ac:dyDescent="0.3">
      <c r="A783" s="1029" t="s">
        <v>2884</v>
      </c>
      <c r="B783" s="562" t="s">
        <v>729</v>
      </c>
      <c r="C783" s="563" t="s">
        <v>74</v>
      </c>
      <c r="D783" s="1031">
        <f>32.68</f>
        <v>32.68</v>
      </c>
      <c r="E783" s="108"/>
      <c r="F783" s="108">
        <v>829</v>
      </c>
      <c r="G783" s="1068">
        <f t="shared" si="63"/>
        <v>0</v>
      </c>
      <c r="H783" s="1068">
        <f t="shared" si="64"/>
        <v>27091.72</v>
      </c>
      <c r="I783" s="1068">
        <f t="shared" si="65"/>
        <v>27091.72</v>
      </c>
    </row>
    <row r="784" spans="1:9" s="555" customFormat="1" hidden="1" outlineLevel="1" x14ac:dyDescent="0.3">
      <c r="A784" s="1029"/>
      <c r="B784" s="1219" t="s">
        <v>1675</v>
      </c>
      <c r="C784" s="563"/>
      <c r="D784" s="1031"/>
      <c r="E784" s="108"/>
      <c r="F784" s="108"/>
      <c r="G784" s="1068">
        <f t="shared" si="63"/>
        <v>0</v>
      </c>
      <c r="H784" s="1068">
        <f t="shared" si="64"/>
        <v>0</v>
      </c>
      <c r="I784" s="1068">
        <f t="shared" si="65"/>
        <v>0</v>
      </c>
    </row>
    <row r="785" spans="1:9" s="555" customFormat="1" hidden="1" outlineLevel="1" x14ac:dyDescent="0.3">
      <c r="A785" s="1220" t="s">
        <v>2885</v>
      </c>
      <c r="B785" s="1221" t="s">
        <v>1676</v>
      </c>
      <c r="C785" s="956" t="s">
        <v>44</v>
      </c>
      <c r="D785" s="956">
        <v>5</v>
      </c>
      <c r="E785" s="1222"/>
      <c r="F785" s="108">
        <v>555</v>
      </c>
      <c r="G785" s="1068">
        <f t="shared" si="63"/>
        <v>0</v>
      </c>
      <c r="H785" s="1068">
        <f t="shared" si="64"/>
        <v>2775</v>
      </c>
      <c r="I785" s="1068">
        <f t="shared" si="65"/>
        <v>2775</v>
      </c>
    </row>
    <row r="786" spans="1:9" s="555" customFormat="1" hidden="1" outlineLevel="1" x14ac:dyDescent="0.3">
      <c r="A786" s="1220" t="s">
        <v>2887</v>
      </c>
      <c r="B786" s="1221" t="s">
        <v>1679</v>
      </c>
      <c r="C786" s="956" t="s">
        <v>44</v>
      </c>
      <c r="D786" s="301">
        <v>4</v>
      </c>
      <c r="E786" s="1222"/>
      <c r="F786" s="108">
        <v>96</v>
      </c>
      <c r="G786" s="1068">
        <f t="shared" si="63"/>
        <v>0</v>
      </c>
      <c r="H786" s="1068">
        <f t="shared" si="64"/>
        <v>384</v>
      </c>
      <c r="I786" s="1068">
        <f t="shared" si="65"/>
        <v>384</v>
      </c>
    </row>
    <row r="787" spans="1:9" s="555" customFormat="1" hidden="1" outlineLevel="1" x14ac:dyDescent="0.3">
      <c r="A787" s="1220" t="s">
        <v>2888</v>
      </c>
      <c r="B787" s="1221" t="s">
        <v>1677</v>
      </c>
      <c r="C787" s="956" t="s">
        <v>44</v>
      </c>
      <c r="D787" s="956">
        <v>3</v>
      </c>
      <c r="E787" s="1222"/>
      <c r="F787" s="108">
        <v>550</v>
      </c>
      <c r="G787" s="1068">
        <f t="shared" si="63"/>
        <v>0</v>
      </c>
      <c r="H787" s="1068">
        <f t="shared" si="64"/>
        <v>1650</v>
      </c>
      <c r="I787" s="1068">
        <f t="shared" si="65"/>
        <v>1650</v>
      </c>
    </row>
    <row r="788" spans="1:9" s="555" customFormat="1" hidden="1" outlineLevel="1" x14ac:dyDescent="0.3">
      <c r="A788" s="1220" t="s">
        <v>2889</v>
      </c>
      <c r="B788" s="1221" t="s">
        <v>1678</v>
      </c>
      <c r="C788" s="1223" t="s">
        <v>44</v>
      </c>
      <c r="D788" s="1223">
        <f>D785*4</f>
        <v>20</v>
      </c>
      <c r="E788" s="1222"/>
      <c r="F788" s="108">
        <v>38</v>
      </c>
      <c r="G788" s="1068">
        <f t="shared" si="63"/>
        <v>0</v>
      </c>
      <c r="H788" s="1068">
        <f t="shared" si="64"/>
        <v>760</v>
      </c>
      <c r="I788" s="1068">
        <f t="shared" si="65"/>
        <v>760</v>
      </c>
    </row>
    <row r="789" spans="1:9" s="555" customFormat="1" hidden="1" outlineLevel="1" x14ac:dyDescent="0.3">
      <c r="A789" s="1220" t="s">
        <v>2890</v>
      </c>
      <c r="B789" s="1221" t="s">
        <v>1680</v>
      </c>
      <c r="C789" s="1223" t="s">
        <v>44</v>
      </c>
      <c r="D789" s="1223">
        <f>D787*2</f>
        <v>6</v>
      </c>
      <c r="E789" s="1222"/>
      <c r="F789" s="108">
        <v>140</v>
      </c>
      <c r="G789" s="1068">
        <f t="shared" si="63"/>
        <v>0</v>
      </c>
      <c r="H789" s="1068">
        <f t="shared" si="64"/>
        <v>840</v>
      </c>
      <c r="I789" s="1068">
        <f t="shared" si="65"/>
        <v>840</v>
      </c>
    </row>
    <row r="790" spans="1:9" s="555" customFormat="1" hidden="1" outlineLevel="1" x14ac:dyDescent="0.3">
      <c r="A790" s="1220" t="s">
        <v>2891</v>
      </c>
      <c r="B790" s="1221" t="s">
        <v>1681</v>
      </c>
      <c r="C790" s="1223" t="s">
        <v>44</v>
      </c>
      <c r="D790" s="1223">
        <v>2</v>
      </c>
      <c r="E790" s="1222"/>
      <c r="F790" s="108">
        <v>360</v>
      </c>
      <c r="G790" s="1068">
        <f t="shared" si="63"/>
        <v>0</v>
      </c>
      <c r="H790" s="1068">
        <f t="shared" si="64"/>
        <v>720</v>
      </c>
      <c r="I790" s="1068">
        <f t="shared" si="65"/>
        <v>720</v>
      </c>
    </row>
    <row r="791" spans="1:9" s="555" customFormat="1" hidden="1" outlineLevel="1" x14ac:dyDescent="0.3">
      <c r="A791" s="1220" t="s">
        <v>2892</v>
      </c>
      <c r="B791" s="1221" t="s">
        <v>1682</v>
      </c>
      <c r="C791" s="1223" t="s">
        <v>44</v>
      </c>
      <c r="D791" s="1223">
        <v>2</v>
      </c>
      <c r="E791" s="1222"/>
      <c r="F791" s="108">
        <v>650</v>
      </c>
      <c r="G791" s="1068">
        <f t="shared" si="63"/>
        <v>0</v>
      </c>
      <c r="H791" s="1068">
        <f t="shared" si="64"/>
        <v>1300</v>
      </c>
      <c r="I791" s="1068">
        <f t="shared" si="65"/>
        <v>1300</v>
      </c>
    </row>
    <row r="792" spans="1:9" s="555" customFormat="1" hidden="1" outlineLevel="1" x14ac:dyDescent="0.3">
      <c r="A792" s="1220" t="s">
        <v>2893</v>
      </c>
      <c r="B792" s="1221" t="s">
        <v>1683</v>
      </c>
      <c r="C792" s="1223" t="s">
        <v>44</v>
      </c>
      <c r="D792" s="1223">
        <v>4</v>
      </c>
      <c r="E792" s="1222"/>
      <c r="F792" s="108">
        <v>93</v>
      </c>
      <c r="G792" s="1068">
        <f t="shared" si="63"/>
        <v>0</v>
      </c>
      <c r="H792" s="1068">
        <f t="shared" si="64"/>
        <v>372</v>
      </c>
      <c r="I792" s="1068">
        <f t="shared" si="65"/>
        <v>372</v>
      </c>
    </row>
    <row r="793" spans="1:9" s="555" customFormat="1" ht="17.25" hidden="1" customHeight="1" outlineLevel="1" x14ac:dyDescent="0.3">
      <c r="A793" s="1220" t="s">
        <v>2894</v>
      </c>
      <c r="B793" s="1221" t="s">
        <v>1684</v>
      </c>
      <c r="C793" s="1223" t="s">
        <v>44</v>
      </c>
      <c r="D793" s="1223">
        <v>2</v>
      </c>
      <c r="E793" s="1222"/>
      <c r="F793" s="108">
        <v>93</v>
      </c>
      <c r="G793" s="1068">
        <f t="shared" si="63"/>
        <v>0</v>
      </c>
      <c r="H793" s="1068">
        <f t="shared" si="64"/>
        <v>186</v>
      </c>
      <c r="I793" s="1068">
        <f t="shared" si="65"/>
        <v>186</v>
      </c>
    </row>
    <row r="794" spans="1:9" s="555" customFormat="1" hidden="1" outlineLevel="1" x14ac:dyDescent="0.3">
      <c r="A794" s="1029" t="s">
        <v>1746</v>
      </c>
      <c r="B794" s="562" t="s">
        <v>1699</v>
      </c>
      <c r="C794" s="563"/>
      <c r="D794" s="1031"/>
      <c r="E794" s="108"/>
      <c r="F794" s="108"/>
      <c r="G794" s="1068">
        <f>SUM(G795:G807)</f>
        <v>2168.712</v>
      </c>
      <c r="H794" s="1068">
        <f>SUM(H795:H807)</f>
        <v>16278.870800000001</v>
      </c>
      <c r="I794" s="1068">
        <f>SUM(I795:I807)</f>
        <v>18447.5828</v>
      </c>
    </row>
    <row r="795" spans="1:9" s="555" customFormat="1" hidden="1" outlineLevel="1" x14ac:dyDescent="0.3">
      <c r="A795" s="1029" t="s">
        <v>2895</v>
      </c>
      <c r="B795" s="562" t="s">
        <v>1659</v>
      </c>
      <c r="C795" s="563" t="s">
        <v>62</v>
      </c>
      <c r="D795" s="1031">
        <f>(5*2.68)/1000*1.04</f>
        <v>1.3936E-2</v>
      </c>
      <c r="E795" s="108">
        <v>15000</v>
      </c>
      <c r="F795" s="108">
        <v>62800</v>
      </c>
      <c r="G795" s="1068">
        <f t="shared" si="63"/>
        <v>209.04000000000002</v>
      </c>
      <c r="H795" s="1068">
        <f t="shared" si="64"/>
        <v>875.18079999999998</v>
      </c>
      <c r="I795" s="1068">
        <f t="shared" si="65"/>
        <v>1084.2208000000001</v>
      </c>
    </row>
    <row r="796" spans="1:9" s="555" customFormat="1" hidden="1" outlineLevel="1" x14ac:dyDescent="0.3">
      <c r="A796" s="1029" t="s">
        <v>2897</v>
      </c>
      <c r="B796" s="562" t="s">
        <v>336</v>
      </c>
      <c r="C796" s="563" t="s">
        <v>62</v>
      </c>
      <c r="D796" s="1031">
        <f>(4*0.44+5*0.93+7*2.18+4*2.52+4*5.67+2*14.83+14.8)/1000*1.04</f>
        <v>0.10284560000000001</v>
      </c>
      <c r="E796" s="108">
        <v>15000</v>
      </c>
      <c r="F796" s="108">
        <v>41800</v>
      </c>
      <c r="G796" s="1068">
        <f t="shared" si="63"/>
        <v>1542.6840000000002</v>
      </c>
      <c r="H796" s="1068">
        <f t="shared" si="64"/>
        <v>4298.9460800000006</v>
      </c>
      <c r="I796" s="1068">
        <f t="shared" si="65"/>
        <v>5841.6300800000008</v>
      </c>
    </row>
    <row r="797" spans="1:9" s="555" customFormat="1" hidden="1" outlineLevel="1" x14ac:dyDescent="0.3">
      <c r="A797" s="1029" t="s">
        <v>2898</v>
      </c>
      <c r="B797" s="562" t="s">
        <v>1667</v>
      </c>
      <c r="C797" s="563" t="s">
        <v>62</v>
      </c>
      <c r="D797" s="1031">
        <f>9*2.97/1000*1.04</f>
        <v>2.77992E-2</v>
      </c>
      <c r="E797" s="108">
        <v>15000</v>
      </c>
      <c r="F797" s="108">
        <v>45100</v>
      </c>
      <c r="G797" s="1068">
        <f t="shared" si="63"/>
        <v>416.988</v>
      </c>
      <c r="H797" s="1068">
        <f t="shared" si="64"/>
        <v>1253.7439199999999</v>
      </c>
      <c r="I797" s="1068">
        <f t="shared" si="65"/>
        <v>1670.7319199999999</v>
      </c>
    </row>
    <row r="798" spans="1:9" s="555" customFormat="1" hidden="1" outlineLevel="1" x14ac:dyDescent="0.3">
      <c r="A798" s="1029" t="s">
        <v>2899</v>
      </c>
      <c r="B798" s="562" t="s">
        <v>1671</v>
      </c>
      <c r="C798" s="563" t="s">
        <v>44</v>
      </c>
      <c r="D798" s="1031">
        <v>36</v>
      </c>
      <c r="E798" s="108"/>
      <c r="F798" s="108">
        <v>180</v>
      </c>
      <c r="G798" s="1068">
        <f t="shared" si="63"/>
        <v>0</v>
      </c>
      <c r="H798" s="1068">
        <f t="shared" si="64"/>
        <v>6480</v>
      </c>
      <c r="I798" s="1068">
        <f t="shared" si="65"/>
        <v>6480</v>
      </c>
    </row>
    <row r="799" spans="1:9" s="555" customFormat="1" hidden="1" outlineLevel="1" x14ac:dyDescent="0.3">
      <c r="A799" s="1220"/>
      <c r="B799" s="1219" t="s">
        <v>1675</v>
      </c>
      <c r="C799" s="563"/>
      <c r="D799" s="1031"/>
      <c r="E799" s="1222"/>
      <c r="F799" s="108"/>
      <c r="G799" s="1068">
        <f t="shared" si="63"/>
        <v>0</v>
      </c>
      <c r="H799" s="1068">
        <f t="shared" si="64"/>
        <v>0</v>
      </c>
      <c r="I799" s="1068">
        <f t="shared" si="65"/>
        <v>0</v>
      </c>
    </row>
    <row r="800" spans="1:9" s="555" customFormat="1" hidden="1" outlineLevel="1" x14ac:dyDescent="0.3">
      <c r="A800" s="1220" t="s">
        <v>2900</v>
      </c>
      <c r="B800" s="1221" t="s">
        <v>1704</v>
      </c>
      <c r="C800" s="956" t="s">
        <v>44</v>
      </c>
      <c r="D800" s="956">
        <v>1</v>
      </c>
      <c r="E800" s="1222"/>
      <c r="F800" s="108">
        <v>740</v>
      </c>
      <c r="G800" s="1068">
        <f t="shared" si="63"/>
        <v>0</v>
      </c>
      <c r="H800" s="1068">
        <f>D800*F800</f>
        <v>740</v>
      </c>
      <c r="I800" s="1068">
        <f t="shared" si="65"/>
        <v>740</v>
      </c>
    </row>
    <row r="801" spans="1:9" s="555" customFormat="1" hidden="1" outlineLevel="1" x14ac:dyDescent="0.3">
      <c r="A801" s="1220" t="s">
        <v>2886</v>
      </c>
      <c r="B801" s="1221" t="s">
        <v>1677</v>
      </c>
      <c r="C801" s="956" t="s">
        <v>44</v>
      </c>
      <c r="D801" s="956">
        <v>1</v>
      </c>
      <c r="E801" s="1222"/>
      <c r="F801" s="108">
        <v>550</v>
      </c>
      <c r="G801" s="1068">
        <f t="shared" si="63"/>
        <v>0</v>
      </c>
      <c r="H801" s="1068">
        <f t="shared" si="64"/>
        <v>550</v>
      </c>
      <c r="I801" s="1068">
        <f t="shared" si="65"/>
        <v>550</v>
      </c>
    </row>
    <row r="802" spans="1:9" s="555" customFormat="1" hidden="1" outlineLevel="1" x14ac:dyDescent="0.3">
      <c r="A802" s="1220" t="s">
        <v>2901</v>
      </c>
      <c r="B802" s="1221" t="s">
        <v>1678</v>
      </c>
      <c r="C802" s="1223" t="s">
        <v>44</v>
      </c>
      <c r="D802" s="1223">
        <f>D800*4</f>
        <v>4</v>
      </c>
      <c r="E802" s="1222"/>
      <c r="F802" s="108">
        <v>38</v>
      </c>
      <c r="G802" s="1068">
        <f t="shared" si="63"/>
        <v>0</v>
      </c>
      <c r="H802" s="1068">
        <f t="shared" si="64"/>
        <v>152</v>
      </c>
      <c r="I802" s="1068">
        <f t="shared" si="65"/>
        <v>152</v>
      </c>
    </row>
    <row r="803" spans="1:9" s="555" customFormat="1" hidden="1" outlineLevel="1" x14ac:dyDescent="0.3">
      <c r="A803" s="1220" t="s">
        <v>2902</v>
      </c>
      <c r="B803" s="1221" t="s">
        <v>1680</v>
      </c>
      <c r="C803" s="1223" t="s">
        <v>44</v>
      </c>
      <c r="D803" s="1223">
        <f>D801*2</f>
        <v>2</v>
      </c>
      <c r="E803" s="1222"/>
      <c r="F803" s="108">
        <v>140</v>
      </c>
      <c r="G803" s="1068">
        <f t="shared" si="63"/>
        <v>0</v>
      </c>
      <c r="H803" s="1068">
        <f t="shared" si="64"/>
        <v>280</v>
      </c>
      <c r="I803" s="1068">
        <f t="shared" si="65"/>
        <v>280</v>
      </c>
    </row>
    <row r="804" spans="1:9" s="555" customFormat="1" hidden="1" outlineLevel="1" x14ac:dyDescent="0.3">
      <c r="A804" s="1220" t="s">
        <v>2903</v>
      </c>
      <c r="B804" s="1221" t="s">
        <v>1681</v>
      </c>
      <c r="C804" s="1223" t="s">
        <v>44</v>
      </c>
      <c r="D804" s="1223">
        <v>2</v>
      </c>
      <c r="E804" s="1222"/>
      <c r="F804" s="108">
        <v>360</v>
      </c>
      <c r="G804" s="1068">
        <f t="shared" si="63"/>
        <v>0</v>
      </c>
      <c r="H804" s="1068">
        <f t="shared" si="64"/>
        <v>720</v>
      </c>
      <c r="I804" s="1068">
        <f t="shared" si="65"/>
        <v>720</v>
      </c>
    </row>
    <row r="805" spans="1:9" s="555" customFormat="1" hidden="1" outlineLevel="1" x14ac:dyDescent="0.3">
      <c r="A805" s="1220" t="s">
        <v>2904</v>
      </c>
      <c r="B805" s="1221" t="s">
        <v>1682</v>
      </c>
      <c r="C805" s="1223" t="s">
        <v>44</v>
      </c>
      <c r="D805" s="1223">
        <v>1</v>
      </c>
      <c r="E805" s="1222"/>
      <c r="F805" s="108">
        <v>650</v>
      </c>
      <c r="G805" s="1068">
        <f t="shared" si="63"/>
        <v>0</v>
      </c>
      <c r="H805" s="1068">
        <f t="shared" si="64"/>
        <v>650</v>
      </c>
      <c r="I805" s="1068">
        <f t="shared" si="65"/>
        <v>650</v>
      </c>
    </row>
    <row r="806" spans="1:9" s="555" customFormat="1" hidden="1" outlineLevel="1" x14ac:dyDescent="0.3">
      <c r="A806" s="1220" t="s">
        <v>2905</v>
      </c>
      <c r="B806" s="1221" t="s">
        <v>1683</v>
      </c>
      <c r="C806" s="1223" t="s">
        <v>44</v>
      </c>
      <c r="D806" s="1223">
        <v>2</v>
      </c>
      <c r="E806" s="1222"/>
      <c r="F806" s="108">
        <v>93</v>
      </c>
      <c r="G806" s="1068">
        <f t="shared" si="63"/>
        <v>0</v>
      </c>
      <c r="H806" s="1068">
        <f t="shared" si="64"/>
        <v>186</v>
      </c>
      <c r="I806" s="1068">
        <f t="shared" si="65"/>
        <v>186</v>
      </c>
    </row>
    <row r="807" spans="1:9" s="555" customFormat="1" hidden="1" outlineLevel="1" x14ac:dyDescent="0.3">
      <c r="A807" s="1220" t="s">
        <v>2906</v>
      </c>
      <c r="B807" s="1221" t="s">
        <v>1684</v>
      </c>
      <c r="C807" s="1223" t="s">
        <v>44</v>
      </c>
      <c r="D807" s="1223">
        <v>1</v>
      </c>
      <c r="E807" s="1222"/>
      <c r="F807" s="108">
        <v>93</v>
      </c>
      <c r="G807" s="1068">
        <f t="shared" si="63"/>
        <v>0</v>
      </c>
      <c r="H807" s="1068">
        <f t="shared" si="64"/>
        <v>93</v>
      </c>
      <c r="I807" s="1068">
        <f t="shared" si="65"/>
        <v>93</v>
      </c>
    </row>
    <row r="808" spans="1:9" s="555" customFormat="1" hidden="1" outlineLevel="1" x14ac:dyDescent="0.3">
      <c r="A808" s="1029" t="s">
        <v>1747</v>
      </c>
      <c r="B808" s="562" t="s">
        <v>1706</v>
      </c>
      <c r="C808" s="563"/>
      <c r="D808" s="1031"/>
      <c r="E808" s="108"/>
      <c r="F808" s="108"/>
      <c r="G808" s="1068">
        <f>SUM(G809:G828)</f>
        <v>10510.811999999998</v>
      </c>
      <c r="H808" s="1068">
        <f>SUM(H809:H828)</f>
        <v>64777.331760000001</v>
      </c>
      <c r="I808" s="1068">
        <f>SUM(I809:I828)</f>
        <v>75288.143760000006</v>
      </c>
    </row>
    <row r="809" spans="1:9" s="555" customFormat="1" hidden="1" outlineLevel="1" x14ac:dyDescent="0.3">
      <c r="A809" s="1029" t="s">
        <v>2907</v>
      </c>
      <c r="B809" s="562" t="s">
        <v>1659</v>
      </c>
      <c r="C809" s="563" t="s">
        <v>62</v>
      </c>
      <c r="D809" s="1031">
        <f>(13.54*6+6.3*4)/1000*1.04</f>
        <v>0.11069759999999999</v>
      </c>
      <c r="E809" s="108">
        <v>15000</v>
      </c>
      <c r="F809" s="108">
        <v>62800</v>
      </c>
      <c r="G809" s="1068">
        <f t="shared" ref="G809:G841" si="66">D809*E809</f>
        <v>1660.4639999999999</v>
      </c>
      <c r="H809" s="1068">
        <f t="shared" ref="H809:H841" si="67">D809*F809</f>
        <v>6951.8092799999995</v>
      </c>
      <c r="I809" s="1068">
        <f t="shared" ref="I809:I841" si="68">G809+H809</f>
        <v>8612.2732799999994</v>
      </c>
    </row>
    <row r="810" spans="1:9" s="555" customFormat="1" hidden="1" outlineLevel="1" x14ac:dyDescent="0.3">
      <c r="A810" s="1029" t="s">
        <v>2908</v>
      </c>
      <c r="B810" s="562" t="s">
        <v>680</v>
      </c>
      <c r="C810" s="563" t="s">
        <v>62</v>
      </c>
      <c r="D810" s="1031">
        <f>49.56*2/1000*1.04</f>
        <v>0.1030848</v>
      </c>
      <c r="E810" s="108">
        <v>15000</v>
      </c>
      <c r="F810" s="108">
        <v>47200</v>
      </c>
      <c r="G810" s="1068">
        <f t="shared" si="66"/>
        <v>1546.2720000000002</v>
      </c>
      <c r="H810" s="1068">
        <f t="shared" si="67"/>
        <v>4865.6025600000003</v>
      </c>
      <c r="I810" s="1068">
        <f t="shared" si="68"/>
        <v>6411.8745600000002</v>
      </c>
    </row>
    <row r="811" spans="1:9" s="555" customFormat="1" hidden="1" outlineLevel="1" x14ac:dyDescent="0.3">
      <c r="A811" s="1029" t="s">
        <v>2909</v>
      </c>
      <c r="B811" s="562" t="s">
        <v>1325</v>
      </c>
      <c r="C811" s="563" t="s">
        <v>62</v>
      </c>
      <c r="D811" s="1031">
        <f>(12.8*2+10.87*2)/1000*1.04</f>
        <v>4.9233600000000002E-2</v>
      </c>
      <c r="E811" s="108">
        <v>15000</v>
      </c>
      <c r="F811" s="108">
        <v>43300</v>
      </c>
      <c r="G811" s="1068">
        <f t="shared" si="66"/>
        <v>738.50400000000002</v>
      </c>
      <c r="H811" s="1068">
        <f t="shared" si="67"/>
        <v>2131.8148799999999</v>
      </c>
      <c r="I811" s="1068">
        <f t="shared" si="68"/>
        <v>2870.3188799999998</v>
      </c>
    </row>
    <row r="812" spans="1:9" s="555" customFormat="1" hidden="1" outlineLevel="1" x14ac:dyDescent="0.3">
      <c r="A812" s="1029" t="s">
        <v>2896</v>
      </c>
      <c r="B812" s="562" t="s">
        <v>336</v>
      </c>
      <c r="C812" s="563" t="s">
        <v>62</v>
      </c>
      <c r="D812" s="1031">
        <f>(8*0.55+17*0.95+30*2.1+2*2.52+2*5.61+2*34.57+5*2.52+5*1.98+25.58)/1000*1.04</f>
        <v>0.22571119999999997</v>
      </c>
      <c r="E812" s="108">
        <v>15000</v>
      </c>
      <c r="F812" s="108">
        <v>41800</v>
      </c>
      <c r="G812" s="1068">
        <f t="shared" si="66"/>
        <v>3385.6679999999997</v>
      </c>
      <c r="H812" s="1068">
        <f t="shared" si="67"/>
        <v>9434.7281599999988</v>
      </c>
      <c r="I812" s="1068">
        <f t="shared" si="68"/>
        <v>12820.396159999998</v>
      </c>
    </row>
    <row r="813" spans="1:9" s="555" customFormat="1" hidden="1" outlineLevel="1" x14ac:dyDescent="0.3">
      <c r="A813" s="1029" t="s">
        <v>2910</v>
      </c>
      <c r="B813" s="562" t="s">
        <v>720</v>
      </c>
      <c r="C813" s="563" t="s">
        <v>62</v>
      </c>
      <c r="D813" s="1031">
        <f>(5*1.51+5*3.79)/1000*1.04</f>
        <v>2.7560000000000001E-2</v>
      </c>
      <c r="E813" s="108">
        <v>15000</v>
      </c>
      <c r="F813" s="108">
        <v>41400</v>
      </c>
      <c r="G813" s="1068">
        <f t="shared" si="66"/>
        <v>413.40000000000003</v>
      </c>
      <c r="H813" s="1068">
        <f t="shared" si="67"/>
        <v>1140.9840000000002</v>
      </c>
      <c r="I813" s="1068">
        <f t="shared" si="68"/>
        <v>1554.3840000000002</v>
      </c>
    </row>
    <row r="814" spans="1:9" s="555" customFormat="1" hidden="1" outlineLevel="1" x14ac:dyDescent="0.3">
      <c r="A814" s="1029" t="s">
        <v>2911</v>
      </c>
      <c r="B814" s="562" t="s">
        <v>1664</v>
      </c>
      <c r="C814" s="563" t="s">
        <v>62</v>
      </c>
      <c r="D814" s="1031">
        <f>3*15.45/1000*1.04</f>
        <v>4.8203999999999997E-2</v>
      </c>
      <c r="E814" s="108">
        <v>15000</v>
      </c>
      <c r="F814" s="108">
        <v>41800</v>
      </c>
      <c r="G814" s="1068">
        <f t="shared" si="66"/>
        <v>723.06</v>
      </c>
      <c r="H814" s="1068">
        <f t="shared" si="67"/>
        <v>2014.9271999999999</v>
      </c>
      <c r="I814" s="1068">
        <f t="shared" si="68"/>
        <v>2737.9871999999996</v>
      </c>
    </row>
    <row r="815" spans="1:9" s="555" customFormat="1" hidden="1" outlineLevel="1" x14ac:dyDescent="0.3">
      <c r="A815" s="1029" t="s">
        <v>2912</v>
      </c>
      <c r="B815" s="562" t="s">
        <v>344</v>
      </c>
      <c r="C815" s="563" t="s">
        <v>62</v>
      </c>
      <c r="D815" s="1031">
        <f>(2*7.28+2*44.85)/1000*1.04</f>
        <v>0.10843040000000001</v>
      </c>
      <c r="E815" s="108">
        <v>15000</v>
      </c>
      <c r="F815" s="108">
        <v>36900</v>
      </c>
      <c r="G815" s="1068">
        <f t="shared" si="66"/>
        <v>1626.4560000000001</v>
      </c>
      <c r="H815" s="1068">
        <f t="shared" si="67"/>
        <v>4001.0817600000005</v>
      </c>
      <c r="I815" s="1068">
        <f t="shared" si="68"/>
        <v>5627.5377600000011</v>
      </c>
    </row>
    <row r="816" spans="1:9" s="555" customFormat="1" hidden="1" outlineLevel="1" x14ac:dyDescent="0.3">
      <c r="A816" s="1029" t="s">
        <v>2913</v>
      </c>
      <c r="B816" s="562" t="s">
        <v>1667</v>
      </c>
      <c r="C816" s="563" t="s">
        <v>62</v>
      </c>
      <c r="D816" s="1031">
        <f>9*2.97/1000*1.04</f>
        <v>2.77992E-2</v>
      </c>
      <c r="E816" s="108">
        <v>15000</v>
      </c>
      <c r="F816" s="108">
        <v>45100</v>
      </c>
      <c r="G816" s="1068">
        <f t="shared" si="66"/>
        <v>416.988</v>
      </c>
      <c r="H816" s="1068">
        <f t="shared" si="67"/>
        <v>1253.7439199999999</v>
      </c>
      <c r="I816" s="1068">
        <f t="shared" si="68"/>
        <v>1670.7319199999999</v>
      </c>
    </row>
    <row r="817" spans="1:9" s="555" customFormat="1" hidden="1" outlineLevel="1" x14ac:dyDescent="0.3">
      <c r="A817" s="1029" t="s">
        <v>2914</v>
      </c>
      <c r="B817" s="562" t="s">
        <v>1671</v>
      </c>
      <c r="C817" s="563" t="s">
        <v>44</v>
      </c>
      <c r="D817" s="1031">
        <v>36</v>
      </c>
      <c r="E817" s="108"/>
      <c r="F817" s="108">
        <v>180</v>
      </c>
      <c r="G817" s="1068">
        <f t="shared" si="66"/>
        <v>0</v>
      </c>
      <c r="H817" s="1068">
        <f t="shared" si="67"/>
        <v>6480</v>
      </c>
      <c r="I817" s="1068">
        <f t="shared" si="68"/>
        <v>6480</v>
      </c>
    </row>
    <row r="818" spans="1:9" s="555" customFormat="1" hidden="1" outlineLevel="1" x14ac:dyDescent="0.3">
      <c r="A818" s="1029" t="s">
        <v>2915</v>
      </c>
      <c r="B818" s="562" t="s">
        <v>729</v>
      </c>
      <c r="C818" s="563" t="s">
        <v>74</v>
      </c>
      <c r="D818" s="1031">
        <v>20.16</v>
      </c>
      <c r="E818" s="108"/>
      <c r="F818" s="108">
        <v>829</v>
      </c>
      <c r="G818" s="1068">
        <f t="shared" si="66"/>
        <v>0</v>
      </c>
      <c r="H818" s="1068">
        <f t="shared" si="67"/>
        <v>16712.64</v>
      </c>
      <c r="I818" s="1068">
        <f t="shared" si="68"/>
        <v>16712.64</v>
      </c>
    </row>
    <row r="819" spans="1:9" s="555" customFormat="1" hidden="1" outlineLevel="1" x14ac:dyDescent="0.3">
      <c r="A819" s="1220"/>
      <c r="B819" s="1219" t="s">
        <v>1675</v>
      </c>
      <c r="C819" s="563"/>
      <c r="D819" s="1031"/>
      <c r="E819" s="1222"/>
      <c r="F819" s="108"/>
      <c r="G819" s="1068"/>
      <c r="H819" s="1068"/>
      <c r="I819" s="1068"/>
    </row>
    <row r="820" spans="1:9" s="555" customFormat="1" hidden="1" outlineLevel="1" x14ac:dyDescent="0.3">
      <c r="A820" s="1220" t="s">
        <v>2916</v>
      </c>
      <c r="B820" s="1221" t="s">
        <v>1676</v>
      </c>
      <c r="C820" s="956" t="s">
        <v>44</v>
      </c>
      <c r="D820" s="956">
        <v>6</v>
      </c>
      <c r="E820" s="1222"/>
      <c r="F820" s="108">
        <v>555</v>
      </c>
      <c r="G820" s="1068">
        <f t="shared" si="66"/>
        <v>0</v>
      </c>
      <c r="H820" s="1068">
        <f t="shared" si="67"/>
        <v>3330</v>
      </c>
      <c r="I820" s="1068">
        <f t="shared" si="68"/>
        <v>3330</v>
      </c>
    </row>
    <row r="821" spans="1:9" s="555" customFormat="1" hidden="1" outlineLevel="1" x14ac:dyDescent="0.3">
      <c r="A821" s="1220" t="s">
        <v>2917</v>
      </c>
      <c r="B821" s="1221" t="s">
        <v>1679</v>
      </c>
      <c r="C821" s="956" t="s">
        <v>44</v>
      </c>
      <c r="D821" s="301">
        <v>5</v>
      </c>
      <c r="E821" s="1222"/>
      <c r="F821" s="108">
        <v>96</v>
      </c>
      <c r="G821" s="1068">
        <f t="shared" si="66"/>
        <v>0</v>
      </c>
      <c r="H821" s="1068">
        <f t="shared" si="67"/>
        <v>480</v>
      </c>
      <c r="I821" s="1068">
        <f t="shared" si="68"/>
        <v>480</v>
      </c>
    </row>
    <row r="822" spans="1:9" s="555" customFormat="1" hidden="1" outlineLevel="1" x14ac:dyDescent="0.3">
      <c r="A822" s="1220" t="s">
        <v>2918</v>
      </c>
      <c r="B822" s="1221" t="s">
        <v>1677</v>
      </c>
      <c r="C822" s="956" t="s">
        <v>44</v>
      </c>
      <c r="D822" s="956">
        <v>3</v>
      </c>
      <c r="E822" s="1222"/>
      <c r="F822" s="108">
        <v>550</v>
      </c>
      <c r="G822" s="1068">
        <f t="shared" si="66"/>
        <v>0</v>
      </c>
      <c r="H822" s="1068">
        <f t="shared" si="67"/>
        <v>1650</v>
      </c>
      <c r="I822" s="1068">
        <f t="shared" si="68"/>
        <v>1650</v>
      </c>
    </row>
    <row r="823" spans="1:9" s="555" customFormat="1" hidden="1" outlineLevel="1" x14ac:dyDescent="0.3">
      <c r="A823" s="1220" t="s">
        <v>2919</v>
      </c>
      <c r="B823" s="1221" t="s">
        <v>1678</v>
      </c>
      <c r="C823" s="1223" t="s">
        <v>44</v>
      </c>
      <c r="D823" s="1223">
        <f>D820*4</f>
        <v>24</v>
      </c>
      <c r="E823" s="1222"/>
      <c r="F823" s="108">
        <v>38</v>
      </c>
      <c r="G823" s="1068">
        <f t="shared" si="66"/>
        <v>0</v>
      </c>
      <c r="H823" s="1068">
        <f t="shared" si="67"/>
        <v>912</v>
      </c>
      <c r="I823" s="1068">
        <f t="shared" si="68"/>
        <v>912</v>
      </c>
    </row>
    <row r="824" spans="1:9" s="555" customFormat="1" hidden="1" outlineLevel="1" x14ac:dyDescent="0.3">
      <c r="A824" s="1220" t="s">
        <v>2920</v>
      </c>
      <c r="B824" s="1221" t="s">
        <v>1680</v>
      </c>
      <c r="C824" s="1223" t="s">
        <v>44</v>
      </c>
      <c r="D824" s="1223">
        <f>D822*2</f>
        <v>6</v>
      </c>
      <c r="E824" s="1222"/>
      <c r="F824" s="108">
        <v>140</v>
      </c>
      <c r="G824" s="1068">
        <f t="shared" si="66"/>
        <v>0</v>
      </c>
      <c r="H824" s="1068">
        <f t="shared" si="67"/>
        <v>840</v>
      </c>
      <c r="I824" s="1068">
        <f t="shared" si="68"/>
        <v>840</v>
      </c>
    </row>
    <row r="825" spans="1:9" s="555" customFormat="1" hidden="1" outlineLevel="1" x14ac:dyDescent="0.3">
      <c r="A825" s="1220" t="s">
        <v>2921</v>
      </c>
      <c r="B825" s="1221" t="s">
        <v>1681</v>
      </c>
      <c r="C825" s="1223" t="s">
        <v>44</v>
      </c>
      <c r="D825" s="1223">
        <v>2</v>
      </c>
      <c r="E825" s="1222"/>
      <c r="F825" s="108">
        <v>360</v>
      </c>
      <c r="G825" s="1068">
        <f t="shared" si="66"/>
        <v>0</v>
      </c>
      <c r="H825" s="1068">
        <f t="shared" si="67"/>
        <v>720</v>
      </c>
      <c r="I825" s="1068">
        <f t="shared" si="68"/>
        <v>720</v>
      </c>
    </row>
    <row r="826" spans="1:9" s="555" customFormat="1" hidden="1" outlineLevel="1" x14ac:dyDescent="0.3">
      <c r="A826" s="1220" t="s">
        <v>2922</v>
      </c>
      <c r="B826" s="1221" t="s">
        <v>1682</v>
      </c>
      <c r="C826" s="1223" t="s">
        <v>44</v>
      </c>
      <c r="D826" s="1223">
        <v>2</v>
      </c>
      <c r="E826" s="1222"/>
      <c r="F826" s="108">
        <v>650</v>
      </c>
      <c r="G826" s="1068">
        <f t="shared" si="66"/>
        <v>0</v>
      </c>
      <c r="H826" s="1068">
        <f t="shared" si="67"/>
        <v>1300</v>
      </c>
      <c r="I826" s="1068">
        <f t="shared" si="68"/>
        <v>1300</v>
      </c>
    </row>
    <row r="827" spans="1:9" s="555" customFormat="1" hidden="1" outlineLevel="1" x14ac:dyDescent="0.3">
      <c r="A827" s="1220" t="s">
        <v>2923</v>
      </c>
      <c r="B827" s="1221" t="s">
        <v>1683</v>
      </c>
      <c r="C827" s="1223" t="s">
        <v>44</v>
      </c>
      <c r="D827" s="1223">
        <v>4</v>
      </c>
      <c r="E827" s="1222"/>
      <c r="F827" s="108">
        <v>93</v>
      </c>
      <c r="G827" s="1068">
        <f t="shared" si="66"/>
        <v>0</v>
      </c>
      <c r="H827" s="1068">
        <f t="shared" si="67"/>
        <v>372</v>
      </c>
      <c r="I827" s="1068">
        <f t="shared" si="68"/>
        <v>372</v>
      </c>
    </row>
    <row r="828" spans="1:9" s="555" customFormat="1" hidden="1" outlineLevel="1" x14ac:dyDescent="0.3">
      <c r="A828" s="1220" t="s">
        <v>2924</v>
      </c>
      <c r="B828" s="1221" t="s">
        <v>1684</v>
      </c>
      <c r="C828" s="1223" t="s">
        <v>44</v>
      </c>
      <c r="D828" s="1223">
        <v>2</v>
      </c>
      <c r="E828" s="1222"/>
      <c r="F828" s="108">
        <v>93</v>
      </c>
      <c r="G828" s="1068">
        <f t="shared" si="66"/>
        <v>0</v>
      </c>
      <c r="H828" s="1068">
        <f t="shared" si="67"/>
        <v>186</v>
      </c>
      <c r="I828" s="1068">
        <f t="shared" si="68"/>
        <v>186</v>
      </c>
    </row>
    <row r="829" spans="1:9" s="555" customFormat="1" hidden="1" outlineLevel="1" x14ac:dyDescent="0.3">
      <c r="A829" s="561" t="s">
        <v>1748</v>
      </c>
      <c r="B829" s="562" t="s">
        <v>1718</v>
      </c>
      <c r="C829" s="1227"/>
      <c r="D829" s="1228"/>
      <c r="E829" s="108"/>
      <c r="F829" s="108"/>
      <c r="G829" s="1068">
        <f>SUM(G830:G831)</f>
        <v>0</v>
      </c>
      <c r="H829" s="1068">
        <f>SUM(H830:H831)</f>
        <v>40616</v>
      </c>
      <c r="I829" s="1068">
        <f>SUM(I830:I831)</f>
        <v>40616</v>
      </c>
    </row>
    <row r="830" spans="1:9" s="555" customFormat="1" ht="43.2" hidden="1" outlineLevel="1" x14ac:dyDescent="0.3">
      <c r="A830" s="561" t="s">
        <v>2925</v>
      </c>
      <c r="B830" s="562" t="s">
        <v>1720</v>
      </c>
      <c r="C830" s="563" t="s">
        <v>44</v>
      </c>
      <c r="D830" s="1031">
        <f>2*4</f>
        <v>8</v>
      </c>
      <c r="E830" s="108"/>
      <c r="F830" s="146">
        <v>2750</v>
      </c>
      <c r="G830" s="1068">
        <f t="shared" si="66"/>
        <v>0</v>
      </c>
      <c r="H830" s="1068">
        <f t="shared" si="67"/>
        <v>22000</v>
      </c>
      <c r="I830" s="1068">
        <f t="shared" si="68"/>
        <v>22000</v>
      </c>
    </row>
    <row r="831" spans="1:9" s="555" customFormat="1" ht="43.2" hidden="1" outlineLevel="1" x14ac:dyDescent="0.3">
      <c r="A831" s="561" t="s">
        <v>2926</v>
      </c>
      <c r="B831" s="562" t="s">
        <v>1722</v>
      </c>
      <c r="C831" s="563" t="s">
        <v>74</v>
      </c>
      <c r="D831" s="1031">
        <f>2*1.3*2</f>
        <v>5.2</v>
      </c>
      <c r="E831" s="108"/>
      <c r="F831" s="146">
        <v>3580</v>
      </c>
      <c r="G831" s="1068">
        <f t="shared" si="66"/>
        <v>0</v>
      </c>
      <c r="H831" s="1068">
        <f t="shared" si="67"/>
        <v>18616</v>
      </c>
      <c r="I831" s="1068">
        <f t="shared" si="68"/>
        <v>18616</v>
      </c>
    </row>
    <row r="832" spans="1:9" s="555" customFormat="1" ht="28.8" hidden="1" outlineLevel="1" x14ac:dyDescent="0.3">
      <c r="A832" s="561" t="s">
        <v>1749</v>
      </c>
      <c r="B832" s="589" t="s">
        <v>1724</v>
      </c>
      <c r="C832" s="590" t="s">
        <v>74</v>
      </c>
      <c r="D832" s="1031">
        <f>77.84</f>
        <v>77.84</v>
      </c>
      <c r="E832" s="108">
        <v>350</v>
      </c>
      <c r="F832" s="108"/>
      <c r="G832" s="1068">
        <f>D832*E832</f>
        <v>27244</v>
      </c>
      <c r="H832" s="1068">
        <f t="shared" si="67"/>
        <v>0</v>
      </c>
      <c r="I832" s="1068">
        <f>G832+H832</f>
        <v>27244</v>
      </c>
    </row>
    <row r="833" spans="1:14" s="555" customFormat="1" hidden="1" outlineLevel="1" x14ac:dyDescent="0.3">
      <c r="A833" s="561" t="s">
        <v>2927</v>
      </c>
      <c r="B833" s="825" t="s">
        <v>1726</v>
      </c>
      <c r="C833" s="590" t="s">
        <v>74</v>
      </c>
      <c r="D833" s="1031">
        <f>D832*1.1</f>
        <v>85.624000000000009</v>
      </c>
      <c r="E833" s="108"/>
      <c r="F833" s="108">
        <v>1250</v>
      </c>
      <c r="G833" s="1068">
        <f t="shared" si="66"/>
        <v>0</v>
      </c>
      <c r="H833" s="1068">
        <f t="shared" si="67"/>
        <v>107030.00000000001</v>
      </c>
      <c r="I833" s="1068">
        <f t="shared" si="68"/>
        <v>107030.00000000001</v>
      </c>
    </row>
    <row r="834" spans="1:14" s="555" customFormat="1" hidden="1" outlineLevel="1" x14ac:dyDescent="0.3">
      <c r="A834" s="561" t="s">
        <v>2928</v>
      </c>
      <c r="B834" s="825" t="s">
        <v>1728</v>
      </c>
      <c r="C834" s="590" t="s">
        <v>79</v>
      </c>
      <c r="D834" s="563">
        <f>ROUND(D832*1.4*12,2)</f>
        <v>1307.71</v>
      </c>
      <c r="E834" s="108"/>
      <c r="F834" s="108">
        <v>18.399999999999999</v>
      </c>
      <c r="G834" s="1068">
        <f t="shared" si="66"/>
        <v>0</v>
      </c>
      <c r="H834" s="1068">
        <f t="shared" si="67"/>
        <v>24061.863999999998</v>
      </c>
      <c r="I834" s="1068">
        <f t="shared" si="68"/>
        <v>24061.863999999998</v>
      </c>
    </row>
    <row r="835" spans="1:14" s="555" customFormat="1" hidden="1" outlineLevel="1" x14ac:dyDescent="0.3">
      <c r="A835" s="561" t="s">
        <v>2929</v>
      </c>
      <c r="B835" s="589" t="s">
        <v>1730</v>
      </c>
      <c r="C835" s="590" t="s">
        <v>79</v>
      </c>
      <c r="D835" s="563">
        <f>ROUND(D832*0.194,0)</f>
        <v>15</v>
      </c>
      <c r="E835" s="108"/>
      <c r="F835" s="108">
        <v>100</v>
      </c>
      <c r="G835" s="1068">
        <f t="shared" si="66"/>
        <v>0</v>
      </c>
      <c r="H835" s="1068">
        <f t="shared" si="67"/>
        <v>1500</v>
      </c>
      <c r="I835" s="1068">
        <f t="shared" si="68"/>
        <v>1500</v>
      </c>
    </row>
    <row r="836" spans="1:14" s="555" customFormat="1" ht="28.8" hidden="1" outlineLevel="1" x14ac:dyDescent="0.3">
      <c r="A836" s="561" t="s">
        <v>2930</v>
      </c>
      <c r="B836" s="1229" t="s">
        <v>1732</v>
      </c>
      <c r="C836" s="590" t="s">
        <v>74</v>
      </c>
      <c r="D836" s="1031">
        <f>77.84</f>
        <v>77.84</v>
      </c>
      <c r="E836" s="108">
        <v>180</v>
      </c>
      <c r="F836" s="108">
        <v>200</v>
      </c>
      <c r="G836" s="1068">
        <f t="shared" si="66"/>
        <v>14011.2</v>
      </c>
      <c r="H836" s="1068">
        <f t="shared" si="67"/>
        <v>15568</v>
      </c>
      <c r="I836" s="1068">
        <f t="shared" si="68"/>
        <v>29579.200000000001</v>
      </c>
    </row>
    <row r="837" spans="1:14" s="555" customFormat="1" ht="28.8" hidden="1" outlineLevel="1" x14ac:dyDescent="0.3">
      <c r="A837" s="561" t="s">
        <v>1750</v>
      </c>
      <c r="B837" s="589" t="s">
        <v>1734</v>
      </c>
      <c r="C837" s="590" t="s">
        <v>74</v>
      </c>
      <c r="D837" s="1031">
        <v>3.77</v>
      </c>
      <c r="E837" s="108">
        <v>350</v>
      </c>
      <c r="F837" s="108"/>
      <c r="G837" s="1068">
        <f t="shared" si="66"/>
        <v>1319.5</v>
      </c>
      <c r="H837" s="1068">
        <f t="shared" si="67"/>
        <v>0</v>
      </c>
      <c r="I837" s="1068">
        <f t="shared" si="68"/>
        <v>1319.5</v>
      </c>
    </row>
    <row r="838" spans="1:14" s="555" customFormat="1" hidden="1" outlineLevel="1" x14ac:dyDescent="0.3">
      <c r="A838" s="561" t="s">
        <v>2931</v>
      </c>
      <c r="B838" s="825" t="s">
        <v>1726</v>
      </c>
      <c r="C838" s="590" t="s">
        <v>74</v>
      </c>
      <c r="D838" s="1031">
        <f>D837*1.1</f>
        <v>4.1470000000000002</v>
      </c>
      <c r="E838" s="108"/>
      <c r="F838" s="108">
        <v>1250</v>
      </c>
      <c r="G838" s="1068">
        <f t="shared" si="66"/>
        <v>0</v>
      </c>
      <c r="H838" s="1068">
        <f t="shared" si="67"/>
        <v>5183.75</v>
      </c>
      <c r="I838" s="1068">
        <f t="shared" si="68"/>
        <v>5183.75</v>
      </c>
    </row>
    <row r="839" spans="1:14" s="555" customFormat="1" hidden="1" outlineLevel="1" x14ac:dyDescent="0.3">
      <c r="A839" s="561" t="s">
        <v>2932</v>
      </c>
      <c r="B839" s="825" t="s">
        <v>1728</v>
      </c>
      <c r="C839" s="590" t="s">
        <v>79</v>
      </c>
      <c r="D839" s="563">
        <f>ROUND(D837*1.4*12,2)</f>
        <v>63.34</v>
      </c>
      <c r="E839" s="108"/>
      <c r="F839" s="108">
        <v>18.399999999999999</v>
      </c>
      <c r="G839" s="1068">
        <f t="shared" si="66"/>
        <v>0</v>
      </c>
      <c r="H839" s="1068">
        <f t="shared" si="67"/>
        <v>1165.4559999999999</v>
      </c>
      <c r="I839" s="1068">
        <f t="shared" si="68"/>
        <v>1165.4559999999999</v>
      </c>
    </row>
    <row r="840" spans="1:14" s="555" customFormat="1" hidden="1" outlineLevel="1" x14ac:dyDescent="0.3">
      <c r="A840" s="561" t="s">
        <v>2933</v>
      </c>
      <c r="B840" s="589" t="s">
        <v>1730</v>
      </c>
      <c r="C840" s="590" t="s">
        <v>79</v>
      </c>
      <c r="D840" s="563">
        <f>ROUND(D837*0.194,0)</f>
        <v>1</v>
      </c>
      <c r="E840" s="108"/>
      <c r="F840" s="108">
        <v>100</v>
      </c>
      <c r="G840" s="1068">
        <f t="shared" si="66"/>
        <v>0</v>
      </c>
      <c r="H840" s="1068">
        <f t="shared" si="67"/>
        <v>100</v>
      </c>
      <c r="I840" s="1068">
        <f t="shared" si="68"/>
        <v>100</v>
      </c>
    </row>
    <row r="841" spans="1:14" s="555" customFormat="1" hidden="1" outlineLevel="1" x14ac:dyDescent="0.3">
      <c r="A841" s="561" t="s">
        <v>2934</v>
      </c>
      <c r="B841" s="1229" t="s">
        <v>1739</v>
      </c>
      <c r="C841" s="590" t="s">
        <v>74</v>
      </c>
      <c r="D841" s="1031">
        <f>3.77</f>
        <v>3.77</v>
      </c>
      <c r="E841" s="108">
        <v>180</v>
      </c>
      <c r="F841" s="108">
        <v>200</v>
      </c>
      <c r="G841" s="1068">
        <f t="shared" si="66"/>
        <v>678.6</v>
      </c>
      <c r="H841" s="1068">
        <f t="shared" si="67"/>
        <v>754</v>
      </c>
      <c r="I841" s="1068">
        <f t="shared" si="68"/>
        <v>1432.6</v>
      </c>
    </row>
    <row r="842" spans="1:14" s="555" customFormat="1" hidden="1" outlineLevel="1" x14ac:dyDescent="0.3">
      <c r="A842" s="1032" t="s">
        <v>1751</v>
      </c>
      <c r="B842" s="589" t="s">
        <v>1740</v>
      </c>
      <c r="C842" s="590" t="s">
        <v>74</v>
      </c>
      <c r="D842" s="1031">
        <v>3.79</v>
      </c>
      <c r="E842" s="108">
        <v>350</v>
      </c>
      <c r="F842" s="108"/>
      <c r="G842" s="1068">
        <f>D842*E842</f>
        <v>1326.5</v>
      </c>
      <c r="H842" s="1068">
        <f>D842*F842</f>
        <v>0</v>
      </c>
      <c r="I842" s="1068">
        <f>G842+H842</f>
        <v>1326.5</v>
      </c>
    </row>
    <row r="843" spans="1:14" s="555" customFormat="1" hidden="1" outlineLevel="1" x14ac:dyDescent="0.3">
      <c r="A843" s="1029" t="s">
        <v>2935</v>
      </c>
      <c r="B843" s="825" t="s">
        <v>1726</v>
      </c>
      <c r="C843" s="590" t="s">
        <v>74</v>
      </c>
      <c r="D843" s="1031">
        <f>D842*1.1</f>
        <v>4.1690000000000005</v>
      </c>
      <c r="E843" s="108"/>
      <c r="F843" s="108">
        <v>1250</v>
      </c>
      <c r="G843" s="1068">
        <f>D843*E843</f>
        <v>0</v>
      </c>
      <c r="H843" s="1068">
        <f>D843*F843</f>
        <v>5211.2500000000009</v>
      </c>
      <c r="I843" s="1068">
        <f>G843+H843</f>
        <v>5211.2500000000009</v>
      </c>
    </row>
    <row r="844" spans="1:14" s="555" customFormat="1" hidden="1" outlineLevel="1" x14ac:dyDescent="0.3">
      <c r="A844" s="1029" t="s">
        <v>2936</v>
      </c>
      <c r="B844" s="825" t="s">
        <v>1728</v>
      </c>
      <c r="C844" s="590" t="s">
        <v>79</v>
      </c>
      <c r="D844" s="563">
        <f>ROUND(D843*1.4*12,2)</f>
        <v>70.040000000000006</v>
      </c>
      <c r="E844" s="108"/>
      <c r="F844" s="108">
        <v>18.399999999999999</v>
      </c>
      <c r="G844" s="1068">
        <f>D844*E844</f>
        <v>0</v>
      </c>
      <c r="H844" s="1068">
        <f>D844*F844</f>
        <v>1288.7360000000001</v>
      </c>
      <c r="I844" s="1068">
        <f>G844+H844</f>
        <v>1288.7360000000001</v>
      </c>
    </row>
    <row r="845" spans="1:14" s="555" customFormat="1" hidden="1" outlineLevel="1" x14ac:dyDescent="0.3">
      <c r="A845" s="1029" t="s">
        <v>2937</v>
      </c>
      <c r="B845" s="589" t="s">
        <v>1730</v>
      </c>
      <c r="C845" s="590" t="s">
        <v>79</v>
      </c>
      <c r="D845" s="563">
        <f>ROUND(D842*0.194,0)</f>
        <v>1</v>
      </c>
      <c r="E845" s="108"/>
      <c r="F845" s="108">
        <v>100</v>
      </c>
      <c r="G845" s="1068">
        <f>D845*E845</f>
        <v>0</v>
      </c>
      <c r="H845" s="1068">
        <f>D845*F845</f>
        <v>100</v>
      </c>
      <c r="I845" s="1068">
        <f>G845+H845</f>
        <v>100</v>
      </c>
    </row>
    <row r="846" spans="1:14" customFormat="1" collapsed="1" x14ac:dyDescent="0.3">
      <c r="A846" s="599" t="s">
        <v>862</v>
      </c>
      <c r="B846" s="324" t="s">
        <v>13</v>
      </c>
      <c r="C846" s="323" t="s">
        <v>74</v>
      </c>
      <c r="D846" s="325">
        <f>D863+D866+D885+D903+D912+D923+D926+D930+D937+D955</f>
        <v>26090.358500000002</v>
      </c>
      <c r="E846" s="960"/>
      <c r="F846" s="998"/>
      <c r="G846" s="1058">
        <f>SUM(G849:G984)</f>
        <v>11409134.279999999</v>
      </c>
      <c r="H846" s="1058">
        <f>I846-G846</f>
        <v>6668137.2805340085</v>
      </c>
      <c r="I846" s="1058">
        <f>SUM(I847:I984)</f>
        <v>18077271.560534008</v>
      </c>
      <c r="N846" s="961"/>
    </row>
    <row r="847" spans="1:14" customFormat="1" hidden="1" outlineLevel="1" x14ac:dyDescent="0.3">
      <c r="A847" s="905"/>
      <c r="B847" s="962" t="s">
        <v>2226</v>
      </c>
      <c r="C847" s="963"/>
      <c r="D847" s="964"/>
      <c r="E847" s="947"/>
      <c r="F847" s="948"/>
      <c r="G847" s="1056">
        <f>D847*E847</f>
        <v>0</v>
      </c>
      <c r="H847" s="1056">
        <f>D847*F847</f>
        <v>0</v>
      </c>
      <c r="I847" s="1056">
        <f>G847+H847</f>
        <v>0</v>
      </c>
      <c r="N847" s="961"/>
    </row>
    <row r="848" spans="1:14" s="950" customFormat="1" hidden="1" outlineLevel="1" x14ac:dyDescent="0.3">
      <c r="A848" s="905"/>
      <c r="B848" s="822" t="s">
        <v>2227</v>
      </c>
      <c r="C848" s="823"/>
      <c r="D848" s="824"/>
      <c r="E848" s="947"/>
      <c r="F848" s="948"/>
      <c r="G848" s="1056">
        <f t="shared" ref="G848:G912" si="69">D848*E848</f>
        <v>0</v>
      </c>
      <c r="H848" s="1056">
        <f t="shared" ref="H848:H912" si="70">D848*F848</f>
        <v>0</v>
      </c>
      <c r="I848" s="1056">
        <f t="shared" ref="I848:I907" si="71">G848+H848</f>
        <v>0</v>
      </c>
      <c r="N848" s="961"/>
    </row>
    <row r="849" spans="1:14" customFormat="1" hidden="1" outlineLevel="1" x14ac:dyDescent="0.3">
      <c r="A849" s="905" t="s">
        <v>2228</v>
      </c>
      <c r="B849" s="825" t="s">
        <v>2229</v>
      </c>
      <c r="C849" s="826" t="s">
        <v>74</v>
      </c>
      <c r="D849" s="827">
        <f>66.93+88.2+14.91+11.61+2663.94+508+234.45+247.38+83.25+26.81</f>
        <v>3945.48</v>
      </c>
      <c r="E849" s="965">
        <v>70</v>
      </c>
      <c r="F849" s="966">
        <f>(I850+I851)/D849</f>
        <v>174.20750000000004</v>
      </c>
      <c r="G849" s="1056">
        <f t="shared" si="69"/>
        <v>276183.59999999998</v>
      </c>
      <c r="H849" s="1058">
        <f>D849*F849</f>
        <v>687332.20710000012</v>
      </c>
      <c r="I849" s="1056">
        <f>D849*E849</f>
        <v>276183.59999999998</v>
      </c>
      <c r="N849" s="961"/>
    </row>
    <row r="850" spans="1:14" customFormat="1" hidden="1" outlineLevel="1" x14ac:dyDescent="0.3">
      <c r="A850" s="905" t="s">
        <v>2230</v>
      </c>
      <c r="B850" s="980" t="s">
        <v>2231</v>
      </c>
      <c r="C850" s="981" t="s">
        <v>79</v>
      </c>
      <c r="D850" s="1230">
        <f>D849*8.5*1.5</f>
        <v>50304.87</v>
      </c>
      <c r="E850" s="977"/>
      <c r="F850" s="1231">
        <v>11.33</v>
      </c>
      <c r="G850" s="1056">
        <f t="shared" si="69"/>
        <v>0</v>
      </c>
      <c r="H850" s="1056">
        <f>D850*F850</f>
        <v>569954.17710000009</v>
      </c>
      <c r="I850" s="1056">
        <f t="shared" si="71"/>
        <v>569954.17710000009</v>
      </c>
      <c r="N850" s="961"/>
    </row>
    <row r="851" spans="1:14" customFormat="1" hidden="1" outlineLevel="1" x14ac:dyDescent="0.3">
      <c r="A851" s="905" t="s">
        <v>2232</v>
      </c>
      <c r="B851" s="980" t="s">
        <v>2233</v>
      </c>
      <c r="C851" s="981" t="s">
        <v>311</v>
      </c>
      <c r="D851" s="1230">
        <f>D849*0.35</f>
        <v>1380.9179999999999</v>
      </c>
      <c r="E851" s="965"/>
      <c r="F851" s="1231">
        <v>85</v>
      </c>
      <c r="G851" s="1056">
        <f t="shared" si="69"/>
        <v>0</v>
      </c>
      <c r="H851" s="1056">
        <f t="shared" si="70"/>
        <v>117378.02999999998</v>
      </c>
      <c r="I851" s="1056">
        <f t="shared" si="71"/>
        <v>117378.02999999998</v>
      </c>
      <c r="N851" s="961"/>
    </row>
    <row r="852" spans="1:14" customFormat="1" hidden="1" outlineLevel="1" x14ac:dyDescent="0.3">
      <c r="A852" s="905" t="s">
        <v>2234</v>
      </c>
      <c r="B852" s="825" t="s">
        <v>2235</v>
      </c>
      <c r="C852" s="826" t="s">
        <v>74</v>
      </c>
      <c r="D852" s="836">
        <f>15.65</f>
        <v>15.65</v>
      </c>
      <c r="E852" s="973">
        <v>70</v>
      </c>
      <c r="F852" s="966">
        <f>(I853+I854+I855)/D852</f>
        <v>257.01</v>
      </c>
      <c r="G852" s="1056">
        <f t="shared" si="69"/>
        <v>1095.5</v>
      </c>
      <c r="H852" s="1058">
        <f t="shared" si="70"/>
        <v>4022.2064999999998</v>
      </c>
      <c r="I852" s="1056">
        <f>D852*E852</f>
        <v>1095.5</v>
      </c>
      <c r="N852" s="961"/>
    </row>
    <row r="853" spans="1:14" s="950" customFormat="1" hidden="1" outlineLevel="1" x14ac:dyDescent="0.3">
      <c r="A853" s="905" t="s">
        <v>2236</v>
      </c>
      <c r="B853" s="945" t="s">
        <v>2237</v>
      </c>
      <c r="C853" s="1232" t="s">
        <v>79</v>
      </c>
      <c r="D853" s="1230">
        <f>D852*8.5*2</f>
        <v>266.05</v>
      </c>
      <c r="E853" s="947"/>
      <c r="F853" s="976">
        <v>11.33</v>
      </c>
      <c r="G853" s="1056">
        <f t="shared" si="69"/>
        <v>0</v>
      </c>
      <c r="H853" s="1056">
        <f t="shared" si="70"/>
        <v>3014.3465000000001</v>
      </c>
      <c r="I853" s="1056">
        <f t="shared" si="71"/>
        <v>3014.3465000000001</v>
      </c>
      <c r="N853" s="961"/>
    </row>
    <row r="854" spans="1:14" customFormat="1" hidden="1" outlineLevel="1" x14ac:dyDescent="0.3">
      <c r="A854" s="905" t="s">
        <v>2238</v>
      </c>
      <c r="B854" s="945" t="s">
        <v>2239</v>
      </c>
      <c r="C854" s="1232" t="s">
        <v>74</v>
      </c>
      <c r="D854" s="1230">
        <f>D852*1.05</f>
        <v>16.432500000000001</v>
      </c>
      <c r="E854" s="977"/>
      <c r="F854" s="1231">
        <v>33</v>
      </c>
      <c r="G854" s="1056">
        <f t="shared" si="69"/>
        <v>0</v>
      </c>
      <c r="H854" s="1056">
        <f t="shared" si="70"/>
        <v>542.27250000000004</v>
      </c>
      <c r="I854" s="1056">
        <f t="shared" si="71"/>
        <v>542.27250000000004</v>
      </c>
      <c r="N854" s="961"/>
    </row>
    <row r="855" spans="1:14" customFormat="1" hidden="1" outlineLevel="1" x14ac:dyDescent="0.3">
      <c r="A855" s="905" t="s">
        <v>2240</v>
      </c>
      <c r="B855" s="945" t="s">
        <v>2241</v>
      </c>
      <c r="C855" s="1232" t="s">
        <v>311</v>
      </c>
      <c r="D855" s="1230">
        <f>D852*0.35</f>
        <v>5.4775</v>
      </c>
      <c r="E855" s="977"/>
      <c r="F855" s="1231">
        <v>85</v>
      </c>
      <c r="G855" s="1056">
        <f t="shared" si="69"/>
        <v>0</v>
      </c>
      <c r="H855" s="1056">
        <f t="shared" si="70"/>
        <v>465.58749999999998</v>
      </c>
      <c r="I855" s="1056">
        <f t="shared" si="71"/>
        <v>465.58749999999998</v>
      </c>
      <c r="N855" s="961"/>
    </row>
    <row r="856" spans="1:14" customFormat="1" hidden="1" outlineLevel="1" x14ac:dyDescent="0.3">
      <c r="A856" s="905" t="s">
        <v>2242</v>
      </c>
      <c r="B856" s="825" t="s">
        <v>2243</v>
      </c>
      <c r="C856" s="826" t="s">
        <v>74</v>
      </c>
      <c r="D856" s="836">
        <f>321.4</f>
        <v>321.39999999999998</v>
      </c>
      <c r="E856" s="977">
        <v>70</v>
      </c>
      <c r="F856" s="966">
        <f>(I857+I858+I859)/D856</f>
        <v>327.91249999999997</v>
      </c>
      <c r="G856" s="1056">
        <f t="shared" si="69"/>
        <v>22498</v>
      </c>
      <c r="H856" s="1058">
        <f t="shared" si="70"/>
        <v>105391.07749999998</v>
      </c>
      <c r="I856" s="1056">
        <f>D856*E856</f>
        <v>22498</v>
      </c>
    </row>
    <row r="857" spans="1:14" customFormat="1" hidden="1" outlineLevel="1" x14ac:dyDescent="0.3">
      <c r="A857" s="905" t="s">
        <v>2244</v>
      </c>
      <c r="B857" s="945" t="s">
        <v>2245</v>
      </c>
      <c r="C857" s="1232" t="s">
        <v>79</v>
      </c>
      <c r="D857" s="1230">
        <f>D856*8.5*2.5</f>
        <v>6829.7499999999991</v>
      </c>
      <c r="E857" s="977"/>
      <c r="F857" s="1231">
        <v>11.33</v>
      </c>
      <c r="G857" s="1056">
        <f t="shared" si="69"/>
        <v>0</v>
      </c>
      <c r="H857" s="1056">
        <f t="shared" si="70"/>
        <v>77381.06749999999</v>
      </c>
      <c r="I857" s="1056">
        <f t="shared" si="71"/>
        <v>77381.06749999999</v>
      </c>
    </row>
    <row r="858" spans="1:14" customFormat="1" hidden="1" outlineLevel="1" x14ac:dyDescent="0.3">
      <c r="A858" s="905" t="s">
        <v>2246</v>
      </c>
      <c r="B858" s="945" t="s">
        <v>2239</v>
      </c>
      <c r="C858" s="1232" t="s">
        <v>74</v>
      </c>
      <c r="D858" s="1230">
        <f>D856*1.05</f>
        <v>337.46999999999997</v>
      </c>
      <c r="E858" s="977"/>
      <c r="F858" s="1231">
        <v>33</v>
      </c>
      <c r="G858" s="1056">
        <f t="shared" si="69"/>
        <v>0</v>
      </c>
      <c r="H858" s="1056">
        <f t="shared" si="70"/>
        <v>11136.509999999998</v>
      </c>
      <c r="I858" s="1056">
        <f t="shared" si="71"/>
        <v>11136.509999999998</v>
      </c>
      <c r="N858" s="961"/>
    </row>
    <row r="859" spans="1:14" s="950" customFormat="1" hidden="1" outlineLevel="1" x14ac:dyDescent="0.3">
      <c r="A859" s="905" t="s">
        <v>2247</v>
      </c>
      <c r="B859" s="945" t="s">
        <v>2248</v>
      </c>
      <c r="C859" s="1232" t="s">
        <v>311</v>
      </c>
      <c r="D859" s="1230">
        <f>D856*0.35</f>
        <v>112.48999999999998</v>
      </c>
      <c r="E859" s="947"/>
      <c r="F859" s="976">
        <v>150</v>
      </c>
      <c r="G859" s="1056">
        <f t="shared" si="69"/>
        <v>0</v>
      </c>
      <c r="H859" s="1056">
        <f t="shared" si="70"/>
        <v>16873.499999999996</v>
      </c>
      <c r="I859" s="1056">
        <f t="shared" si="71"/>
        <v>16873.499999999996</v>
      </c>
    </row>
    <row r="860" spans="1:14" customFormat="1" hidden="1" outlineLevel="1" x14ac:dyDescent="0.3">
      <c r="A860" s="905" t="s">
        <v>2249</v>
      </c>
      <c r="B860" s="825" t="s">
        <v>2250</v>
      </c>
      <c r="C860" s="826" t="s">
        <v>74</v>
      </c>
      <c r="D860" s="842">
        <f>88.2+78.99+49.72+2663.94+1813.62+551.53+694.46+234.45+534.59+247.38+83.25+26.81</f>
        <v>7066.94</v>
      </c>
      <c r="E860" s="947">
        <v>30</v>
      </c>
      <c r="F860" s="978">
        <f>(I860+I861+I862)/D860</f>
        <v>73.75</v>
      </c>
      <c r="G860" s="1056">
        <f t="shared" si="69"/>
        <v>212008.19999999998</v>
      </c>
      <c r="H860" s="1058">
        <f t="shared" si="70"/>
        <v>521186.82499999995</v>
      </c>
      <c r="I860" s="1056">
        <f>D860*E860</f>
        <v>212008.19999999998</v>
      </c>
    </row>
    <row r="861" spans="1:14" customFormat="1" hidden="1" outlineLevel="1" x14ac:dyDescent="0.3">
      <c r="A861" s="905" t="s">
        <v>2251</v>
      </c>
      <c r="B861" s="825" t="s">
        <v>2252</v>
      </c>
      <c r="C861" s="826" t="s">
        <v>79</v>
      </c>
      <c r="D861" s="842">
        <f>0.8*D860</f>
        <v>5653.5519999999997</v>
      </c>
      <c r="E861" s="947"/>
      <c r="F861" s="976">
        <v>17.5</v>
      </c>
      <c r="G861" s="1056">
        <f t="shared" si="69"/>
        <v>0</v>
      </c>
      <c r="H861" s="1056">
        <f t="shared" si="70"/>
        <v>98937.159999999989</v>
      </c>
      <c r="I861" s="1056">
        <f t="shared" si="71"/>
        <v>98937.159999999989</v>
      </c>
    </row>
    <row r="862" spans="1:14" customFormat="1" hidden="1" outlineLevel="1" x14ac:dyDescent="0.3">
      <c r="A862" s="905" t="s">
        <v>2253</v>
      </c>
      <c r="B862" s="980" t="s">
        <v>2233</v>
      </c>
      <c r="C862" s="981" t="s">
        <v>311</v>
      </c>
      <c r="D862" s="1230">
        <f>D860*0.35</f>
        <v>2473.4289999999996</v>
      </c>
      <c r="E862" s="947"/>
      <c r="F862" s="976">
        <v>85</v>
      </c>
      <c r="G862" s="1056">
        <f t="shared" si="69"/>
        <v>0</v>
      </c>
      <c r="H862" s="1056">
        <f t="shared" si="70"/>
        <v>210241.46499999997</v>
      </c>
      <c r="I862" s="1056">
        <f t="shared" si="71"/>
        <v>210241.46499999997</v>
      </c>
    </row>
    <row r="863" spans="1:14" customFormat="1" hidden="1" outlineLevel="1" x14ac:dyDescent="0.3">
      <c r="A863" s="905" t="s">
        <v>2254</v>
      </c>
      <c r="B863" s="825" t="s">
        <v>2255</v>
      </c>
      <c r="C863" s="826" t="s">
        <v>74</v>
      </c>
      <c r="D863" s="842">
        <f>88.2+78.99+49.72+15.65+2663.94+1813.62+551.53+694.46+234.45+534.59+568.78+83.25+26.81</f>
        <v>7403.99</v>
      </c>
      <c r="E863" s="965">
        <v>30</v>
      </c>
      <c r="F863" s="966">
        <f>(I864+I865)/D863</f>
        <v>274.58863531690344</v>
      </c>
      <c r="G863" s="1056">
        <f t="shared" si="69"/>
        <v>222119.69999999998</v>
      </c>
      <c r="H863" s="1058">
        <f t="shared" si="70"/>
        <v>2033051.5099999998</v>
      </c>
      <c r="I863" s="1056">
        <f>D863*E863</f>
        <v>222119.69999999998</v>
      </c>
    </row>
    <row r="864" spans="1:14" customFormat="1" ht="28.8" hidden="1" outlineLevel="1" x14ac:dyDescent="0.3">
      <c r="A864" s="905" t="s">
        <v>2256</v>
      </c>
      <c r="B864" s="825" t="s">
        <v>2257</v>
      </c>
      <c r="C864" s="826" t="s">
        <v>79</v>
      </c>
      <c r="D864" s="946">
        <f>ROUND(D863*0.17*2,0)</f>
        <v>2517</v>
      </c>
      <c r="E864" s="977"/>
      <c r="F864" s="1231">
        <v>69.23</v>
      </c>
      <c r="G864" s="1056">
        <f t="shared" si="69"/>
        <v>0</v>
      </c>
      <c r="H864" s="1056">
        <f t="shared" si="70"/>
        <v>174251.91</v>
      </c>
      <c r="I864" s="1056">
        <f t="shared" si="71"/>
        <v>174251.91</v>
      </c>
    </row>
    <row r="865" spans="1:9" customFormat="1" hidden="1" outlineLevel="1" x14ac:dyDescent="0.3">
      <c r="A865" s="905" t="s">
        <v>2258</v>
      </c>
      <c r="B865" s="825" t="s">
        <v>2259</v>
      </c>
      <c r="C865" s="826" t="s">
        <v>74</v>
      </c>
      <c r="D865" s="845">
        <f>88.2+78.99+49.72+15.65+2663.94+1813.62+551.53+300.14+508+321.4+247.38</f>
        <v>6638.57</v>
      </c>
      <c r="E865" s="965">
        <v>280</v>
      </c>
      <c r="F865" s="1231"/>
      <c r="G865" s="1056">
        <f t="shared" si="69"/>
        <v>1858799.5999999999</v>
      </c>
      <c r="H865" s="1056">
        <f t="shared" si="70"/>
        <v>0</v>
      </c>
      <c r="I865" s="1056">
        <f t="shared" si="71"/>
        <v>1858799.5999999999</v>
      </c>
    </row>
    <row r="866" spans="1:9" customFormat="1" hidden="1" outlineLevel="1" x14ac:dyDescent="0.3">
      <c r="A866" s="905" t="s">
        <v>2260</v>
      </c>
      <c r="B866" s="825" t="s">
        <v>2261</v>
      </c>
      <c r="C866" s="826" t="s">
        <v>74</v>
      </c>
      <c r="D866" s="842">
        <f>11.84+14.91+11.61+12.43</f>
        <v>50.79</v>
      </c>
      <c r="E866" s="973">
        <v>350</v>
      </c>
      <c r="F866" s="966">
        <f>(I867+I868)/D866</f>
        <v>547.4</v>
      </c>
      <c r="G866" s="1056">
        <f t="shared" si="69"/>
        <v>17776.5</v>
      </c>
      <c r="H866" s="1058">
        <f t="shared" si="70"/>
        <v>27802.446</v>
      </c>
      <c r="I866" s="1056">
        <f>G866</f>
        <v>17776.5</v>
      </c>
    </row>
    <row r="867" spans="1:9" customFormat="1" hidden="1" outlineLevel="1" x14ac:dyDescent="0.3">
      <c r="A867" s="905" t="s">
        <v>2262</v>
      </c>
      <c r="B867" s="980" t="s">
        <v>2263</v>
      </c>
      <c r="C867" s="981" t="s">
        <v>79</v>
      </c>
      <c r="D867" s="1230">
        <f>D866*3.5</f>
        <v>177.76499999999999</v>
      </c>
      <c r="E867" s="965"/>
      <c r="F867" s="1231">
        <v>18.399999999999999</v>
      </c>
      <c r="G867" s="1056">
        <f t="shared" si="69"/>
        <v>0</v>
      </c>
      <c r="H867" s="1056">
        <f t="shared" si="70"/>
        <v>3270.8759999999993</v>
      </c>
      <c r="I867" s="1056">
        <f>G867+H867</f>
        <v>3270.8759999999993</v>
      </c>
    </row>
    <row r="868" spans="1:9" customFormat="1" hidden="1" outlineLevel="1" x14ac:dyDescent="0.3">
      <c r="A868" s="905" t="s">
        <v>2264</v>
      </c>
      <c r="B868" s="980" t="s">
        <v>2265</v>
      </c>
      <c r="C868" s="981" t="s">
        <v>74</v>
      </c>
      <c r="D868" s="1230">
        <f>D866*1.05</f>
        <v>53.329500000000003</v>
      </c>
      <c r="E868" s="977"/>
      <c r="F868" s="1231">
        <v>460</v>
      </c>
      <c r="G868" s="1056">
        <f t="shared" si="69"/>
        <v>0</v>
      </c>
      <c r="H868" s="1056">
        <f t="shared" si="70"/>
        <v>24531.57</v>
      </c>
      <c r="I868" s="1056">
        <f t="shared" si="71"/>
        <v>24531.57</v>
      </c>
    </row>
    <row r="869" spans="1:9" customFormat="1" hidden="1" outlineLevel="1" x14ac:dyDescent="0.3">
      <c r="A869" s="905" t="s">
        <v>2266</v>
      </c>
      <c r="B869" s="980" t="s">
        <v>2267</v>
      </c>
      <c r="C869" s="981" t="s">
        <v>74</v>
      </c>
      <c r="D869" s="982">
        <f>(2.485+1.68+2.575*2)*2.86</f>
        <v>26.640900000000002</v>
      </c>
      <c r="E869" s="977">
        <v>200</v>
      </c>
      <c r="F869" s="966">
        <f>(I870+I871+I872+I873)/D869</f>
        <v>481.65373054213632</v>
      </c>
      <c r="G869" s="1056">
        <f t="shared" si="69"/>
        <v>5328.18</v>
      </c>
      <c r="H869" s="1058">
        <f t="shared" si="70"/>
        <v>12831.68887</v>
      </c>
      <c r="I869" s="1056">
        <f>G869</f>
        <v>5328.18</v>
      </c>
    </row>
    <row r="870" spans="1:9" customFormat="1" hidden="1" outlineLevel="1" x14ac:dyDescent="0.3">
      <c r="A870" s="905" t="s">
        <v>2268</v>
      </c>
      <c r="B870" s="319" t="s">
        <v>2269</v>
      </c>
      <c r="C870" s="981" t="s">
        <v>34</v>
      </c>
      <c r="D870" s="982">
        <f>(2.485+1.68)*2.86*0.05</f>
        <v>0.59559499999999999</v>
      </c>
      <c r="E870" s="977"/>
      <c r="F870" s="1233">
        <v>3950</v>
      </c>
      <c r="G870" s="1056">
        <f t="shared" si="69"/>
        <v>0</v>
      </c>
      <c r="H870" s="1056">
        <f t="shared" si="70"/>
        <v>2352.60025</v>
      </c>
      <c r="I870" s="1056">
        <f t="shared" si="71"/>
        <v>2352.60025</v>
      </c>
    </row>
    <row r="871" spans="1:9" customFormat="1" hidden="1" outlineLevel="1" x14ac:dyDescent="0.3">
      <c r="A871" s="905" t="s">
        <v>2270</v>
      </c>
      <c r="B871" s="319" t="s">
        <v>2271</v>
      </c>
      <c r="C871" s="981" t="s">
        <v>34</v>
      </c>
      <c r="D871" s="982">
        <f>2.575*2*2.86*0.09</f>
        <v>1.32561</v>
      </c>
      <c r="E871" s="977"/>
      <c r="F871" s="1233">
        <v>3950</v>
      </c>
      <c r="G871" s="1056">
        <f t="shared" si="69"/>
        <v>0</v>
      </c>
      <c r="H871" s="1056">
        <f t="shared" si="70"/>
        <v>5236.1594999999998</v>
      </c>
      <c r="I871" s="1056">
        <f t="shared" si="71"/>
        <v>5236.1594999999998</v>
      </c>
    </row>
    <row r="872" spans="1:9" customFormat="1" hidden="1" outlineLevel="1" x14ac:dyDescent="0.3">
      <c r="A872" s="905" t="s">
        <v>2272</v>
      </c>
      <c r="B872" s="319" t="s">
        <v>1164</v>
      </c>
      <c r="C872" s="1027" t="s">
        <v>96</v>
      </c>
      <c r="D872" s="1234">
        <f>PRODUCT(D869,6)</f>
        <v>159.84540000000001</v>
      </c>
      <c r="E872" s="1235">
        <v>0</v>
      </c>
      <c r="F872" s="1236">
        <v>13.6</v>
      </c>
      <c r="G872" s="1237">
        <f t="shared" si="69"/>
        <v>0</v>
      </c>
      <c r="H872" s="1237">
        <f t="shared" si="70"/>
        <v>2173.8974400000002</v>
      </c>
      <c r="I872" s="1237">
        <f t="shared" si="71"/>
        <v>2173.8974400000002</v>
      </c>
    </row>
    <row r="873" spans="1:9" customFormat="1" hidden="1" outlineLevel="1" x14ac:dyDescent="0.3">
      <c r="A873" s="905" t="s">
        <v>2573</v>
      </c>
      <c r="B873" s="1238" t="s">
        <v>1168</v>
      </c>
      <c r="C873" s="956" t="s">
        <v>1169</v>
      </c>
      <c r="D873" s="1234">
        <f>PRODUCT(D869,8,1/25)</f>
        <v>8.5250880000000002</v>
      </c>
      <c r="E873" s="1235"/>
      <c r="F873" s="956">
        <v>360</v>
      </c>
      <c r="G873" s="1237">
        <f>D873*E873</f>
        <v>0</v>
      </c>
      <c r="H873" s="1237">
        <f>D873*F873</f>
        <v>3069.0316800000001</v>
      </c>
      <c r="I873" s="1237">
        <f>G873+H873</f>
        <v>3069.0316800000001</v>
      </c>
    </row>
    <row r="874" spans="1:9" customFormat="1" hidden="1" outlineLevel="1" x14ac:dyDescent="0.3">
      <c r="A874" s="905"/>
      <c r="B874" s="847" t="s">
        <v>2273</v>
      </c>
      <c r="C874" s="826"/>
      <c r="D874" s="842"/>
      <c r="E874" s="965"/>
      <c r="F874" s="1231"/>
      <c r="G874" s="1056"/>
      <c r="H874" s="1056"/>
      <c r="I874" s="1056"/>
    </row>
    <row r="875" spans="1:9" customFormat="1" hidden="1" outlineLevel="1" x14ac:dyDescent="0.3">
      <c r="A875" s="905" t="s">
        <v>2274</v>
      </c>
      <c r="B875" s="848" t="s">
        <v>2275</v>
      </c>
      <c r="C875" s="826" t="s">
        <v>74</v>
      </c>
      <c r="D875" s="849">
        <f>0.53+12.19+0.93+29.69</f>
        <v>43.34</v>
      </c>
      <c r="E875" s="973">
        <v>70</v>
      </c>
      <c r="F875" s="966">
        <f>(I876+I877)/D875</f>
        <v>203.95750000000001</v>
      </c>
      <c r="G875" s="1056">
        <f t="shared" si="69"/>
        <v>3033.8</v>
      </c>
      <c r="H875" s="1058">
        <f t="shared" si="70"/>
        <v>8839.5180500000006</v>
      </c>
      <c r="I875" s="1056">
        <f>G875</f>
        <v>3033.8</v>
      </c>
    </row>
    <row r="876" spans="1:9" s="950" customFormat="1" hidden="1" outlineLevel="1" x14ac:dyDescent="0.3">
      <c r="A876" s="905" t="s">
        <v>2276</v>
      </c>
      <c r="B876" s="980" t="s">
        <v>2277</v>
      </c>
      <c r="C876" s="981" t="s">
        <v>79</v>
      </c>
      <c r="D876" s="981">
        <f>D875*8.5*1.5</f>
        <v>552.58500000000004</v>
      </c>
      <c r="E876" s="947"/>
      <c r="F876" s="976">
        <v>11.33</v>
      </c>
      <c r="G876" s="1056">
        <f t="shared" si="69"/>
        <v>0</v>
      </c>
      <c r="H876" s="1056">
        <f t="shared" si="70"/>
        <v>6260.7880500000001</v>
      </c>
      <c r="I876" s="1056">
        <f t="shared" si="71"/>
        <v>6260.7880500000001</v>
      </c>
    </row>
    <row r="877" spans="1:9" customFormat="1" hidden="1" outlineLevel="1" x14ac:dyDescent="0.3">
      <c r="A877" s="905" t="s">
        <v>2278</v>
      </c>
      <c r="B877" s="980" t="s">
        <v>2248</v>
      </c>
      <c r="C877" s="981" t="s">
        <v>311</v>
      </c>
      <c r="D877" s="1230">
        <f>D875*0.35*2</f>
        <v>30.338000000000001</v>
      </c>
      <c r="E877" s="977"/>
      <c r="F877" s="1231">
        <v>85</v>
      </c>
      <c r="G877" s="1056">
        <f t="shared" si="69"/>
        <v>0</v>
      </c>
      <c r="H877" s="1056">
        <f t="shared" si="70"/>
        <v>2578.73</v>
      </c>
      <c r="I877" s="1056">
        <f t="shared" si="71"/>
        <v>2578.73</v>
      </c>
    </row>
    <row r="878" spans="1:9" customFormat="1" hidden="1" outlineLevel="1" x14ac:dyDescent="0.3">
      <c r="A878" s="905" t="s">
        <v>2279</v>
      </c>
      <c r="B878" s="848" t="s">
        <v>2235</v>
      </c>
      <c r="C878" s="826" t="s">
        <v>74</v>
      </c>
      <c r="D878" s="849">
        <f>53.34+1209.82+36.86+11.31</f>
        <v>1311.3299999999997</v>
      </c>
      <c r="E878" s="977">
        <v>70</v>
      </c>
      <c r="F878" s="966">
        <f>(I879+I880+I881)/D878</f>
        <v>286.76</v>
      </c>
      <c r="G878" s="1056">
        <f t="shared" si="69"/>
        <v>91793.099999999977</v>
      </c>
      <c r="H878" s="1058">
        <f t="shared" si="70"/>
        <v>376036.99079999991</v>
      </c>
      <c r="I878" s="1056">
        <f>G878</f>
        <v>91793.099999999977</v>
      </c>
    </row>
    <row r="879" spans="1:9" customFormat="1" ht="17.25" hidden="1" customHeight="1" outlineLevel="1" x14ac:dyDescent="0.3">
      <c r="A879" s="905" t="s">
        <v>2280</v>
      </c>
      <c r="B879" s="945" t="s">
        <v>2237</v>
      </c>
      <c r="C879" s="1232" t="s">
        <v>79</v>
      </c>
      <c r="D879" s="1230">
        <f>D878*8.5*2</f>
        <v>22292.609999999993</v>
      </c>
      <c r="E879" s="977"/>
      <c r="F879" s="1231">
        <v>11.33</v>
      </c>
      <c r="G879" s="1056">
        <f t="shared" si="69"/>
        <v>0</v>
      </c>
      <c r="H879" s="1056">
        <f t="shared" si="70"/>
        <v>252575.27129999993</v>
      </c>
      <c r="I879" s="1056">
        <f t="shared" si="71"/>
        <v>252575.27129999993</v>
      </c>
    </row>
    <row r="880" spans="1:9" customFormat="1" hidden="1" outlineLevel="1" x14ac:dyDescent="0.3">
      <c r="A880" s="905" t="s">
        <v>2281</v>
      </c>
      <c r="B880" s="945" t="s">
        <v>2239</v>
      </c>
      <c r="C880" s="1232" t="s">
        <v>74</v>
      </c>
      <c r="D880" s="1230">
        <f>D878*1.05</f>
        <v>1376.8964999999998</v>
      </c>
      <c r="E880" s="977"/>
      <c r="F880" s="1231">
        <v>33</v>
      </c>
      <c r="G880" s="1056">
        <f t="shared" si="69"/>
        <v>0</v>
      </c>
      <c r="H880" s="1056">
        <f t="shared" si="70"/>
        <v>45437.584499999997</v>
      </c>
      <c r="I880" s="1056">
        <f t="shared" si="71"/>
        <v>45437.584499999997</v>
      </c>
    </row>
    <row r="881" spans="1:9" customFormat="1" hidden="1" outlineLevel="1" x14ac:dyDescent="0.3">
      <c r="A881" s="905" t="s">
        <v>2282</v>
      </c>
      <c r="B881" s="945" t="s">
        <v>2248</v>
      </c>
      <c r="C881" s="1232" t="s">
        <v>311</v>
      </c>
      <c r="D881" s="1230">
        <f>D878*0.35*2</f>
        <v>917.9309999999997</v>
      </c>
      <c r="E881" s="977"/>
      <c r="F881" s="1231">
        <v>85</v>
      </c>
      <c r="G881" s="1056">
        <f t="shared" si="69"/>
        <v>0</v>
      </c>
      <c r="H881" s="1056">
        <f t="shared" si="70"/>
        <v>78024.13499999998</v>
      </c>
      <c r="I881" s="1056">
        <f t="shared" si="71"/>
        <v>78024.13499999998</v>
      </c>
    </row>
    <row r="882" spans="1:9" s="950" customFormat="1" hidden="1" outlineLevel="1" x14ac:dyDescent="0.3">
      <c r="A882" s="905" t="s">
        <v>2283</v>
      </c>
      <c r="B882" s="825" t="s">
        <v>2250</v>
      </c>
      <c r="C882" s="826" t="s">
        <v>74</v>
      </c>
      <c r="D882" s="842">
        <f>0.53+12.19+0.93+29.69</f>
        <v>43.34</v>
      </c>
      <c r="E882" s="947">
        <v>30</v>
      </c>
      <c r="F882" s="978">
        <f>(I883+I884)/D882</f>
        <v>43.75</v>
      </c>
      <c r="G882" s="1056">
        <f t="shared" si="69"/>
        <v>1300.2</v>
      </c>
      <c r="H882" s="1058">
        <f t="shared" si="70"/>
        <v>1896.1250000000002</v>
      </c>
      <c r="I882" s="1056">
        <f>G882</f>
        <v>1300.2</v>
      </c>
    </row>
    <row r="883" spans="1:9" customFormat="1" hidden="1" outlineLevel="1" x14ac:dyDescent="0.3">
      <c r="A883" s="905" t="s">
        <v>2284</v>
      </c>
      <c r="B883" s="825" t="s">
        <v>2285</v>
      </c>
      <c r="C883" s="826" t="s">
        <v>79</v>
      </c>
      <c r="D883" s="842">
        <f>0.8*D882</f>
        <v>34.672000000000004</v>
      </c>
      <c r="E883" s="947"/>
      <c r="F883" s="976">
        <v>17.5</v>
      </c>
      <c r="G883" s="1056">
        <f t="shared" si="69"/>
        <v>0</v>
      </c>
      <c r="H883" s="1056">
        <f t="shared" si="70"/>
        <v>606.7600000000001</v>
      </c>
      <c r="I883" s="1056">
        <f t="shared" si="71"/>
        <v>606.7600000000001</v>
      </c>
    </row>
    <row r="884" spans="1:9" customFormat="1" hidden="1" outlineLevel="1" x14ac:dyDescent="0.3">
      <c r="A884" s="905" t="s">
        <v>2286</v>
      </c>
      <c r="B884" s="980" t="s">
        <v>2233</v>
      </c>
      <c r="C884" s="981" t="s">
        <v>311</v>
      </c>
      <c r="D884" s="1230">
        <f>D882*0.35</f>
        <v>15.169</v>
      </c>
      <c r="E884" s="947"/>
      <c r="F884" s="976">
        <v>85</v>
      </c>
      <c r="G884" s="1056">
        <f t="shared" si="69"/>
        <v>0</v>
      </c>
      <c r="H884" s="1056">
        <f t="shared" si="70"/>
        <v>1289.365</v>
      </c>
      <c r="I884" s="1056">
        <f t="shared" si="71"/>
        <v>1289.365</v>
      </c>
    </row>
    <row r="885" spans="1:9" customFormat="1" hidden="1" outlineLevel="1" x14ac:dyDescent="0.3">
      <c r="A885" s="905" t="s">
        <v>2287</v>
      </c>
      <c r="B885" s="825" t="s">
        <v>2255</v>
      </c>
      <c r="C885" s="826" t="s">
        <v>74</v>
      </c>
      <c r="D885" s="842">
        <f>0.53+53.34+1209.82+12.19+36.86+0.93+29.69+11.31</f>
        <v>1354.67</v>
      </c>
      <c r="E885" s="947">
        <v>30</v>
      </c>
      <c r="F885" s="978">
        <f>(I886+I887)/D885</f>
        <v>76.826400000000007</v>
      </c>
      <c r="G885" s="1056">
        <f t="shared" si="69"/>
        <v>40640.100000000006</v>
      </c>
      <c r="H885" s="1058">
        <f t="shared" si="70"/>
        <v>104074.41928800002</v>
      </c>
      <c r="I885" s="1056">
        <f>G885</f>
        <v>40640.100000000006</v>
      </c>
    </row>
    <row r="886" spans="1:9" customFormat="1" ht="28.8" hidden="1" outlineLevel="1" x14ac:dyDescent="0.3">
      <c r="A886" s="905" t="s">
        <v>2288</v>
      </c>
      <c r="B886" s="1239" t="s">
        <v>2289</v>
      </c>
      <c r="C886" s="826" t="s">
        <v>79</v>
      </c>
      <c r="D886" s="842">
        <f>D885*0.34*2</f>
        <v>921.17560000000014</v>
      </c>
      <c r="E886" s="965"/>
      <c r="F886" s="1231">
        <v>69.23</v>
      </c>
      <c r="G886" s="1056">
        <f t="shared" si="69"/>
        <v>0</v>
      </c>
      <c r="H886" s="1056">
        <f t="shared" si="70"/>
        <v>63772.986788000017</v>
      </c>
      <c r="I886" s="1056">
        <f t="shared" si="71"/>
        <v>63772.986788000017</v>
      </c>
    </row>
    <row r="887" spans="1:9" customFormat="1" hidden="1" outlineLevel="1" x14ac:dyDescent="0.3">
      <c r="A887" s="905" t="s">
        <v>2290</v>
      </c>
      <c r="B887" s="980" t="s">
        <v>2233</v>
      </c>
      <c r="C887" s="981" t="s">
        <v>311</v>
      </c>
      <c r="D887" s="1230">
        <f>D885*0.35</f>
        <v>474.1345</v>
      </c>
      <c r="E887" s="977"/>
      <c r="F887" s="1231">
        <v>85</v>
      </c>
      <c r="G887" s="1056">
        <f t="shared" si="69"/>
        <v>0</v>
      </c>
      <c r="H887" s="1056">
        <f t="shared" si="70"/>
        <v>40301.432500000003</v>
      </c>
      <c r="I887" s="1056">
        <f t="shared" si="71"/>
        <v>40301.432500000003</v>
      </c>
    </row>
    <row r="888" spans="1:9" s="950" customFormat="1" ht="18.8" hidden="1" customHeight="1" outlineLevel="1" x14ac:dyDescent="0.3">
      <c r="A888" s="905" t="s">
        <v>2291</v>
      </c>
      <c r="B888" s="996" t="s">
        <v>2292</v>
      </c>
      <c r="C888" s="997" t="s">
        <v>74</v>
      </c>
      <c r="D888" s="1028">
        <f>11.84</f>
        <v>11.84</v>
      </c>
      <c r="E888" s="947">
        <v>400</v>
      </c>
      <c r="F888" s="998">
        <f>(I889+I890+I891+I892+I893+I894)/D888</f>
        <v>342.5064256756757</v>
      </c>
      <c r="G888" s="1056">
        <f t="shared" si="69"/>
        <v>4736</v>
      </c>
      <c r="H888" s="1058">
        <f t="shared" si="70"/>
        <v>4055.2760800000001</v>
      </c>
      <c r="I888" s="1056">
        <f>G888</f>
        <v>4736</v>
      </c>
    </row>
    <row r="889" spans="1:9" customFormat="1" hidden="1" outlineLevel="1" x14ac:dyDescent="0.3">
      <c r="A889" s="905" t="s">
        <v>2293</v>
      </c>
      <c r="B889" s="996" t="s">
        <v>2294</v>
      </c>
      <c r="C889" s="997" t="s">
        <v>74</v>
      </c>
      <c r="D889" s="1028">
        <f>D888</f>
        <v>11.84</v>
      </c>
      <c r="E889" s="947"/>
      <c r="F889" s="948">
        <v>196</v>
      </c>
      <c r="G889" s="1056">
        <f t="shared" si="69"/>
        <v>0</v>
      </c>
      <c r="H889" s="1056">
        <f t="shared" si="70"/>
        <v>2320.64</v>
      </c>
      <c r="I889" s="1056">
        <f t="shared" si="71"/>
        <v>2320.64</v>
      </c>
    </row>
    <row r="890" spans="1:9" customFormat="1" hidden="1" outlineLevel="1" x14ac:dyDescent="0.3">
      <c r="A890" s="905" t="s">
        <v>2295</v>
      </c>
      <c r="B890" s="1240" t="s">
        <v>2296</v>
      </c>
      <c r="C890" s="997" t="s">
        <v>318</v>
      </c>
      <c r="D890" s="1028">
        <f>2*D888</f>
        <v>23.68</v>
      </c>
      <c r="E890" s="947"/>
      <c r="F890" s="948">
        <v>52</v>
      </c>
      <c r="G890" s="1056">
        <f t="shared" si="69"/>
        <v>0</v>
      </c>
      <c r="H890" s="1056">
        <f t="shared" si="70"/>
        <v>1231.3599999999999</v>
      </c>
      <c r="I890" s="1056">
        <f t="shared" si="71"/>
        <v>1231.3599999999999</v>
      </c>
    </row>
    <row r="891" spans="1:9" customFormat="1" hidden="1" outlineLevel="1" x14ac:dyDescent="0.3">
      <c r="A891" s="905" t="s">
        <v>2297</v>
      </c>
      <c r="B891" s="1240" t="s">
        <v>2298</v>
      </c>
      <c r="C891" s="997" t="s">
        <v>318</v>
      </c>
      <c r="D891" s="1028">
        <f>0.7*D888</f>
        <v>8.2880000000000003</v>
      </c>
      <c r="E891" s="947"/>
      <c r="F891" s="948">
        <v>37.659999999999997</v>
      </c>
      <c r="G891" s="1056">
        <f t="shared" si="69"/>
        <v>0</v>
      </c>
      <c r="H891" s="1056">
        <f t="shared" si="70"/>
        <v>312.12608</v>
      </c>
      <c r="I891" s="1056">
        <f t="shared" si="71"/>
        <v>312.12608</v>
      </c>
    </row>
    <row r="892" spans="1:9" customFormat="1" hidden="1" outlineLevel="1" x14ac:dyDescent="0.3">
      <c r="A892" s="905" t="s">
        <v>2299</v>
      </c>
      <c r="B892" s="1240" t="s">
        <v>2300</v>
      </c>
      <c r="C892" s="997" t="s">
        <v>44</v>
      </c>
      <c r="D892" s="1028">
        <f>ROUND(0.7*D888,0.1)</f>
        <v>8</v>
      </c>
      <c r="E892" s="947"/>
      <c r="F892" s="948">
        <v>7</v>
      </c>
      <c r="G892" s="1056">
        <f t="shared" si="69"/>
        <v>0</v>
      </c>
      <c r="H892" s="1056">
        <f t="shared" si="70"/>
        <v>56</v>
      </c>
      <c r="I892" s="1056">
        <f t="shared" si="71"/>
        <v>56</v>
      </c>
    </row>
    <row r="893" spans="1:9" customFormat="1" hidden="1" outlineLevel="1" x14ac:dyDescent="0.3">
      <c r="A893" s="905" t="s">
        <v>2301</v>
      </c>
      <c r="B893" s="1240" t="s">
        <v>2302</v>
      </c>
      <c r="C893" s="997" t="s">
        <v>44</v>
      </c>
      <c r="D893" s="1028">
        <f>ROUND(1.6*D888,0.1)</f>
        <v>19</v>
      </c>
      <c r="E893" s="947"/>
      <c r="F893" s="948">
        <v>0.85</v>
      </c>
      <c r="G893" s="1056">
        <f t="shared" si="69"/>
        <v>0</v>
      </c>
      <c r="H893" s="1056">
        <f t="shared" si="70"/>
        <v>16.149999999999999</v>
      </c>
      <c r="I893" s="1056">
        <f t="shared" si="71"/>
        <v>16.149999999999999</v>
      </c>
    </row>
    <row r="894" spans="1:9" customFormat="1" hidden="1" outlineLevel="1" x14ac:dyDescent="0.3">
      <c r="A894" s="905" t="s">
        <v>2303</v>
      </c>
      <c r="B894" s="996" t="s">
        <v>2304</v>
      </c>
      <c r="C894" s="997" t="s">
        <v>44</v>
      </c>
      <c r="D894" s="1028">
        <f>ROUND(1.4*D888,0.1)</f>
        <v>17</v>
      </c>
      <c r="E894" s="947"/>
      <c r="F894" s="948">
        <v>7</v>
      </c>
      <c r="G894" s="1056">
        <f t="shared" si="69"/>
        <v>0</v>
      </c>
      <c r="H894" s="1056">
        <f t="shared" si="70"/>
        <v>119</v>
      </c>
      <c r="I894" s="1056">
        <f t="shared" si="71"/>
        <v>119</v>
      </c>
    </row>
    <row r="895" spans="1:9" s="950" customFormat="1" hidden="1" outlineLevel="1" x14ac:dyDescent="0.3">
      <c r="A895" s="905" t="s">
        <v>2305</v>
      </c>
      <c r="B895" s="1001" t="s">
        <v>547</v>
      </c>
      <c r="C895" s="946" t="s">
        <v>74</v>
      </c>
      <c r="D895" s="946">
        <f>2.8*1.37+2.8*2.8*24+5.48*76.33+5.77*76.33+1.58*74.15+0.93*74.15+1.83*74.15</f>
        <v>1372.5194999999999</v>
      </c>
      <c r="E895" s="1002">
        <v>200</v>
      </c>
      <c r="F895" s="1003">
        <f>(I896+I897+I898+I899+I900)/D895</f>
        <v>641.47272863882802</v>
      </c>
      <c r="G895" s="1056">
        <f t="shared" si="69"/>
        <v>274503.89999999997</v>
      </c>
      <c r="H895" s="1059">
        <f>D895*F895</f>
        <v>880433.82877499983</v>
      </c>
      <c r="I895" s="1056">
        <f>G895</f>
        <v>274503.89999999997</v>
      </c>
    </row>
    <row r="896" spans="1:9" s="950" customFormat="1" hidden="1" outlineLevel="1" x14ac:dyDescent="0.3">
      <c r="A896" s="905" t="s">
        <v>2306</v>
      </c>
      <c r="B896" s="825" t="s">
        <v>2271</v>
      </c>
      <c r="C896" s="1241" t="s">
        <v>34</v>
      </c>
      <c r="D896" s="836">
        <f>(2.8*1.37+2.8*2.8*24+5.48*76.33+5.77*76.33)*0.09*1.3</f>
        <v>122.93289449999999</v>
      </c>
      <c r="E896" s="1242"/>
      <c r="F896" s="1233">
        <v>3950</v>
      </c>
      <c r="G896" s="1056">
        <f t="shared" si="69"/>
        <v>0</v>
      </c>
      <c r="H896" s="1056">
        <f t="shared" si="70"/>
        <v>485584.93327499996</v>
      </c>
      <c r="I896" s="1056">
        <f t="shared" si="71"/>
        <v>485584.93327499996</v>
      </c>
    </row>
    <row r="897" spans="1:9" s="950" customFormat="1" hidden="1" outlineLevel="1" x14ac:dyDescent="0.3">
      <c r="A897" s="905" t="s">
        <v>2307</v>
      </c>
      <c r="B897" s="825" t="s">
        <v>2308</v>
      </c>
      <c r="C897" s="1241" t="s">
        <v>34</v>
      </c>
      <c r="D897" s="836">
        <f>1.58*74.15*0.12*1.3</f>
        <v>18.276492000000001</v>
      </c>
      <c r="E897" s="1242"/>
      <c r="F897" s="1233">
        <v>3950</v>
      </c>
      <c r="G897" s="1056">
        <f t="shared" si="69"/>
        <v>0</v>
      </c>
      <c r="H897" s="1056">
        <f t="shared" si="70"/>
        <v>72192.143400000001</v>
      </c>
      <c r="I897" s="1056">
        <f t="shared" si="71"/>
        <v>72192.143400000001</v>
      </c>
    </row>
    <row r="898" spans="1:9" s="950" customFormat="1" hidden="1" outlineLevel="1" x14ac:dyDescent="0.3">
      <c r="A898" s="905" t="s">
        <v>2309</v>
      </c>
      <c r="B898" s="825" t="s">
        <v>2269</v>
      </c>
      <c r="C898" s="1241" t="s">
        <v>34</v>
      </c>
      <c r="D898" s="836">
        <f>(0.93*74.15+1.83*74.15)*0.05*1.3</f>
        <v>13.302510000000002</v>
      </c>
      <c r="E898" s="1242"/>
      <c r="F898" s="1233">
        <v>3950</v>
      </c>
      <c r="G898" s="1056">
        <f t="shared" si="69"/>
        <v>0</v>
      </c>
      <c r="H898" s="1056">
        <f t="shared" si="70"/>
        <v>52544.914500000006</v>
      </c>
      <c r="I898" s="1056">
        <f t="shared" si="71"/>
        <v>52544.914500000006</v>
      </c>
    </row>
    <row r="899" spans="1:9" s="950" customFormat="1" hidden="1" outlineLevel="1" x14ac:dyDescent="0.3">
      <c r="A899" s="905" t="s">
        <v>2310</v>
      </c>
      <c r="B899" s="319" t="s">
        <v>1164</v>
      </c>
      <c r="C899" s="1027" t="s">
        <v>96</v>
      </c>
      <c r="D899" s="1234">
        <f>PRODUCT(D895,6)</f>
        <v>8235.1169999999984</v>
      </c>
      <c r="E899" s="1235">
        <v>0</v>
      </c>
      <c r="F899" s="1236">
        <v>13.6</v>
      </c>
      <c r="G899" s="1056">
        <f>D899*E899</f>
        <v>0</v>
      </c>
      <c r="H899" s="1056">
        <f>D899*F899</f>
        <v>111997.59119999998</v>
      </c>
      <c r="I899" s="1056">
        <f>G899+H899</f>
        <v>111997.59119999998</v>
      </c>
    </row>
    <row r="900" spans="1:9" s="950" customFormat="1" hidden="1" outlineLevel="1" x14ac:dyDescent="0.3">
      <c r="A900" s="905" t="s">
        <v>2574</v>
      </c>
      <c r="B900" s="1238" t="s">
        <v>1168</v>
      </c>
      <c r="C900" s="956" t="s">
        <v>1169</v>
      </c>
      <c r="D900" s="1234">
        <f>PRODUCT(D895,8,1/25)</f>
        <v>439.20623999999998</v>
      </c>
      <c r="E900" s="1235"/>
      <c r="F900" s="956">
        <v>360</v>
      </c>
      <c r="G900" s="1056">
        <f>D900*E900</f>
        <v>0</v>
      </c>
      <c r="H900" s="1056">
        <f>D900*F900</f>
        <v>158114.2464</v>
      </c>
      <c r="I900" s="1056">
        <f>G900+H900</f>
        <v>158114.2464</v>
      </c>
    </row>
    <row r="901" spans="1:9" customFormat="1" hidden="1" outlineLevel="1" x14ac:dyDescent="0.3">
      <c r="A901" s="905"/>
      <c r="B901" s="1009" t="s">
        <v>2311</v>
      </c>
      <c r="C901" s="963"/>
      <c r="D901" s="964"/>
      <c r="E901" s="947"/>
      <c r="F901" s="948"/>
      <c r="G901" s="1056">
        <f t="shared" si="69"/>
        <v>0</v>
      </c>
      <c r="H901" s="1056">
        <f t="shared" si="70"/>
        <v>0</v>
      </c>
      <c r="I901" s="1056">
        <f t="shared" si="71"/>
        <v>0</v>
      </c>
    </row>
    <row r="902" spans="1:9" customFormat="1" hidden="1" outlineLevel="1" x14ac:dyDescent="0.3">
      <c r="A902" s="905"/>
      <c r="B902" s="1010" t="s">
        <v>2227</v>
      </c>
      <c r="C902" s="963"/>
      <c r="D902" s="964"/>
      <c r="E902" s="947"/>
      <c r="F902" s="948"/>
      <c r="G902" s="1056">
        <f t="shared" si="69"/>
        <v>0</v>
      </c>
      <c r="H902" s="1056">
        <f t="shared" si="70"/>
        <v>0</v>
      </c>
      <c r="I902" s="1056">
        <f t="shared" si="71"/>
        <v>0</v>
      </c>
    </row>
    <row r="903" spans="1:9" s="950" customFormat="1" hidden="1" outlineLevel="1" x14ac:dyDescent="0.3">
      <c r="A903" s="905" t="s">
        <v>2312</v>
      </c>
      <c r="B903" s="996" t="s">
        <v>2313</v>
      </c>
      <c r="C903" s="997" t="s">
        <v>74</v>
      </c>
      <c r="D903" s="1028">
        <f>148.76+1951.37</f>
        <v>2100.13</v>
      </c>
      <c r="E903" s="948">
        <v>150</v>
      </c>
      <c r="F903" s="998">
        <f>(I904+I905+I906+I907)/D903</f>
        <v>317.97999999999996</v>
      </c>
      <c r="G903" s="1056">
        <f t="shared" si="69"/>
        <v>315019.5</v>
      </c>
      <c r="H903" s="1058">
        <f t="shared" si="70"/>
        <v>667799.33739999996</v>
      </c>
      <c r="I903" s="1056">
        <f>G903</f>
        <v>315019.5</v>
      </c>
    </row>
    <row r="904" spans="1:9" customFormat="1" hidden="1" outlineLevel="1" x14ac:dyDescent="0.3">
      <c r="A904" s="905" t="s">
        <v>2314</v>
      </c>
      <c r="B904" s="951" t="s">
        <v>2315</v>
      </c>
      <c r="C904" s="997" t="s">
        <v>44</v>
      </c>
      <c r="D904" s="946">
        <f>D903*2.78</f>
        <v>5838.3613999999998</v>
      </c>
      <c r="E904" s="1243"/>
      <c r="F904" s="1243">
        <v>84.5</v>
      </c>
      <c r="G904" s="1056">
        <f t="shared" si="69"/>
        <v>0</v>
      </c>
      <c r="H904" s="1056">
        <f t="shared" si="70"/>
        <v>493341.53829999996</v>
      </c>
      <c r="I904" s="1056">
        <f t="shared" si="71"/>
        <v>493341.53829999996</v>
      </c>
    </row>
    <row r="905" spans="1:9" customFormat="1" hidden="1" outlineLevel="1" x14ac:dyDescent="0.3">
      <c r="A905" s="905" t="s">
        <v>2316</v>
      </c>
      <c r="B905" s="951" t="s">
        <v>2317</v>
      </c>
      <c r="C905" s="997" t="s">
        <v>44</v>
      </c>
      <c r="D905" s="946">
        <f>D903*1.5</f>
        <v>3150.1950000000002</v>
      </c>
      <c r="E905" s="1243"/>
      <c r="F905" s="1243">
        <v>14.16</v>
      </c>
      <c r="G905" s="1056">
        <f t="shared" si="69"/>
        <v>0</v>
      </c>
      <c r="H905" s="1056">
        <f t="shared" si="70"/>
        <v>44606.761200000001</v>
      </c>
      <c r="I905" s="1056">
        <f t="shared" si="71"/>
        <v>44606.761200000001</v>
      </c>
    </row>
    <row r="906" spans="1:9" customFormat="1" hidden="1" outlineLevel="1" x14ac:dyDescent="0.3">
      <c r="A906" s="905" t="s">
        <v>2318</v>
      </c>
      <c r="B906" s="951" t="s">
        <v>2319</v>
      </c>
      <c r="C906" s="997" t="s">
        <v>44</v>
      </c>
      <c r="D906" s="946">
        <f>D903*1.5</f>
        <v>3150.1950000000002</v>
      </c>
      <c r="E906" s="1243"/>
      <c r="F906" s="1243">
        <v>27.24</v>
      </c>
      <c r="G906" s="1056">
        <f t="shared" si="69"/>
        <v>0</v>
      </c>
      <c r="H906" s="1056">
        <f t="shared" si="70"/>
        <v>85811.311799999996</v>
      </c>
      <c r="I906" s="1056">
        <f t="shared" si="71"/>
        <v>85811.311799999996</v>
      </c>
    </row>
    <row r="907" spans="1:9" customFormat="1" hidden="1" outlineLevel="1" x14ac:dyDescent="0.3">
      <c r="A907" s="905" t="s">
        <v>2320</v>
      </c>
      <c r="B907" s="951" t="s">
        <v>2321</v>
      </c>
      <c r="C907" s="997" t="s">
        <v>44</v>
      </c>
      <c r="D907" s="946">
        <f>D903*0.25</f>
        <v>525.03250000000003</v>
      </c>
      <c r="E907" s="1243"/>
      <c r="F907" s="1243">
        <v>83.88</v>
      </c>
      <c r="G907" s="1056">
        <f t="shared" si="69"/>
        <v>0</v>
      </c>
      <c r="H907" s="1056">
        <f t="shared" si="70"/>
        <v>44039.7261</v>
      </c>
      <c r="I907" s="1056">
        <f t="shared" si="71"/>
        <v>44039.7261</v>
      </c>
    </row>
    <row r="908" spans="1:9" customFormat="1" hidden="1" outlineLevel="1" x14ac:dyDescent="0.3">
      <c r="A908" s="905" t="s">
        <v>2322</v>
      </c>
      <c r="B908" s="951" t="s">
        <v>2323</v>
      </c>
      <c r="C908" s="997" t="s">
        <v>44</v>
      </c>
      <c r="D908" s="1027">
        <f>((2.26+4.6+6.61+5+2.35+20.39+22+5.68+5.68+1.615*2+0.48*4+0.55*4)+(1.83+3.495+19.3+17.47+6.8+5.19+10.045+15.7+5.205+1.9+1.86+5+3.22+4.47+4.47+3.1)*23)/3</f>
        <v>863.39499999999998</v>
      </c>
      <c r="E908" s="1243"/>
      <c r="F908" s="1243">
        <v>54.48</v>
      </c>
      <c r="G908" s="1056">
        <f>D908*E908</f>
        <v>0</v>
      </c>
      <c r="H908" s="1056">
        <f>D908*F908</f>
        <v>47037.759599999998</v>
      </c>
      <c r="I908" s="1056">
        <f>G908+H908</f>
        <v>47037.759599999998</v>
      </c>
    </row>
    <row r="909" spans="1:9" customFormat="1" hidden="1" outlineLevel="1" x14ac:dyDescent="0.3">
      <c r="A909" s="905" t="s">
        <v>2324</v>
      </c>
      <c r="B909" s="951" t="s">
        <v>2325</v>
      </c>
      <c r="C909" s="997" t="s">
        <v>44</v>
      </c>
      <c r="D909" s="946">
        <f>ROUND(D903*0.69,0.1)</f>
        <v>1449</v>
      </c>
      <c r="E909" s="1243"/>
      <c r="F909" s="1243">
        <v>6.5</v>
      </c>
      <c r="G909" s="1056">
        <f>D909*E909</f>
        <v>0</v>
      </c>
      <c r="H909" s="1056">
        <f>D909*F909</f>
        <v>9418.5</v>
      </c>
      <c r="I909" s="1056">
        <f>G909+H909</f>
        <v>9418.5</v>
      </c>
    </row>
    <row r="910" spans="1:9" customFormat="1" hidden="1" outlineLevel="1" x14ac:dyDescent="0.3">
      <c r="A910" s="905" t="s">
        <v>2326</v>
      </c>
      <c r="B910" s="951" t="s">
        <v>2327</v>
      </c>
      <c r="C910" s="997" t="s">
        <v>44</v>
      </c>
      <c r="D910" s="946">
        <f>ROUND(D903*0.69,0.1)</f>
        <v>1449</v>
      </c>
      <c r="E910" s="1243"/>
      <c r="F910" s="1243">
        <v>6.27</v>
      </c>
      <c r="G910" s="1056">
        <f>D910*E910</f>
        <v>0</v>
      </c>
      <c r="H910" s="1056">
        <f>D910*F910</f>
        <v>9085.23</v>
      </c>
      <c r="I910" s="1056">
        <f>G910+H910</f>
        <v>9085.23</v>
      </c>
    </row>
    <row r="911" spans="1:9" customFormat="1" hidden="1" outlineLevel="1" x14ac:dyDescent="0.3">
      <c r="A911" s="905" t="s">
        <v>2328</v>
      </c>
      <c r="B911" s="951" t="s">
        <v>2329</v>
      </c>
      <c r="C911" s="997" t="s">
        <v>44</v>
      </c>
      <c r="D911" s="946">
        <f>ROUND(2*D908,0.1)</f>
        <v>1727</v>
      </c>
      <c r="E911" s="1243"/>
      <c r="F911" s="1243">
        <v>1.04</v>
      </c>
      <c r="G911" s="1056">
        <f>D911*E911</f>
        <v>0</v>
      </c>
      <c r="H911" s="1056">
        <f>D911*F911</f>
        <v>1796.0800000000002</v>
      </c>
      <c r="I911" s="1056">
        <f>G911+H911</f>
        <v>1796.0800000000002</v>
      </c>
    </row>
    <row r="912" spans="1:9" s="950" customFormat="1" hidden="1" outlineLevel="1" x14ac:dyDescent="0.3">
      <c r="A912" s="905" t="s">
        <v>2330</v>
      </c>
      <c r="B912" s="996" t="s">
        <v>2331</v>
      </c>
      <c r="C912" s="997" t="s">
        <v>74</v>
      </c>
      <c r="D912" s="1028">
        <f>11.47+17.73</f>
        <v>29.200000000000003</v>
      </c>
      <c r="E912" s="947">
        <v>250</v>
      </c>
      <c r="F912" s="998">
        <f>(I913+I914+I915+I916+I917+I918+I919)/D912</f>
        <v>392.76608219178081</v>
      </c>
      <c r="G912" s="1056">
        <f t="shared" si="69"/>
        <v>7300.0000000000009</v>
      </c>
      <c r="H912" s="1058">
        <f t="shared" si="70"/>
        <v>11468.769600000001</v>
      </c>
      <c r="I912" s="1056">
        <f>G912</f>
        <v>7300.0000000000009</v>
      </c>
    </row>
    <row r="913" spans="1:9" customFormat="1" hidden="1" outlineLevel="1" x14ac:dyDescent="0.3">
      <c r="A913" s="905" t="s">
        <v>2332</v>
      </c>
      <c r="B913" s="996" t="s">
        <v>2294</v>
      </c>
      <c r="C913" s="997" t="s">
        <v>74</v>
      </c>
      <c r="D913" s="1028">
        <f>D912</f>
        <v>29.200000000000003</v>
      </c>
      <c r="E913" s="947"/>
      <c r="F913" s="948">
        <v>196</v>
      </c>
      <c r="G913" s="1056">
        <f t="shared" ref="G913:G976" si="72">D913*E913</f>
        <v>0</v>
      </c>
      <c r="H913" s="1056">
        <f t="shared" ref="H913:H976" si="73">D913*F913</f>
        <v>5723.2000000000007</v>
      </c>
      <c r="I913" s="1056">
        <f t="shared" ref="I913:I976" si="74">G913+H913</f>
        <v>5723.2000000000007</v>
      </c>
    </row>
    <row r="914" spans="1:9" customFormat="1" hidden="1" outlineLevel="1" x14ac:dyDescent="0.3">
      <c r="A914" s="905" t="s">
        <v>2333</v>
      </c>
      <c r="B914" s="1240" t="s">
        <v>2296</v>
      </c>
      <c r="C914" s="997" t="s">
        <v>318</v>
      </c>
      <c r="D914" s="1028">
        <f>2.9*D912</f>
        <v>84.68</v>
      </c>
      <c r="E914" s="947"/>
      <c r="F914" s="948">
        <v>52</v>
      </c>
      <c r="G914" s="1056">
        <f t="shared" si="72"/>
        <v>0</v>
      </c>
      <c r="H914" s="1056">
        <f t="shared" si="73"/>
        <v>4403.3600000000006</v>
      </c>
      <c r="I914" s="1056">
        <f t="shared" si="74"/>
        <v>4403.3600000000006</v>
      </c>
    </row>
    <row r="915" spans="1:9" customFormat="1" hidden="1" outlineLevel="1" x14ac:dyDescent="0.3">
      <c r="A915" s="905" t="s">
        <v>2334</v>
      </c>
      <c r="B915" s="1240" t="s">
        <v>2298</v>
      </c>
      <c r="C915" s="997" t="s">
        <v>318</v>
      </c>
      <c r="D915" s="1028">
        <f>4.78*2+2.4*2</f>
        <v>14.36</v>
      </c>
      <c r="E915" s="947"/>
      <c r="F915" s="948">
        <v>37.659999999999997</v>
      </c>
      <c r="G915" s="1056">
        <f t="shared" si="72"/>
        <v>0</v>
      </c>
      <c r="H915" s="1056">
        <f t="shared" si="73"/>
        <v>540.79759999999987</v>
      </c>
      <c r="I915" s="1056">
        <f t="shared" si="74"/>
        <v>540.79759999999987</v>
      </c>
    </row>
    <row r="916" spans="1:9" customFormat="1" hidden="1" outlineLevel="1" x14ac:dyDescent="0.3">
      <c r="A916" s="905" t="s">
        <v>2335</v>
      </c>
      <c r="B916" s="1240" t="s">
        <v>2336</v>
      </c>
      <c r="C916" s="997" t="s">
        <v>44</v>
      </c>
      <c r="D916" s="1028">
        <f>ROUND(1.7*D912,0.1)</f>
        <v>50</v>
      </c>
      <c r="E916" s="947"/>
      <c r="F916" s="948">
        <v>7</v>
      </c>
      <c r="G916" s="1056">
        <f t="shared" si="72"/>
        <v>0</v>
      </c>
      <c r="H916" s="1056">
        <f t="shared" si="73"/>
        <v>350</v>
      </c>
      <c r="I916" s="1056">
        <f t="shared" si="74"/>
        <v>350</v>
      </c>
    </row>
    <row r="917" spans="1:9" customFormat="1" hidden="1" outlineLevel="1" x14ac:dyDescent="0.3">
      <c r="A917" s="905" t="s">
        <v>2337</v>
      </c>
      <c r="B917" s="1240" t="s">
        <v>2300</v>
      </c>
      <c r="C917" s="997" t="s">
        <v>44</v>
      </c>
      <c r="D917" s="1028">
        <f>ROUND(0.7*D912,0.1)</f>
        <v>20</v>
      </c>
      <c r="E917" s="947"/>
      <c r="F917" s="948">
        <v>7</v>
      </c>
      <c r="G917" s="1056">
        <f t="shared" si="72"/>
        <v>0</v>
      </c>
      <c r="H917" s="1056">
        <f t="shared" si="73"/>
        <v>140</v>
      </c>
      <c r="I917" s="1056">
        <f t="shared" si="74"/>
        <v>140</v>
      </c>
    </row>
    <row r="918" spans="1:9" customFormat="1" hidden="1" outlineLevel="1" x14ac:dyDescent="0.3">
      <c r="A918" s="905" t="s">
        <v>2338</v>
      </c>
      <c r="B918" s="1240" t="s">
        <v>2302</v>
      </c>
      <c r="C918" s="997" t="s">
        <v>44</v>
      </c>
      <c r="D918" s="1028">
        <f>2*D915</f>
        <v>28.72</v>
      </c>
      <c r="E918" s="947"/>
      <c r="F918" s="948">
        <v>0.85</v>
      </c>
      <c r="G918" s="1056">
        <f t="shared" si="72"/>
        <v>0</v>
      </c>
      <c r="H918" s="1056">
        <f t="shared" si="73"/>
        <v>24.411999999999999</v>
      </c>
      <c r="I918" s="1056">
        <f t="shared" si="74"/>
        <v>24.411999999999999</v>
      </c>
    </row>
    <row r="919" spans="1:9" customFormat="1" hidden="1" outlineLevel="1" x14ac:dyDescent="0.3">
      <c r="A919" s="905" t="s">
        <v>2339</v>
      </c>
      <c r="B919" s="996" t="s">
        <v>2304</v>
      </c>
      <c r="C919" s="997" t="s">
        <v>44</v>
      </c>
      <c r="D919" s="1028">
        <f>ROUND(1.4*D912,0.1)</f>
        <v>41</v>
      </c>
      <c r="E919" s="947"/>
      <c r="F919" s="948">
        <v>7</v>
      </c>
      <c r="G919" s="1056">
        <f t="shared" si="72"/>
        <v>0</v>
      </c>
      <c r="H919" s="1056">
        <f t="shared" si="73"/>
        <v>287</v>
      </c>
      <c r="I919" s="1056">
        <f t="shared" si="74"/>
        <v>287</v>
      </c>
    </row>
    <row r="920" spans="1:9" customFormat="1" hidden="1" outlineLevel="1" x14ac:dyDescent="0.3">
      <c r="A920" s="905" t="s">
        <v>2340</v>
      </c>
      <c r="B920" s="825" t="s">
        <v>2250</v>
      </c>
      <c r="C920" s="826" t="s">
        <v>74</v>
      </c>
      <c r="D920" s="842">
        <f>5.04+390.06+28.29+158.01</f>
        <v>581.40000000000009</v>
      </c>
      <c r="E920" s="947">
        <v>90</v>
      </c>
      <c r="F920" s="978">
        <f>(I921+I922)/D920</f>
        <v>43.357999999999997</v>
      </c>
      <c r="G920" s="1056">
        <f t="shared" si="72"/>
        <v>52326.000000000007</v>
      </c>
      <c r="H920" s="1058">
        <f t="shared" si="73"/>
        <v>25208.341200000003</v>
      </c>
      <c r="I920" s="1056">
        <f t="shared" si="74"/>
        <v>77534.34120000001</v>
      </c>
    </row>
    <row r="921" spans="1:9" customFormat="1" hidden="1" outlineLevel="1" x14ac:dyDescent="0.3">
      <c r="A921" s="905" t="s">
        <v>2341</v>
      </c>
      <c r="B921" s="825" t="s">
        <v>2342</v>
      </c>
      <c r="C921" s="826" t="s">
        <v>79</v>
      </c>
      <c r="D921" s="842">
        <f>0.8*D920</f>
        <v>465.12000000000012</v>
      </c>
      <c r="E921" s="947"/>
      <c r="F921" s="976">
        <v>17.010000000000002</v>
      </c>
      <c r="G921" s="1056">
        <f t="shared" si="72"/>
        <v>0</v>
      </c>
      <c r="H921" s="1056">
        <f t="shared" si="73"/>
        <v>7911.6912000000029</v>
      </c>
      <c r="I921" s="1056">
        <f t="shared" si="74"/>
        <v>7911.6912000000029</v>
      </c>
    </row>
    <row r="922" spans="1:9" customFormat="1" hidden="1" outlineLevel="1" x14ac:dyDescent="0.3">
      <c r="A922" s="905" t="s">
        <v>2343</v>
      </c>
      <c r="B922" s="980" t="s">
        <v>2233</v>
      </c>
      <c r="C922" s="981" t="s">
        <v>311</v>
      </c>
      <c r="D922" s="1230">
        <f>D920*0.35</f>
        <v>203.49</v>
      </c>
      <c r="E922" s="947"/>
      <c r="F922" s="976">
        <v>85</v>
      </c>
      <c r="G922" s="1056">
        <f t="shared" si="72"/>
        <v>0</v>
      </c>
      <c r="H922" s="1056">
        <f t="shared" si="73"/>
        <v>17296.650000000001</v>
      </c>
      <c r="I922" s="1056">
        <f t="shared" si="74"/>
        <v>17296.650000000001</v>
      </c>
    </row>
    <row r="923" spans="1:9" s="950" customFormat="1" hidden="1" outlineLevel="1" x14ac:dyDescent="0.3">
      <c r="A923" s="905" t="s">
        <v>2344</v>
      </c>
      <c r="B923" s="825" t="s">
        <v>2255</v>
      </c>
      <c r="C923" s="826" t="s">
        <v>74</v>
      </c>
      <c r="D923" s="842">
        <f>5.04+390.06+28.29+158.01</f>
        <v>581.40000000000009</v>
      </c>
      <c r="E923" s="947">
        <v>100</v>
      </c>
      <c r="F923" s="998">
        <f>(I924+I925)/D923</f>
        <v>53.288200000000003</v>
      </c>
      <c r="G923" s="1056">
        <f t="shared" si="72"/>
        <v>58140.000000000007</v>
      </c>
      <c r="H923" s="1058">
        <f t="shared" si="73"/>
        <v>30981.759480000008</v>
      </c>
      <c r="I923" s="1056">
        <f>G923</f>
        <v>58140.000000000007</v>
      </c>
    </row>
    <row r="924" spans="1:9" customFormat="1" ht="28.8" hidden="1" outlineLevel="1" x14ac:dyDescent="0.3">
      <c r="A924" s="905" t="s">
        <v>2345</v>
      </c>
      <c r="B924" s="825" t="s">
        <v>2257</v>
      </c>
      <c r="C924" s="826" t="s">
        <v>79</v>
      </c>
      <c r="D924" s="842">
        <f>D923*0.34</f>
        <v>197.67600000000004</v>
      </c>
      <c r="E924" s="947"/>
      <c r="F924" s="976">
        <v>69.23</v>
      </c>
      <c r="G924" s="1056">
        <f t="shared" si="72"/>
        <v>0</v>
      </c>
      <c r="H924" s="1056">
        <f t="shared" si="73"/>
        <v>13685.109480000005</v>
      </c>
      <c r="I924" s="1056">
        <f t="shared" si="74"/>
        <v>13685.109480000005</v>
      </c>
    </row>
    <row r="925" spans="1:9" customFormat="1" hidden="1" outlineLevel="1" x14ac:dyDescent="0.3">
      <c r="A925" s="905" t="s">
        <v>2346</v>
      </c>
      <c r="B925" s="980" t="s">
        <v>2233</v>
      </c>
      <c r="C925" s="981" t="s">
        <v>311</v>
      </c>
      <c r="D925" s="1230">
        <f>D923*0.35</f>
        <v>203.49</v>
      </c>
      <c r="E925" s="947"/>
      <c r="F925" s="976">
        <v>85</v>
      </c>
      <c r="G925" s="1056">
        <f t="shared" si="72"/>
        <v>0</v>
      </c>
      <c r="H925" s="1056">
        <f t="shared" si="73"/>
        <v>17296.650000000001</v>
      </c>
      <c r="I925" s="1056">
        <f t="shared" si="74"/>
        <v>17296.650000000001</v>
      </c>
    </row>
    <row r="926" spans="1:9" s="950" customFormat="1" ht="28.8" hidden="1" outlineLevel="1" x14ac:dyDescent="0.3">
      <c r="A926" s="905" t="s">
        <v>2347</v>
      </c>
      <c r="B926" s="951" t="s">
        <v>2348</v>
      </c>
      <c r="C926" s="946" t="s">
        <v>74</v>
      </c>
      <c r="D926" s="1011">
        <f>6.59*2+5.9*2+6.03*2+6.8*2+6.7*2+19.2*2+3.5*2+4*2</f>
        <v>117.44</v>
      </c>
      <c r="E926" s="305">
        <v>200</v>
      </c>
      <c r="F926" s="326">
        <f>(I927+I928+I929)/D926</f>
        <v>272.89465286103541</v>
      </c>
      <c r="G926" s="1056">
        <f t="shared" si="72"/>
        <v>23488</v>
      </c>
      <c r="H926" s="1058">
        <f t="shared" si="73"/>
        <v>32048.748032</v>
      </c>
      <c r="I926" s="1056">
        <f>G926</f>
        <v>23488</v>
      </c>
    </row>
    <row r="927" spans="1:9" s="950" customFormat="1" ht="28.8" hidden="1" outlineLevel="1" x14ac:dyDescent="0.3">
      <c r="A927" s="905" t="s">
        <v>2349</v>
      </c>
      <c r="B927" s="1001" t="s">
        <v>2350</v>
      </c>
      <c r="C927" s="946" t="s">
        <v>34</v>
      </c>
      <c r="D927" s="946">
        <f>D926*0.04*1.03</f>
        <v>4.8385280000000002</v>
      </c>
      <c r="E927" s="1244"/>
      <c r="F927" s="1245">
        <v>5526</v>
      </c>
      <c r="G927" s="1056">
        <f t="shared" si="72"/>
        <v>0</v>
      </c>
      <c r="H927" s="1056">
        <f t="shared" si="73"/>
        <v>26737.705728000001</v>
      </c>
      <c r="I927" s="1056">
        <f t="shared" si="74"/>
        <v>26737.705728000001</v>
      </c>
    </row>
    <row r="928" spans="1:9" s="950" customFormat="1" hidden="1" outlineLevel="1" x14ac:dyDescent="0.3">
      <c r="A928" s="905" t="s">
        <v>2351</v>
      </c>
      <c r="B928" s="1001" t="s">
        <v>2352</v>
      </c>
      <c r="C928" s="946" t="s">
        <v>44</v>
      </c>
      <c r="D928" s="946">
        <f>ROUND(D926*8,0.1)</f>
        <v>940</v>
      </c>
      <c r="E928" s="1246"/>
      <c r="F928" s="1233">
        <v>2.9</v>
      </c>
      <c r="G928" s="1056">
        <f t="shared" si="72"/>
        <v>0</v>
      </c>
      <c r="H928" s="1056">
        <f t="shared" si="73"/>
        <v>2726</v>
      </c>
      <c r="I928" s="1056">
        <f t="shared" si="74"/>
        <v>2726</v>
      </c>
    </row>
    <row r="929" spans="1:10" s="950" customFormat="1" hidden="1" outlineLevel="1" x14ac:dyDescent="0.3">
      <c r="A929" s="905" t="s">
        <v>2353</v>
      </c>
      <c r="B929" s="1001" t="s">
        <v>2354</v>
      </c>
      <c r="C929" s="946" t="s">
        <v>74</v>
      </c>
      <c r="D929" s="946">
        <f>D926*1.02</f>
        <v>119.78879999999999</v>
      </c>
      <c r="E929" s="1246"/>
      <c r="F929" s="1233">
        <v>21.58</v>
      </c>
      <c r="G929" s="1056">
        <f t="shared" si="72"/>
        <v>0</v>
      </c>
      <c r="H929" s="1056">
        <f t="shared" si="73"/>
        <v>2585.0423039999996</v>
      </c>
      <c r="I929" s="1056">
        <f t="shared" si="74"/>
        <v>2585.0423039999996</v>
      </c>
    </row>
    <row r="930" spans="1:10" s="950" customFormat="1" hidden="1" outlineLevel="1" x14ac:dyDescent="0.3">
      <c r="A930" s="905" t="s">
        <v>2355</v>
      </c>
      <c r="B930" s="1001" t="s">
        <v>2356</v>
      </c>
      <c r="C930" s="946" t="s">
        <v>74</v>
      </c>
      <c r="D930" s="946">
        <f>2.93*2.725*2</f>
        <v>15.968500000000001</v>
      </c>
      <c r="E930" s="1002">
        <v>200</v>
      </c>
      <c r="F930" s="1003">
        <f>(I931+I932)/D930</f>
        <v>389.05</v>
      </c>
      <c r="G930" s="1056">
        <f t="shared" si="72"/>
        <v>3193.7000000000003</v>
      </c>
      <c r="H930" s="1058">
        <f t="shared" si="73"/>
        <v>6212.5449250000001</v>
      </c>
      <c r="I930" s="1056">
        <f>G930</f>
        <v>3193.7000000000003</v>
      </c>
    </row>
    <row r="931" spans="1:10" s="950" customFormat="1" ht="28.8" hidden="1" outlineLevel="1" x14ac:dyDescent="0.3">
      <c r="A931" s="905" t="s">
        <v>2357</v>
      </c>
      <c r="B931" s="1197" t="s">
        <v>2358</v>
      </c>
      <c r="C931" s="1241" t="s">
        <v>34</v>
      </c>
      <c r="D931" s="1241">
        <f>D930*0.15*1.3</f>
        <v>3.1138574999999999</v>
      </c>
      <c r="E931" s="1242"/>
      <c r="F931" s="1233">
        <v>1870</v>
      </c>
      <c r="G931" s="1056">
        <f t="shared" si="72"/>
        <v>0</v>
      </c>
      <c r="H931" s="1056">
        <f t="shared" si="73"/>
        <v>5822.9135249999999</v>
      </c>
      <c r="I931" s="1056">
        <f t="shared" si="74"/>
        <v>5822.9135249999999</v>
      </c>
    </row>
    <row r="932" spans="1:10" s="950" customFormat="1" hidden="1" outlineLevel="1" x14ac:dyDescent="0.3">
      <c r="A932" s="905" t="s">
        <v>2359</v>
      </c>
      <c r="B932" s="951" t="s">
        <v>106</v>
      </c>
      <c r="C932" s="946" t="s">
        <v>79</v>
      </c>
      <c r="D932" s="946">
        <f>D930*0.08</f>
        <v>1.2774800000000002</v>
      </c>
      <c r="E932" s="1242"/>
      <c r="F932" s="1233">
        <v>305</v>
      </c>
      <c r="G932" s="1056">
        <f t="shared" si="72"/>
        <v>0</v>
      </c>
      <c r="H932" s="1056">
        <f t="shared" si="73"/>
        <v>389.63140000000004</v>
      </c>
      <c r="I932" s="1056">
        <f t="shared" si="74"/>
        <v>389.63140000000004</v>
      </c>
    </row>
    <row r="933" spans="1:10" customFormat="1" hidden="1" outlineLevel="1" x14ac:dyDescent="0.3">
      <c r="A933" s="905"/>
      <c r="B933" s="847" t="s">
        <v>2273</v>
      </c>
      <c r="C933" s="826"/>
      <c r="D933" s="842"/>
      <c r="E933" s="947"/>
      <c r="F933" s="976"/>
      <c r="G933" s="1056">
        <f t="shared" si="72"/>
        <v>0</v>
      </c>
      <c r="H933" s="1056">
        <f t="shared" si="73"/>
        <v>0</v>
      </c>
      <c r="I933" s="1056">
        <f t="shared" si="74"/>
        <v>0</v>
      </c>
    </row>
    <row r="934" spans="1:10" s="950" customFormat="1" hidden="1" outlineLevel="1" x14ac:dyDescent="0.3">
      <c r="A934" s="905" t="s">
        <v>2360</v>
      </c>
      <c r="B934" s="825" t="s">
        <v>2250</v>
      </c>
      <c r="C934" s="826" t="s">
        <v>74</v>
      </c>
      <c r="D934" s="842">
        <f>17.02+391.46+16.89</f>
        <v>425.36999999999995</v>
      </c>
      <c r="E934" s="947">
        <v>90</v>
      </c>
      <c r="F934" s="998">
        <f>(I935+I936)/D934</f>
        <v>43.750000000000007</v>
      </c>
      <c r="G934" s="1056">
        <f t="shared" si="72"/>
        <v>38283.299999999996</v>
      </c>
      <c r="H934" s="1058">
        <f t="shared" si="73"/>
        <v>18609.9375</v>
      </c>
      <c r="I934" s="1056">
        <f>G934</f>
        <v>38283.299999999996</v>
      </c>
    </row>
    <row r="935" spans="1:10" customFormat="1" hidden="1" outlineLevel="1" x14ac:dyDescent="0.3">
      <c r="A935" s="905" t="s">
        <v>2361</v>
      </c>
      <c r="B935" s="825" t="s">
        <v>2342</v>
      </c>
      <c r="C935" s="826" t="s">
        <v>79</v>
      </c>
      <c r="D935" s="842">
        <f>0.8*D934</f>
        <v>340.29599999999999</v>
      </c>
      <c r="E935" s="947"/>
      <c r="F935" s="976">
        <v>17.5</v>
      </c>
      <c r="G935" s="1056">
        <f t="shared" si="72"/>
        <v>0</v>
      </c>
      <c r="H935" s="1056">
        <f t="shared" si="73"/>
        <v>5955.18</v>
      </c>
      <c r="I935" s="1056">
        <f t="shared" si="74"/>
        <v>5955.18</v>
      </c>
    </row>
    <row r="936" spans="1:10" customFormat="1" hidden="1" outlineLevel="1" x14ac:dyDescent="0.3">
      <c r="A936" s="905" t="s">
        <v>2362</v>
      </c>
      <c r="B936" s="980" t="s">
        <v>2233</v>
      </c>
      <c r="C936" s="981" t="s">
        <v>311</v>
      </c>
      <c r="D936" s="1230">
        <f>D934*0.35</f>
        <v>148.87949999999998</v>
      </c>
      <c r="E936" s="947"/>
      <c r="F936" s="976">
        <v>85</v>
      </c>
      <c r="G936" s="1056">
        <f t="shared" si="72"/>
        <v>0</v>
      </c>
      <c r="H936" s="1056">
        <f t="shared" si="73"/>
        <v>12654.757499999998</v>
      </c>
      <c r="I936" s="1056">
        <f t="shared" si="74"/>
        <v>12654.757499999998</v>
      </c>
    </row>
    <row r="937" spans="1:10" customFormat="1" hidden="1" outlineLevel="1" x14ac:dyDescent="0.3">
      <c r="A937" s="905" t="s">
        <v>2363</v>
      </c>
      <c r="B937" s="825" t="s">
        <v>2255</v>
      </c>
      <c r="C937" s="826" t="s">
        <v>74</v>
      </c>
      <c r="D937" s="842">
        <f>17.02+391.46+16.89</f>
        <v>425.36999999999995</v>
      </c>
      <c r="E937" s="947">
        <v>100</v>
      </c>
      <c r="F937" s="978">
        <f>(I938+I939)/D937</f>
        <v>53.288200000000003</v>
      </c>
      <c r="G937" s="1056">
        <f t="shared" si="72"/>
        <v>42536.999999999993</v>
      </c>
      <c r="H937" s="1058">
        <f t="shared" si="73"/>
        <v>22667.201633999997</v>
      </c>
      <c r="I937" s="1056">
        <f>G937</f>
        <v>42536.999999999993</v>
      </c>
    </row>
    <row r="938" spans="1:10" s="950" customFormat="1" ht="28.8" hidden="1" outlineLevel="1" x14ac:dyDescent="0.3">
      <c r="A938" s="905" t="s">
        <v>2364</v>
      </c>
      <c r="B938" s="1239" t="s">
        <v>2289</v>
      </c>
      <c r="C938" s="826" t="s">
        <v>79</v>
      </c>
      <c r="D938" s="842">
        <f>D937*0.34</f>
        <v>144.6258</v>
      </c>
      <c r="E938" s="947"/>
      <c r="F938" s="948">
        <v>69.23</v>
      </c>
      <c r="G938" s="1056">
        <f t="shared" si="72"/>
        <v>0</v>
      </c>
      <c r="H938" s="1056">
        <f t="shared" si="73"/>
        <v>10012.444134000001</v>
      </c>
      <c r="I938" s="1056">
        <f t="shared" si="74"/>
        <v>10012.444134000001</v>
      </c>
    </row>
    <row r="939" spans="1:10" customFormat="1" hidden="1" outlineLevel="1" x14ac:dyDescent="0.3">
      <c r="A939" s="905" t="s">
        <v>2365</v>
      </c>
      <c r="B939" s="980" t="s">
        <v>2233</v>
      </c>
      <c r="C939" s="981" t="s">
        <v>311</v>
      </c>
      <c r="D939" s="1230">
        <f>D937*0.35</f>
        <v>148.87949999999998</v>
      </c>
      <c r="E939" s="947"/>
      <c r="F939" s="976">
        <v>85</v>
      </c>
      <c r="G939" s="1056">
        <f t="shared" si="72"/>
        <v>0</v>
      </c>
      <c r="H939" s="1056">
        <f t="shared" si="73"/>
        <v>12654.757499999998</v>
      </c>
      <c r="I939" s="1056">
        <f t="shared" si="74"/>
        <v>12654.757499999998</v>
      </c>
    </row>
    <row r="940" spans="1:10" customFormat="1" hidden="1" outlineLevel="1" x14ac:dyDescent="0.3">
      <c r="A940" s="905"/>
      <c r="B940" s="1009" t="s">
        <v>2366</v>
      </c>
      <c r="C940" s="963"/>
      <c r="D940" s="964"/>
      <c r="E940" s="947"/>
      <c r="F940" s="948"/>
      <c r="G940" s="1056">
        <f t="shared" si="72"/>
        <v>0</v>
      </c>
      <c r="H940" s="1056">
        <f t="shared" si="73"/>
        <v>0</v>
      </c>
      <c r="I940" s="1056">
        <f t="shared" si="74"/>
        <v>0</v>
      </c>
    </row>
    <row r="941" spans="1:10" s="950" customFormat="1" hidden="1" outlineLevel="1" x14ac:dyDescent="0.3">
      <c r="A941" s="905" t="s">
        <v>2367</v>
      </c>
      <c r="B941" s="848" t="s">
        <v>2368</v>
      </c>
      <c r="C941" s="826" t="s">
        <v>74</v>
      </c>
      <c r="D941" s="827">
        <f>265.7+162.53</f>
        <v>428.23</v>
      </c>
      <c r="E941" s="947">
        <v>260</v>
      </c>
      <c r="F941" s="948"/>
      <c r="G941" s="1056">
        <f t="shared" si="72"/>
        <v>111339.8</v>
      </c>
      <c r="H941" s="1056">
        <f t="shared" si="73"/>
        <v>0</v>
      </c>
      <c r="I941" s="1056">
        <f>G941</f>
        <v>111339.8</v>
      </c>
      <c r="J941" s="950" t="s">
        <v>3639</v>
      </c>
    </row>
    <row r="942" spans="1:10" s="950" customFormat="1" hidden="1" outlineLevel="1" x14ac:dyDescent="0.3">
      <c r="A942" s="905" t="s">
        <v>2369</v>
      </c>
      <c r="B942" s="825" t="s">
        <v>2370</v>
      </c>
      <c r="C942" s="826" t="s">
        <v>79</v>
      </c>
      <c r="D942" s="827">
        <f>15*D941</f>
        <v>6423.4500000000007</v>
      </c>
      <c r="E942" s="947"/>
      <c r="F942" s="948"/>
      <c r="G942" s="1056">
        <f t="shared" si="72"/>
        <v>0</v>
      </c>
      <c r="H942" s="1056">
        <f t="shared" si="73"/>
        <v>0</v>
      </c>
      <c r="I942" s="1056">
        <f t="shared" si="74"/>
        <v>0</v>
      </c>
    </row>
    <row r="943" spans="1:10" s="950" customFormat="1" ht="32.25" hidden="1" customHeight="1" outlineLevel="1" x14ac:dyDescent="0.3">
      <c r="A943" s="905" t="s">
        <v>2371</v>
      </c>
      <c r="B943" s="876" t="s">
        <v>2372</v>
      </c>
      <c r="C943" s="826" t="s">
        <v>74</v>
      </c>
      <c r="D943" s="827">
        <f>402.3+41.41+152.6+5.07+19.33+11.47+38.14+17.25</f>
        <v>687.57000000000016</v>
      </c>
      <c r="E943" s="947">
        <v>420</v>
      </c>
      <c r="F943" s="948"/>
      <c r="G943" s="1056">
        <f t="shared" si="72"/>
        <v>288779.40000000008</v>
      </c>
      <c r="H943" s="1056">
        <f t="shared" si="73"/>
        <v>0</v>
      </c>
      <c r="I943" s="1056">
        <f t="shared" si="74"/>
        <v>288779.40000000008</v>
      </c>
      <c r="J943" s="950" t="s">
        <v>3639</v>
      </c>
    </row>
    <row r="944" spans="1:10" s="950" customFormat="1" hidden="1" outlineLevel="1" x14ac:dyDescent="0.3">
      <c r="A944" s="905" t="s">
        <v>2373</v>
      </c>
      <c r="B944" s="1247" t="s">
        <v>2374</v>
      </c>
      <c r="C944" s="1248" t="s">
        <v>34</v>
      </c>
      <c r="D944" s="1248">
        <f>ROUND(D943*0.05*1.03,2)</f>
        <v>35.409999999999997</v>
      </c>
      <c r="E944" s="1249"/>
      <c r="F944" s="1250"/>
      <c r="G944" s="1056">
        <f t="shared" si="72"/>
        <v>0</v>
      </c>
      <c r="H944" s="1056">
        <f t="shared" si="73"/>
        <v>0</v>
      </c>
      <c r="I944" s="1056">
        <f t="shared" si="74"/>
        <v>0</v>
      </c>
    </row>
    <row r="945" spans="1:10" s="950" customFormat="1" hidden="1" outlineLevel="1" x14ac:dyDescent="0.3">
      <c r="A945" s="905" t="s">
        <v>2375</v>
      </c>
      <c r="B945" s="1247" t="s">
        <v>2376</v>
      </c>
      <c r="C945" s="1248" t="s">
        <v>74</v>
      </c>
      <c r="D945" s="1248">
        <f>ROUND(D943*1.03,0)</f>
        <v>708</v>
      </c>
      <c r="E945" s="1249"/>
      <c r="F945" s="1250"/>
      <c r="G945" s="1056">
        <f t="shared" si="72"/>
        <v>0</v>
      </c>
      <c r="H945" s="1056">
        <f t="shared" si="73"/>
        <v>0</v>
      </c>
      <c r="I945" s="1056">
        <f t="shared" si="74"/>
        <v>0</v>
      </c>
    </row>
    <row r="946" spans="1:10" s="950" customFormat="1" ht="28.8" hidden="1" outlineLevel="1" x14ac:dyDescent="0.3">
      <c r="A946" s="905" t="s">
        <v>2377</v>
      </c>
      <c r="B946" s="876" t="s">
        <v>2378</v>
      </c>
      <c r="C946" s="826" t="s">
        <v>74</v>
      </c>
      <c r="D946" s="827">
        <f>6.35</f>
        <v>6.35</v>
      </c>
      <c r="E946" s="947">
        <v>380</v>
      </c>
      <c r="F946" s="948"/>
      <c r="G946" s="1056">
        <f t="shared" si="72"/>
        <v>2413</v>
      </c>
      <c r="H946" s="1056">
        <f t="shared" si="73"/>
        <v>0</v>
      </c>
      <c r="I946" s="1056">
        <f t="shared" si="74"/>
        <v>2413</v>
      </c>
      <c r="J946" s="950" t="s">
        <v>3639</v>
      </c>
    </row>
    <row r="947" spans="1:10" s="950" customFormat="1" hidden="1" outlineLevel="1" x14ac:dyDescent="0.3">
      <c r="A947" s="905" t="s">
        <v>2379</v>
      </c>
      <c r="B947" s="1247" t="s">
        <v>2374</v>
      </c>
      <c r="C947" s="1248" t="s">
        <v>34</v>
      </c>
      <c r="D947" s="1251">
        <f>ROUND(D946*0.04*1.03,2)</f>
        <v>0.26</v>
      </c>
      <c r="E947" s="1249"/>
      <c r="F947" s="1250"/>
      <c r="G947" s="1056">
        <f t="shared" si="72"/>
        <v>0</v>
      </c>
      <c r="H947" s="1056">
        <f t="shared" si="73"/>
        <v>0</v>
      </c>
      <c r="I947" s="1056">
        <f t="shared" si="74"/>
        <v>0</v>
      </c>
    </row>
    <row r="948" spans="1:10" s="950" customFormat="1" hidden="1" outlineLevel="1" x14ac:dyDescent="0.3">
      <c r="A948" s="905" t="s">
        <v>2380</v>
      </c>
      <c r="B948" s="1247" t="s">
        <v>2376</v>
      </c>
      <c r="C948" s="1248" t="s">
        <v>74</v>
      </c>
      <c r="D948" s="1248">
        <f>ROUND(D946*1.03,0)</f>
        <v>7</v>
      </c>
      <c r="E948" s="947"/>
      <c r="F948" s="948"/>
      <c r="G948" s="1056">
        <f t="shared" si="72"/>
        <v>0</v>
      </c>
      <c r="H948" s="1056">
        <f t="shared" si="73"/>
        <v>0</v>
      </c>
      <c r="I948" s="1056">
        <f t="shared" si="74"/>
        <v>0</v>
      </c>
    </row>
    <row r="949" spans="1:10" s="950" customFormat="1" ht="28.8" hidden="1" outlineLevel="1" x14ac:dyDescent="0.3">
      <c r="A949" s="905" t="s">
        <v>2381</v>
      </c>
      <c r="B949" s="876" t="s">
        <v>2382</v>
      </c>
      <c r="C949" s="826" t="s">
        <v>74</v>
      </c>
      <c r="D949" s="827">
        <f>77.84</f>
        <v>77.84</v>
      </c>
      <c r="E949" s="947">
        <v>500</v>
      </c>
      <c r="F949" s="948"/>
      <c r="G949" s="1056">
        <f t="shared" si="72"/>
        <v>38920</v>
      </c>
      <c r="H949" s="1056">
        <f t="shared" si="73"/>
        <v>0</v>
      </c>
      <c r="I949" s="1056">
        <f t="shared" si="74"/>
        <v>38920</v>
      </c>
      <c r="J949" s="950" t="s">
        <v>3639</v>
      </c>
    </row>
    <row r="950" spans="1:10" customFormat="1" hidden="1" outlineLevel="1" x14ac:dyDescent="0.3">
      <c r="A950" s="905" t="s">
        <v>2383</v>
      </c>
      <c r="B950" s="1247" t="s">
        <v>2374</v>
      </c>
      <c r="C950" s="1248" t="s">
        <v>34</v>
      </c>
      <c r="D950" s="1248">
        <f>ROUND(D949*0.075*1.03,2)</f>
        <v>6.01</v>
      </c>
      <c r="E950" s="965"/>
      <c r="F950" s="1252"/>
      <c r="G950" s="1056">
        <f t="shared" si="72"/>
        <v>0</v>
      </c>
      <c r="H950" s="1056">
        <f t="shared" si="73"/>
        <v>0</v>
      </c>
      <c r="I950" s="1056">
        <f t="shared" si="74"/>
        <v>0</v>
      </c>
    </row>
    <row r="951" spans="1:10" customFormat="1" hidden="1" outlineLevel="1" x14ac:dyDescent="0.3">
      <c r="A951" s="905" t="s">
        <v>2384</v>
      </c>
      <c r="B951" s="1247" t="s">
        <v>2376</v>
      </c>
      <c r="C951" s="1248" t="s">
        <v>74</v>
      </c>
      <c r="D951" s="1248">
        <f>ROUND(D949*1.03,0)</f>
        <v>80</v>
      </c>
      <c r="E951" s="965"/>
      <c r="F951" s="1252"/>
      <c r="G951" s="1056">
        <f t="shared" si="72"/>
        <v>0</v>
      </c>
      <c r="H951" s="1056">
        <f t="shared" si="73"/>
        <v>0</v>
      </c>
      <c r="I951" s="1056">
        <f t="shared" si="74"/>
        <v>0</v>
      </c>
    </row>
    <row r="952" spans="1:10" s="950" customFormat="1" ht="28.8" hidden="1" outlineLevel="1" x14ac:dyDescent="0.3">
      <c r="A952" s="905" t="s">
        <v>2385</v>
      </c>
      <c r="B952" s="876" t="s">
        <v>2386</v>
      </c>
      <c r="C952" s="826" t="s">
        <v>74</v>
      </c>
      <c r="D952" s="827">
        <f>608.88</f>
        <v>608.88</v>
      </c>
      <c r="E952" s="947">
        <v>500</v>
      </c>
      <c r="F952" s="948"/>
      <c r="G952" s="1056">
        <f t="shared" si="72"/>
        <v>304440</v>
      </c>
      <c r="H952" s="1056">
        <f t="shared" si="73"/>
        <v>0</v>
      </c>
      <c r="I952" s="1056">
        <f t="shared" si="74"/>
        <v>304440</v>
      </c>
      <c r="J952" s="950" t="s">
        <v>3639</v>
      </c>
    </row>
    <row r="953" spans="1:10" customFormat="1" hidden="1" outlineLevel="1" x14ac:dyDescent="0.3">
      <c r="A953" s="905" t="s">
        <v>2387</v>
      </c>
      <c r="B953" s="1247" t="s">
        <v>2374</v>
      </c>
      <c r="C953" s="1248" t="s">
        <v>34</v>
      </c>
      <c r="D953" s="1248">
        <f>ROUND(D952*0.07*1.03,2)</f>
        <v>43.9</v>
      </c>
      <c r="E953" s="1253"/>
      <c r="F953" s="1243"/>
      <c r="G953" s="1056">
        <f t="shared" si="72"/>
        <v>0</v>
      </c>
      <c r="H953" s="1056">
        <f t="shared" si="73"/>
        <v>0</v>
      </c>
      <c r="I953" s="1056">
        <f t="shared" si="74"/>
        <v>0</v>
      </c>
    </row>
    <row r="954" spans="1:10" customFormat="1" hidden="1" outlineLevel="1" x14ac:dyDescent="0.3">
      <c r="A954" s="905" t="s">
        <v>2388</v>
      </c>
      <c r="B954" s="1247" t="s">
        <v>2376</v>
      </c>
      <c r="C954" s="1248" t="s">
        <v>74</v>
      </c>
      <c r="D954" s="1248">
        <f>ROUND(D952*1.03,0)</f>
        <v>627</v>
      </c>
      <c r="E954" s="965"/>
      <c r="F954" s="1252"/>
      <c r="G954" s="1056">
        <f t="shared" si="72"/>
        <v>0</v>
      </c>
      <c r="H954" s="1056">
        <f t="shared" si="73"/>
        <v>0</v>
      </c>
      <c r="I954" s="1056">
        <f t="shared" si="74"/>
        <v>0</v>
      </c>
    </row>
    <row r="955" spans="1:10" s="950" customFormat="1" hidden="1" outlineLevel="1" x14ac:dyDescent="0.3">
      <c r="A955" s="905" t="s">
        <v>2389</v>
      </c>
      <c r="B955" s="876" t="s">
        <v>2390</v>
      </c>
      <c r="C955" s="826" t="s">
        <v>74</v>
      </c>
      <c r="D955" s="827">
        <f>10130.13+1274.85+2606.42</f>
        <v>14011.4</v>
      </c>
      <c r="E955" s="947">
        <v>380</v>
      </c>
      <c r="F955" s="948"/>
      <c r="G955" s="1056">
        <f t="shared" si="72"/>
        <v>5324332</v>
      </c>
      <c r="H955" s="1056">
        <f t="shared" si="73"/>
        <v>0</v>
      </c>
      <c r="I955" s="1056">
        <f t="shared" si="74"/>
        <v>5324332</v>
      </c>
      <c r="J955" s="950" t="s">
        <v>3639</v>
      </c>
    </row>
    <row r="956" spans="1:10" customFormat="1" hidden="1" outlineLevel="1" x14ac:dyDescent="0.3">
      <c r="A956" s="905" t="s">
        <v>2391</v>
      </c>
      <c r="B956" s="876" t="s">
        <v>2392</v>
      </c>
      <c r="C956" s="826" t="s">
        <v>34</v>
      </c>
      <c r="D956" s="1248">
        <f>ROUND(D955*0.04*1.03,2)</f>
        <v>577.27</v>
      </c>
      <c r="E956" s="947"/>
      <c r="F956" s="948"/>
      <c r="G956" s="1056">
        <f t="shared" si="72"/>
        <v>0</v>
      </c>
      <c r="H956" s="1056">
        <f t="shared" si="73"/>
        <v>0</v>
      </c>
      <c r="I956" s="1056">
        <f t="shared" si="74"/>
        <v>0</v>
      </c>
    </row>
    <row r="957" spans="1:10" customFormat="1" ht="28.8" hidden="1" outlineLevel="1" x14ac:dyDescent="0.3">
      <c r="A957" s="905" t="s">
        <v>2393</v>
      </c>
      <c r="B957" s="876" t="s">
        <v>2394</v>
      </c>
      <c r="C957" s="826" t="s">
        <v>74</v>
      </c>
      <c r="D957" s="827">
        <f>3.77</f>
        <v>3.77</v>
      </c>
      <c r="E957" s="947">
        <v>340</v>
      </c>
      <c r="F957" s="948"/>
      <c r="G957" s="1056">
        <f t="shared" si="72"/>
        <v>1281.8</v>
      </c>
      <c r="H957" s="1056">
        <f t="shared" si="73"/>
        <v>0</v>
      </c>
      <c r="I957" s="1056">
        <f t="shared" si="74"/>
        <v>1281.8</v>
      </c>
      <c r="J957" s="950" t="s">
        <v>3639</v>
      </c>
    </row>
    <row r="958" spans="1:10" customFormat="1" hidden="1" outlineLevel="1" x14ac:dyDescent="0.3">
      <c r="A958" s="905" t="s">
        <v>2395</v>
      </c>
      <c r="B958" s="876" t="s">
        <v>2392</v>
      </c>
      <c r="C958" s="826" t="s">
        <v>34</v>
      </c>
      <c r="D958" s="1248">
        <f>ROUND(D957*0.03*1.03,2)</f>
        <v>0.12</v>
      </c>
      <c r="E958" s="947"/>
      <c r="F958" s="948"/>
      <c r="G958" s="1056">
        <f t="shared" si="72"/>
        <v>0</v>
      </c>
      <c r="H958" s="1056">
        <f t="shared" si="73"/>
        <v>0</v>
      </c>
      <c r="I958" s="1056">
        <f t="shared" si="74"/>
        <v>0</v>
      </c>
    </row>
    <row r="959" spans="1:10" customFormat="1" hidden="1" outlineLevel="1" x14ac:dyDescent="0.3">
      <c r="A959" s="905" t="s">
        <v>2396</v>
      </c>
      <c r="B959" s="825" t="s">
        <v>2397</v>
      </c>
      <c r="C959" s="826" t="s">
        <v>74</v>
      </c>
      <c r="D959" s="827">
        <f>402.3+41.41+152.6+5.07+6.35+608.88</f>
        <v>1216.6100000000001</v>
      </c>
      <c r="E959" s="947">
        <v>0</v>
      </c>
      <c r="F959" s="948"/>
      <c r="G959" s="1056">
        <f t="shared" si="72"/>
        <v>0</v>
      </c>
      <c r="H959" s="1056">
        <f t="shared" si="73"/>
        <v>0</v>
      </c>
      <c r="I959" s="1056">
        <f t="shared" si="74"/>
        <v>0</v>
      </c>
      <c r="J959" t="s">
        <v>3640</v>
      </c>
    </row>
    <row r="960" spans="1:10" customFormat="1" hidden="1" outlineLevel="1" x14ac:dyDescent="0.3">
      <c r="A960" s="905" t="s">
        <v>2398</v>
      </c>
      <c r="B960" s="825" t="s">
        <v>2399</v>
      </c>
      <c r="C960" s="826" t="s">
        <v>74</v>
      </c>
      <c r="D960" s="827">
        <f>D959*1.01</f>
        <v>1228.7761</v>
      </c>
      <c r="E960" s="947"/>
      <c r="F960" s="948"/>
      <c r="G960" s="1056">
        <f t="shared" si="72"/>
        <v>0</v>
      </c>
      <c r="H960" s="1056">
        <f t="shared" si="73"/>
        <v>0</v>
      </c>
      <c r="I960" s="1056">
        <f t="shared" si="74"/>
        <v>0</v>
      </c>
    </row>
    <row r="961" spans="1:9" customFormat="1" ht="28.8" hidden="1" outlineLevel="1" x14ac:dyDescent="0.3">
      <c r="A961" s="905" t="s">
        <v>2400</v>
      </c>
      <c r="B961" s="876" t="s">
        <v>2401</v>
      </c>
      <c r="C961" s="826" t="s">
        <v>74</v>
      </c>
      <c r="D961" s="827">
        <f>41.41+5.07+6.35+162.53+1274.85</f>
        <v>1490.21</v>
      </c>
      <c r="E961" s="947">
        <v>100</v>
      </c>
      <c r="F961" s="998">
        <f>(I962+I963)/D961</f>
        <v>268.31935096395807</v>
      </c>
      <c r="G961" s="1056">
        <f t="shared" si="72"/>
        <v>149021</v>
      </c>
      <c r="H961" s="1058">
        <f t="shared" si="73"/>
        <v>399852.18</v>
      </c>
      <c r="I961" s="1056">
        <f>G961</f>
        <v>149021</v>
      </c>
    </row>
    <row r="962" spans="1:9" s="950" customFormat="1" ht="16.45" hidden="1" customHeight="1" outlineLevel="1" x14ac:dyDescent="0.3">
      <c r="A962" s="1254" t="s">
        <v>2402</v>
      </c>
      <c r="B962" s="825" t="s">
        <v>2403</v>
      </c>
      <c r="C962" s="1255" t="s">
        <v>311</v>
      </c>
      <c r="D962" s="1251">
        <f>ROUND(D961*0.35*2*1.03,0)</f>
        <v>1074</v>
      </c>
      <c r="E962" s="1012"/>
      <c r="F962" s="948">
        <v>80.92</v>
      </c>
      <c r="G962" s="1056">
        <f t="shared" si="72"/>
        <v>0</v>
      </c>
      <c r="H962" s="1056">
        <f t="shared" si="73"/>
        <v>86908.08</v>
      </c>
      <c r="I962" s="1056">
        <f t="shared" si="74"/>
        <v>86908.08</v>
      </c>
    </row>
    <row r="963" spans="1:9" customFormat="1" hidden="1" outlineLevel="1" x14ac:dyDescent="0.3">
      <c r="A963" s="1254" t="s">
        <v>2404</v>
      </c>
      <c r="B963" s="825" t="s">
        <v>2405</v>
      </c>
      <c r="C963" s="1255" t="s">
        <v>79</v>
      </c>
      <c r="D963" s="1251">
        <f>D961*2.8</f>
        <v>4172.5879999999997</v>
      </c>
      <c r="E963" s="947"/>
      <c r="F963" s="1192">
        <v>75</v>
      </c>
      <c r="G963" s="1056">
        <f t="shared" si="72"/>
        <v>0</v>
      </c>
      <c r="H963" s="1056">
        <f t="shared" si="73"/>
        <v>312944.09999999998</v>
      </c>
      <c r="I963" s="1056">
        <f t="shared" si="74"/>
        <v>312944.09999999998</v>
      </c>
    </row>
    <row r="964" spans="1:9" customFormat="1" hidden="1" outlineLevel="1" x14ac:dyDescent="0.3">
      <c r="A964" s="905" t="s">
        <v>2406</v>
      </c>
      <c r="B964" s="825" t="s">
        <v>2407</v>
      </c>
      <c r="C964" s="826" t="s">
        <v>74</v>
      </c>
      <c r="D964" s="827">
        <v>608.88</v>
      </c>
      <c r="E964" s="947">
        <v>120</v>
      </c>
      <c r="F964" s="998">
        <f>(I965+I966)/D964</f>
        <v>79.637945079490223</v>
      </c>
      <c r="G964" s="1056">
        <f t="shared" si="72"/>
        <v>73065.600000000006</v>
      </c>
      <c r="H964" s="1058">
        <f t="shared" si="73"/>
        <v>48489.952000000005</v>
      </c>
      <c r="I964" s="1056">
        <f>G964</f>
        <v>73065.600000000006</v>
      </c>
    </row>
    <row r="965" spans="1:9" customFormat="1" hidden="1" outlineLevel="1" x14ac:dyDescent="0.3">
      <c r="A965" s="905" t="s">
        <v>2408</v>
      </c>
      <c r="B965" s="825" t="s">
        <v>552</v>
      </c>
      <c r="C965" s="842" t="s">
        <v>74</v>
      </c>
      <c r="D965" s="845">
        <f>D964*1.05</f>
        <v>639.32400000000007</v>
      </c>
      <c r="E965" s="947"/>
      <c r="F965" s="1192">
        <v>48</v>
      </c>
      <c r="G965" s="1056">
        <f t="shared" si="72"/>
        <v>0</v>
      </c>
      <c r="H965" s="1056">
        <f t="shared" si="73"/>
        <v>30687.552000000003</v>
      </c>
      <c r="I965" s="1056">
        <f t="shared" si="74"/>
        <v>30687.552000000003</v>
      </c>
    </row>
    <row r="966" spans="1:9" customFormat="1" hidden="1" outlineLevel="1" x14ac:dyDescent="0.3">
      <c r="A966" s="905" t="s">
        <v>2409</v>
      </c>
      <c r="B966" s="825" t="s">
        <v>2403</v>
      </c>
      <c r="C966" s="1255" t="s">
        <v>311</v>
      </c>
      <c r="D966" s="1251">
        <f>ROUND(D964*0.35*1.03,0)</f>
        <v>220</v>
      </c>
      <c r="E966" s="947"/>
      <c r="F966" s="1192">
        <v>80.92</v>
      </c>
      <c r="G966" s="1056">
        <f t="shared" si="72"/>
        <v>0</v>
      </c>
      <c r="H966" s="1056">
        <f t="shared" si="73"/>
        <v>17802.400000000001</v>
      </c>
      <c r="I966" s="1056">
        <f t="shared" si="74"/>
        <v>17802.400000000001</v>
      </c>
    </row>
    <row r="967" spans="1:9" customFormat="1" hidden="1" outlineLevel="1" x14ac:dyDescent="0.3">
      <c r="A967" s="905" t="s">
        <v>2410</v>
      </c>
      <c r="B967" s="825" t="s">
        <v>2411</v>
      </c>
      <c r="C967" s="826" t="s">
        <v>74</v>
      </c>
      <c r="D967" s="827">
        <f>17.25</f>
        <v>17.25</v>
      </c>
      <c r="E967" s="947">
        <v>150</v>
      </c>
      <c r="F967" s="998">
        <f>(I968+I969)/D967</f>
        <v>351.12608695652182</v>
      </c>
      <c r="G967" s="1056">
        <f t="shared" si="72"/>
        <v>2587.5</v>
      </c>
      <c r="H967" s="1058">
        <f t="shared" si="73"/>
        <v>6056.9250000000011</v>
      </c>
      <c r="I967" s="1056">
        <f>G967</f>
        <v>2587.5</v>
      </c>
    </row>
    <row r="968" spans="1:9" customFormat="1" hidden="1" outlineLevel="1" x14ac:dyDescent="0.3">
      <c r="A968" s="905" t="s">
        <v>2412</v>
      </c>
      <c r="B968" s="825" t="s">
        <v>2413</v>
      </c>
      <c r="C968" s="842" t="s">
        <v>74</v>
      </c>
      <c r="D968" s="845">
        <f>D967*1.05*2</f>
        <v>36.225000000000001</v>
      </c>
      <c r="E968" s="947"/>
      <c r="F968" s="1192">
        <v>153.80000000000001</v>
      </c>
      <c r="G968" s="1056">
        <f t="shared" si="72"/>
        <v>0</v>
      </c>
      <c r="H968" s="1056">
        <f t="shared" si="73"/>
        <v>5571.4050000000007</v>
      </c>
      <c r="I968" s="1056">
        <f t="shared" si="74"/>
        <v>5571.4050000000007</v>
      </c>
    </row>
    <row r="969" spans="1:9" customFormat="1" hidden="1" outlineLevel="1" x14ac:dyDescent="0.3">
      <c r="A969" s="905" t="s">
        <v>2414</v>
      </c>
      <c r="B969" s="825" t="s">
        <v>2403</v>
      </c>
      <c r="C969" s="1255" t="s">
        <v>311</v>
      </c>
      <c r="D969" s="1251">
        <f>ROUND(D967*0.35*1.03,0)</f>
        <v>6</v>
      </c>
      <c r="E969" s="947"/>
      <c r="F969" s="1192">
        <v>80.92</v>
      </c>
      <c r="G969" s="1056">
        <f t="shared" si="72"/>
        <v>0</v>
      </c>
      <c r="H969" s="1056">
        <f t="shared" si="73"/>
        <v>485.52</v>
      </c>
      <c r="I969" s="1056">
        <f t="shared" si="74"/>
        <v>485.52</v>
      </c>
    </row>
    <row r="970" spans="1:9" customFormat="1" hidden="1" outlineLevel="1" x14ac:dyDescent="0.3">
      <c r="A970" s="905" t="s">
        <v>2415</v>
      </c>
      <c r="B970" s="825" t="s">
        <v>2416</v>
      </c>
      <c r="C970" s="826" t="s">
        <v>74</v>
      </c>
      <c r="D970" s="827">
        <f>402.3+41.41+152.6+5.07+6.35+608.88</f>
        <v>1216.6100000000001</v>
      </c>
      <c r="E970" s="947">
        <v>120</v>
      </c>
      <c r="F970" s="998">
        <f>(I971+I972)/D970</f>
        <v>150.78369074724031</v>
      </c>
      <c r="G970" s="1056">
        <f t="shared" si="72"/>
        <v>145993.20000000001</v>
      </c>
      <c r="H970" s="1058">
        <f t="shared" si="73"/>
        <v>183444.94600000005</v>
      </c>
      <c r="I970" s="1056">
        <f>G970</f>
        <v>145993.20000000001</v>
      </c>
    </row>
    <row r="971" spans="1:9" customFormat="1" hidden="1" outlineLevel="1" x14ac:dyDescent="0.3">
      <c r="A971" s="905" t="s">
        <v>2417</v>
      </c>
      <c r="B971" s="825" t="s">
        <v>2418</v>
      </c>
      <c r="C971" s="826" t="s">
        <v>34</v>
      </c>
      <c r="D971" s="827">
        <f>(402.3+41.41+152.6+5.07+6.35)*0.05</f>
        <v>30.386500000000009</v>
      </c>
      <c r="E971" s="947"/>
      <c r="F971" s="1192">
        <v>4420</v>
      </c>
      <c r="G971" s="1056">
        <f t="shared" si="72"/>
        <v>0</v>
      </c>
      <c r="H971" s="1056">
        <f t="shared" si="73"/>
        <v>134308.33000000005</v>
      </c>
      <c r="I971" s="1056">
        <f t="shared" si="74"/>
        <v>134308.33000000005</v>
      </c>
    </row>
    <row r="972" spans="1:9" customFormat="1" hidden="1" outlineLevel="1" x14ac:dyDescent="0.3">
      <c r="A972" s="905" t="s">
        <v>2419</v>
      </c>
      <c r="B972" s="825" t="s">
        <v>2420</v>
      </c>
      <c r="C972" s="826" t="s">
        <v>34</v>
      </c>
      <c r="D972" s="827">
        <f>608.88*0.02</f>
        <v>12.1776</v>
      </c>
      <c r="E972" s="947"/>
      <c r="F972" s="1192">
        <v>4035</v>
      </c>
      <c r="G972" s="1056">
        <f t="shared" si="72"/>
        <v>0</v>
      </c>
      <c r="H972" s="1056">
        <f t="shared" si="73"/>
        <v>49136.616000000002</v>
      </c>
      <c r="I972" s="1056">
        <f t="shared" si="74"/>
        <v>49136.616000000002</v>
      </c>
    </row>
    <row r="973" spans="1:9" s="950" customFormat="1" ht="28.8" hidden="1" outlineLevel="1" x14ac:dyDescent="0.3">
      <c r="A973" s="905" t="s">
        <v>2421</v>
      </c>
      <c r="B973" s="825" t="s">
        <v>2422</v>
      </c>
      <c r="C973" s="826" t="s">
        <v>74</v>
      </c>
      <c r="D973" s="827">
        <f>(D974+D975+D976)/1.1</f>
        <v>3303.3999999999996</v>
      </c>
      <c r="E973" s="947">
        <v>350</v>
      </c>
      <c r="F973" s="998">
        <f>(I974+I975+I976+I977+I978+I979)/D973</f>
        <v>715.64278985287888</v>
      </c>
      <c r="G973" s="1056">
        <f t="shared" si="72"/>
        <v>1156189.9999999998</v>
      </c>
      <c r="H973" s="1058">
        <f t="shared" si="73"/>
        <v>2364054.392</v>
      </c>
      <c r="I973" s="1056">
        <f>G973</f>
        <v>1156189.9999999998</v>
      </c>
    </row>
    <row r="974" spans="1:9" customFormat="1" hidden="1" outlineLevel="1" x14ac:dyDescent="0.3">
      <c r="A974" s="905" t="s">
        <v>2423</v>
      </c>
      <c r="B974" s="825" t="s">
        <v>1726</v>
      </c>
      <c r="C974" s="826" t="s">
        <v>74</v>
      </c>
      <c r="D974" s="827">
        <f>(3.79+3.77+77.84)*1.1</f>
        <v>93.940000000000012</v>
      </c>
      <c r="E974" s="947"/>
      <c r="F974" s="1192">
        <v>1250</v>
      </c>
      <c r="G974" s="1056">
        <f t="shared" si="72"/>
        <v>0</v>
      </c>
      <c r="H974" s="1056">
        <f t="shared" si="73"/>
        <v>117425.00000000001</v>
      </c>
      <c r="I974" s="1056">
        <f t="shared" si="74"/>
        <v>117425.00000000001</v>
      </c>
    </row>
    <row r="975" spans="1:9" customFormat="1" hidden="1" outlineLevel="1" x14ac:dyDescent="0.3">
      <c r="A975" s="905" t="s">
        <v>2424</v>
      </c>
      <c r="B975" s="825" t="s">
        <v>2425</v>
      </c>
      <c r="C975" s="826" t="s">
        <v>74</v>
      </c>
      <c r="D975" s="827">
        <f>(152.6+5.07+6.35+19.33+2606.42+265.7)*1.1</f>
        <v>3361.0169999999998</v>
      </c>
      <c r="E975" s="947"/>
      <c r="F975" s="1192">
        <v>395</v>
      </c>
      <c r="G975" s="1056">
        <f t="shared" si="72"/>
        <v>0</v>
      </c>
      <c r="H975" s="1056">
        <f t="shared" si="73"/>
        <v>1327601.7149999999</v>
      </c>
      <c r="I975" s="1056">
        <f t="shared" si="74"/>
        <v>1327601.7149999999</v>
      </c>
    </row>
    <row r="976" spans="1:9" customFormat="1" hidden="1" outlineLevel="1" x14ac:dyDescent="0.3">
      <c r="A976" s="905" t="s">
        <v>2426</v>
      </c>
      <c r="B976" s="825" t="s">
        <v>2427</v>
      </c>
      <c r="C976" s="826" t="s">
        <v>74</v>
      </c>
      <c r="D976" s="827">
        <f>162.53*1.1</f>
        <v>178.78300000000002</v>
      </c>
      <c r="E976" s="947"/>
      <c r="F976" s="1192">
        <v>515</v>
      </c>
      <c r="G976" s="1056">
        <f t="shared" si="72"/>
        <v>0</v>
      </c>
      <c r="H976" s="1056">
        <f t="shared" si="73"/>
        <v>92073.24500000001</v>
      </c>
      <c r="I976" s="1056">
        <f t="shared" si="74"/>
        <v>92073.24500000001</v>
      </c>
    </row>
    <row r="977" spans="1:9" customFormat="1" hidden="1" outlineLevel="1" x14ac:dyDescent="0.3">
      <c r="A977" s="905" t="s">
        <v>2428</v>
      </c>
      <c r="B977" s="825" t="s">
        <v>2429</v>
      </c>
      <c r="C977" s="826" t="s">
        <v>79</v>
      </c>
      <c r="D977" s="845">
        <f>ROUND(D974*12,2)</f>
        <v>1127.28</v>
      </c>
      <c r="E977" s="947"/>
      <c r="F977" s="1192">
        <v>18.399999999999999</v>
      </c>
      <c r="G977" s="1056">
        <f t="shared" ref="G977:G984" si="75">D977*E977</f>
        <v>0</v>
      </c>
      <c r="H977" s="1056">
        <f t="shared" ref="H977:H984" si="76">D977*F977</f>
        <v>20741.951999999997</v>
      </c>
      <c r="I977" s="1056">
        <f t="shared" ref="I977:I984" si="77">G977+H977</f>
        <v>20741.951999999997</v>
      </c>
    </row>
    <row r="978" spans="1:9" customFormat="1" hidden="1" outlineLevel="1" x14ac:dyDescent="0.3">
      <c r="A978" s="905" t="s">
        <v>2430</v>
      </c>
      <c r="B978" s="825" t="s">
        <v>2431</v>
      </c>
      <c r="C978" s="826" t="s">
        <v>79</v>
      </c>
      <c r="D978" s="845">
        <f>ROUND(D975*12,2)</f>
        <v>40332.199999999997</v>
      </c>
      <c r="E978" s="947"/>
      <c r="F978" s="1192">
        <v>18.399999999999999</v>
      </c>
      <c r="G978" s="1056">
        <f t="shared" si="75"/>
        <v>0</v>
      </c>
      <c r="H978" s="1056">
        <f t="shared" si="76"/>
        <v>742112.47999999986</v>
      </c>
      <c r="I978" s="1056">
        <f t="shared" si="77"/>
        <v>742112.47999999986</v>
      </c>
    </row>
    <row r="979" spans="1:9" customFormat="1" hidden="1" outlineLevel="1" x14ac:dyDescent="0.3">
      <c r="A979" s="905" t="s">
        <v>2432</v>
      </c>
      <c r="B979" s="825" t="s">
        <v>2433</v>
      </c>
      <c r="C979" s="826" t="s">
        <v>79</v>
      </c>
      <c r="D979" s="845">
        <f>ROUND(D973*0.194,0)</f>
        <v>641</v>
      </c>
      <c r="E979" s="947"/>
      <c r="F979" s="1192">
        <v>100</v>
      </c>
      <c r="G979" s="1056">
        <f t="shared" si="75"/>
        <v>0</v>
      </c>
      <c r="H979" s="1056">
        <f t="shared" si="76"/>
        <v>64100</v>
      </c>
      <c r="I979" s="1056">
        <f t="shared" si="77"/>
        <v>64100</v>
      </c>
    </row>
    <row r="980" spans="1:9" s="950" customFormat="1" hidden="1" outlineLevel="1" x14ac:dyDescent="0.3">
      <c r="A980" s="905" t="s">
        <v>2434</v>
      </c>
      <c r="B980" s="825" t="s">
        <v>2435</v>
      </c>
      <c r="C980" s="826" t="s">
        <v>318</v>
      </c>
      <c r="D980" s="845">
        <f>2375.201</f>
        <v>2375.201</v>
      </c>
      <c r="E980" s="947">
        <v>100</v>
      </c>
      <c r="F980" s="998">
        <f>(I981+I982)/D980</f>
        <v>24.016668905073715</v>
      </c>
      <c r="G980" s="1056">
        <f t="shared" si="75"/>
        <v>237520.1</v>
      </c>
      <c r="H980" s="1058">
        <f t="shared" si="76"/>
        <v>57044.41599999999</v>
      </c>
      <c r="I980" s="1056">
        <f>G980</f>
        <v>237520.1</v>
      </c>
    </row>
    <row r="981" spans="1:9" customFormat="1" hidden="1" outlineLevel="1" x14ac:dyDescent="0.3">
      <c r="A981" s="905" t="s">
        <v>2436</v>
      </c>
      <c r="B981" s="825" t="s">
        <v>1728</v>
      </c>
      <c r="C981" s="826" t="s">
        <v>79</v>
      </c>
      <c r="D981" s="845">
        <f>ROUND((D980*0.1)*12,2)</f>
        <v>2850.24</v>
      </c>
      <c r="E981" s="947"/>
      <c r="F981" s="1192">
        <v>18.399999999999999</v>
      </c>
      <c r="G981" s="1056">
        <f t="shared" si="75"/>
        <v>0</v>
      </c>
      <c r="H981" s="1056">
        <f t="shared" si="76"/>
        <v>52444.41599999999</v>
      </c>
      <c r="I981" s="1056">
        <f t="shared" si="77"/>
        <v>52444.41599999999</v>
      </c>
    </row>
    <row r="982" spans="1:9" customFormat="1" hidden="1" outlineLevel="1" x14ac:dyDescent="0.3">
      <c r="A982" s="905" t="s">
        <v>2437</v>
      </c>
      <c r="B982" s="825" t="s">
        <v>2433</v>
      </c>
      <c r="C982" s="826" t="s">
        <v>79</v>
      </c>
      <c r="D982" s="845">
        <f>ROUND((D980*0.1)*0.194,0)</f>
        <v>46</v>
      </c>
      <c r="E982" s="947"/>
      <c r="F982" s="1192">
        <v>100</v>
      </c>
      <c r="G982" s="1056">
        <f t="shared" si="75"/>
        <v>0</v>
      </c>
      <c r="H982" s="1056">
        <f t="shared" si="76"/>
        <v>4600</v>
      </c>
      <c r="I982" s="1056">
        <f t="shared" si="77"/>
        <v>4600</v>
      </c>
    </row>
    <row r="983" spans="1:9" customFormat="1" hidden="1" outlineLevel="1" x14ac:dyDescent="0.3">
      <c r="A983" s="905" t="s">
        <v>2438</v>
      </c>
      <c r="B983" s="825" t="s">
        <v>2439</v>
      </c>
      <c r="C983" s="826" t="s">
        <v>74</v>
      </c>
      <c r="D983" s="845">
        <f>11.47</f>
        <v>11.47</v>
      </c>
      <c r="E983" s="947">
        <v>100</v>
      </c>
      <c r="F983" s="998">
        <f>I984/D983</f>
        <v>480</v>
      </c>
      <c r="G983" s="1056">
        <f t="shared" si="75"/>
        <v>1147</v>
      </c>
      <c r="H983" s="1058">
        <f t="shared" si="76"/>
        <v>5505.6</v>
      </c>
      <c r="I983" s="1056">
        <f>G983</f>
        <v>1147</v>
      </c>
    </row>
    <row r="984" spans="1:9" customFormat="1" hidden="1" outlineLevel="1" x14ac:dyDescent="0.3">
      <c r="A984" s="905" t="s">
        <v>2440</v>
      </c>
      <c r="B984" s="825" t="s">
        <v>2441</v>
      </c>
      <c r="C984" s="826" t="s">
        <v>34</v>
      </c>
      <c r="D984" s="827">
        <f>D983*0.3</f>
        <v>3.4410000000000003</v>
      </c>
      <c r="E984" s="947"/>
      <c r="F984" s="1192">
        <v>1600</v>
      </c>
      <c r="G984" s="1056">
        <f t="shared" si="75"/>
        <v>0</v>
      </c>
      <c r="H984" s="1056">
        <f t="shared" si="76"/>
        <v>5505.6</v>
      </c>
      <c r="I984" s="1056">
        <f t="shared" si="77"/>
        <v>5505.6</v>
      </c>
    </row>
    <row r="985" spans="1:9" collapsed="1" x14ac:dyDescent="0.3">
      <c r="A985" s="17" t="s">
        <v>864</v>
      </c>
      <c r="B985" s="18" t="s">
        <v>15</v>
      </c>
      <c r="C985" s="1064" t="s">
        <v>44</v>
      </c>
      <c r="D985" s="88">
        <v>3</v>
      </c>
      <c r="E985" s="1065"/>
      <c r="F985" s="1065"/>
      <c r="G985" s="1057">
        <f>SUM(G986:G992)</f>
        <v>2544556.5699999998</v>
      </c>
      <c r="H985" s="1057">
        <f>SUM(H986:H992)</f>
        <v>9099405.1134799998</v>
      </c>
      <c r="I985" s="1057">
        <f>SUM(I986:I992)</f>
        <v>11643961.683479998</v>
      </c>
    </row>
    <row r="986" spans="1:9" s="22" customFormat="1" hidden="1" outlineLevel="1" x14ac:dyDescent="0.3">
      <c r="A986" s="39" t="s">
        <v>2938</v>
      </c>
      <c r="B986" s="451" t="s">
        <v>1211</v>
      </c>
      <c r="C986" s="1021" t="s">
        <v>74</v>
      </c>
      <c r="D986" s="144">
        <f>2*23</f>
        <v>46</v>
      </c>
      <c r="E986" s="146">
        <v>1300</v>
      </c>
      <c r="F986" s="108">
        <v>5420</v>
      </c>
      <c r="G986" s="1068">
        <f t="shared" ref="G986:G992" si="78">D986*E986</f>
        <v>59800</v>
      </c>
      <c r="H986" s="1068">
        <f t="shared" ref="H986:H992" si="79">D986*F986</f>
        <v>249320</v>
      </c>
      <c r="I986" s="1068">
        <f t="shared" ref="I986:I992" si="80">G986+H986</f>
        <v>309120</v>
      </c>
    </row>
    <row r="987" spans="1:9" s="22" customFormat="1" hidden="1" outlineLevel="1" x14ac:dyDescent="0.3">
      <c r="A987" s="39" t="s">
        <v>2442</v>
      </c>
      <c r="B987" s="143" t="s">
        <v>732</v>
      </c>
      <c r="C987" s="1021" t="s">
        <v>74</v>
      </c>
      <c r="D987" s="1021">
        <f>((2.68+1.73)*2*75.53+(2.68*1.73)*2-(1.35*2.2*23+1.35*2.26))+((2.28+2.18)*2*2*75.53++(2.28*2.18)*2*2-(1.15*2.2*23+1.15*2.26)*2)</f>
        <v>1849.8452000000002</v>
      </c>
      <c r="E987" s="163">
        <v>35</v>
      </c>
      <c r="F987" s="163"/>
      <c r="G987" s="1068">
        <f t="shared" si="78"/>
        <v>64744.582000000009</v>
      </c>
      <c r="H987" s="1068">
        <f t="shared" si="79"/>
        <v>0</v>
      </c>
      <c r="I987" s="1068">
        <f t="shared" si="80"/>
        <v>64744.582000000009</v>
      </c>
    </row>
    <row r="988" spans="1:9" hidden="1" outlineLevel="1" x14ac:dyDescent="0.3">
      <c r="A988" s="39" t="s">
        <v>2443</v>
      </c>
      <c r="B988" s="143" t="s">
        <v>733</v>
      </c>
      <c r="C988" s="1021" t="s">
        <v>79</v>
      </c>
      <c r="D988" s="144">
        <f>D987*0.2</f>
        <v>369.96904000000006</v>
      </c>
      <c r="E988" s="1256"/>
      <c r="F988" s="1256">
        <v>74.5</v>
      </c>
      <c r="G988" s="1068">
        <f t="shared" si="78"/>
        <v>0</v>
      </c>
      <c r="H988" s="1068">
        <f t="shared" si="79"/>
        <v>27562.693480000005</v>
      </c>
      <c r="I988" s="1068">
        <f t="shared" si="80"/>
        <v>27562.693480000005</v>
      </c>
    </row>
    <row r="989" spans="1:9" s="22" customFormat="1" hidden="1" outlineLevel="1" x14ac:dyDescent="0.3">
      <c r="A989" s="39" t="s">
        <v>2444</v>
      </c>
      <c r="B989" s="143" t="s">
        <v>734</v>
      </c>
      <c r="C989" s="1021" t="s">
        <v>74</v>
      </c>
      <c r="D989" s="1021">
        <v>35</v>
      </c>
      <c r="E989" s="163">
        <v>100</v>
      </c>
      <c r="F989" s="163"/>
      <c r="G989" s="1068">
        <f t="shared" si="78"/>
        <v>3500</v>
      </c>
      <c r="H989" s="1068">
        <f t="shared" si="79"/>
        <v>0</v>
      </c>
      <c r="I989" s="1068">
        <f t="shared" si="80"/>
        <v>3500</v>
      </c>
    </row>
    <row r="990" spans="1:9" hidden="1" outlineLevel="1" x14ac:dyDescent="0.3">
      <c r="A990" s="39" t="s">
        <v>2445</v>
      </c>
      <c r="B990" s="451" t="s">
        <v>735</v>
      </c>
      <c r="C990" s="1021" t="s">
        <v>79</v>
      </c>
      <c r="D990" s="144">
        <f>D989*0.2</f>
        <v>7</v>
      </c>
      <c r="E990" s="1256"/>
      <c r="F990" s="1256">
        <v>312.86</v>
      </c>
      <c r="G990" s="1067">
        <f t="shared" si="78"/>
        <v>0</v>
      </c>
      <c r="H990" s="1067">
        <f t="shared" si="79"/>
        <v>2190.02</v>
      </c>
      <c r="I990" s="1067">
        <f t="shared" si="80"/>
        <v>2190.02</v>
      </c>
    </row>
    <row r="991" spans="1:9" ht="43.85" hidden="1" outlineLevel="1" x14ac:dyDescent="0.3">
      <c r="A991" s="39" t="s">
        <v>2451</v>
      </c>
      <c r="B991" s="1257" t="s">
        <v>1212</v>
      </c>
      <c r="C991" s="1021" t="s">
        <v>44</v>
      </c>
      <c r="D991" s="144">
        <v>1</v>
      </c>
      <c r="E991" s="108">
        <f>671253.33*1.2</f>
        <v>805503.99599999993</v>
      </c>
      <c r="F991" s="108">
        <f>2410431*1.2</f>
        <v>2892517.1999999997</v>
      </c>
      <c r="G991" s="1067">
        <f t="shared" si="78"/>
        <v>805503.99599999993</v>
      </c>
      <c r="H991" s="1067">
        <f t="shared" si="79"/>
        <v>2892517.1999999997</v>
      </c>
      <c r="I991" s="1067">
        <f t="shared" si="80"/>
        <v>3698021.1959999995</v>
      </c>
    </row>
    <row r="992" spans="1:9" ht="87.05" hidden="1" outlineLevel="1" x14ac:dyDescent="0.3">
      <c r="A992" s="39" t="s">
        <v>2939</v>
      </c>
      <c r="B992" s="1258" t="s">
        <v>1213</v>
      </c>
      <c r="C992" s="1021" t="s">
        <v>44</v>
      </c>
      <c r="D992" s="144">
        <v>2</v>
      </c>
      <c r="E992" s="108">
        <f>671253.33*1.2</f>
        <v>805503.99599999993</v>
      </c>
      <c r="F992" s="108">
        <f>2469923*1.2</f>
        <v>2963907.6</v>
      </c>
      <c r="G992" s="1067">
        <f t="shared" si="78"/>
        <v>1611007.9919999999</v>
      </c>
      <c r="H992" s="1067">
        <f t="shared" si="79"/>
        <v>5927815.2000000002</v>
      </c>
      <c r="I992" s="1067">
        <f t="shared" si="80"/>
        <v>7538823.1919999998</v>
      </c>
    </row>
    <row r="993" spans="1:9" collapsed="1" x14ac:dyDescent="0.3">
      <c r="A993" s="1033" t="s">
        <v>866</v>
      </c>
      <c r="B993" s="1013" t="s">
        <v>1067</v>
      </c>
      <c r="C993" s="1014"/>
      <c r="D993" s="1014"/>
      <c r="E993" s="1015"/>
      <c r="F993" s="1015"/>
      <c r="G993" s="1040">
        <f>G994+G1045+G1063+G1070+G1072+G1074+G1084+G1086+G1160+G1165+G1168+G1198+G1203+G1209+G1212</f>
        <v>2869651.9</v>
      </c>
      <c r="H993" s="1040">
        <f t="shared" ref="H993" si="81">H994+H1045+H1063+H1070+H1072+H1074+H1084+H1086+H1160+H1165+H1168+H1198+H1203+H1209+H1212</f>
        <v>10329922.877264865</v>
      </c>
      <c r="I993" s="1040">
        <f>I994+I1045+I1063+I1070+I1072+I1074+I1084+I1086+I1160+I1165+I1168+I1198+I1203+I1209+I1212</f>
        <v>13199574.777264865</v>
      </c>
    </row>
    <row r="994" spans="1:9" s="7" customFormat="1" ht="14.4" hidden="1" outlineLevel="1" collapsed="1" x14ac:dyDescent="0.25">
      <c r="A994" s="1091" t="s">
        <v>2456</v>
      </c>
      <c r="B994" s="1092" t="s">
        <v>1221</v>
      </c>
      <c r="C994" s="1093" t="s">
        <v>318</v>
      </c>
      <c r="D994" s="1093">
        <f>SUM(D995:D1003)</f>
        <v>4665</v>
      </c>
      <c r="E994" s="1094"/>
      <c r="F994" s="1094"/>
      <c r="G994" s="1095">
        <f>SUM(G995:G1044)</f>
        <v>638190</v>
      </c>
      <c r="H994" s="1095">
        <f>SUM(H995:H1044)</f>
        <v>639515.57455300016</v>
      </c>
      <c r="I994" s="1096">
        <f>SUM(G994:H994)</f>
        <v>1277705.5745530003</v>
      </c>
    </row>
    <row r="995" spans="1:9" s="7" customFormat="1" ht="14.4" hidden="1" outlineLevel="2" x14ac:dyDescent="0.25">
      <c r="A995" s="1097" t="s">
        <v>2954</v>
      </c>
      <c r="B995" s="1098" t="s">
        <v>1223</v>
      </c>
      <c r="C995" s="1099" t="s">
        <v>281</v>
      </c>
      <c r="D995" s="1099">
        <v>103</v>
      </c>
      <c r="E995" s="1259">
        <v>280</v>
      </c>
      <c r="F995" s="1259">
        <v>373.43</v>
      </c>
      <c r="G995" s="1096">
        <f>PRODUCT(E995,D995)</f>
        <v>28840</v>
      </c>
      <c r="H995" s="1096">
        <f>PRODUCT(F995,D995)</f>
        <v>38463.29</v>
      </c>
      <c r="I995" s="1096">
        <f>SUM(G995:H995)</f>
        <v>67303.290000000008</v>
      </c>
    </row>
    <row r="996" spans="1:9" s="7" customFormat="1" ht="14.4" hidden="1" outlineLevel="2" x14ac:dyDescent="0.25">
      <c r="A996" s="1097" t="s">
        <v>2955</v>
      </c>
      <c r="B996" s="1098" t="s">
        <v>1225</v>
      </c>
      <c r="C996" s="1099" t="s">
        <v>281</v>
      </c>
      <c r="D996" s="1099">
        <v>68</v>
      </c>
      <c r="E996" s="1260">
        <v>280</v>
      </c>
      <c r="F996" s="1260">
        <v>313.05</v>
      </c>
      <c r="G996" s="1096">
        <f t="shared" ref="G996:G1044" si="82">PRODUCT(E996,D996)</f>
        <v>19040</v>
      </c>
      <c r="H996" s="1096">
        <f t="shared" ref="H996:H1044" si="83">PRODUCT(F996,D996)</f>
        <v>21287.4</v>
      </c>
      <c r="I996" s="1096">
        <f t="shared" ref="I996:I1044" si="84">SUM(G996:H996)</f>
        <v>40327.4</v>
      </c>
    </row>
    <row r="997" spans="1:9" s="7" customFormat="1" ht="14.4" hidden="1" outlineLevel="2" x14ac:dyDescent="0.25">
      <c r="A997" s="1097" t="s">
        <v>2956</v>
      </c>
      <c r="B997" s="1098" t="s">
        <v>1227</v>
      </c>
      <c r="C997" s="1099" t="s">
        <v>281</v>
      </c>
      <c r="D997" s="1099">
        <v>74</v>
      </c>
      <c r="E997" s="1261">
        <v>280</v>
      </c>
      <c r="F997" s="1261">
        <v>265.5</v>
      </c>
      <c r="G997" s="1096">
        <f t="shared" si="82"/>
        <v>20720</v>
      </c>
      <c r="H997" s="1096">
        <f t="shared" si="83"/>
        <v>19647</v>
      </c>
      <c r="I997" s="1096">
        <f t="shared" si="84"/>
        <v>40367</v>
      </c>
    </row>
    <row r="998" spans="1:9" s="7" customFormat="1" ht="14.4" hidden="1" outlineLevel="2" x14ac:dyDescent="0.25">
      <c r="A998" s="1097" t="s">
        <v>2957</v>
      </c>
      <c r="B998" s="1098" t="s">
        <v>1229</v>
      </c>
      <c r="C998" s="1099" t="s">
        <v>281</v>
      </c>
      <c r="D998" s="1099">
        <v>45</v>
      </c>
      <c r="E998" s="1262">
        <v>250</v>
      </c>
      <c r="F998" s="1262">
        <v>195.9</v>
      </c>
      <c r="G998" s="1096">
        <f t="shared" si="82"/>
        <v>11250</v>
      </c>
      <c r="H998" s="1096">
        <f t="shared" si="83"/>
        <v>8815.5</v>
      </c>
      <c r="I998" s="1096">
        <f t="shared" si="84"/>
        <v>20065.5</v>
      </c>
    </row>
    <row r="999" spans="1:9" s="7" customFormat="1" ht="14.4" hidden="1" outlineLevel="2" x14ac:dyDescent="0.25">
      <c r="A999" s="1097" t="s">
        <v>2958</v>
      </c>
      <c r="B999" s="1098" t="s">
        <v>1231</v>
      </c>
      <c r="C999" s="1099" t="s">
        <v>281</v>
      </c>
      <c r="D999" s="1099">
        <v>37</v>
      </c>
      <c r="E999" s="1263">
        <v>200</v>
      </c>
      <c r="F999" s="1263">
        <v>166.1</v>
      </c>
      <c r="G999" s="1096">
        <f t="shared" si="82"/>
        <v>7400</v>
      </c>
      <c r="H999" s="1096">
        <f t="shared" si="83"/>
        <v>6145.7</v>
      </c>
      <c r="I999" s="1096">
        <f t="shared" si="84"/>
        <v>13545.7</v>
      </c>
    </row>
    <row r="1000" spans="1:9" s="7" customFormat="1" ht="14.4" hidden="1" outlineLevel="2" x14ac:dyDescent="0.25">
      <c r="A1000" s="1097" t="s">
        <v>2959</v>
      </c>
      <c r="B1000" s="1098" t="s">
        <v>1233</v>
      </c>
      <c r="C1000" s="1099" t="s">
        <v>281</v>
      </c>
      <c r="D1000" s="1099">
        <v>25</v>
      </c>
      <c r="E1000" s="1264">
        <v>150</v>
      </c>
      <c r="F1000" s="1264">
        <v>135.05000000000001</v>
      </c>
      <c r="G1000" s="1096">
        <f t="shared" si="82"/>
        <v>3750</v>
      </c>
      <c r="H1000" s="1096">
        <f t="shared" si="83"/>
        <v>3376.2500000000005</v>
      </c>
      <c r="I1000" s="1096">
        <f t="shared" si="84"/>
        <v>7126.25</v>
      </c>
    </row>
    <row r="1001" spans="1:9" s="7" customFormat="1" ht="14.4" hidden="1" outlineLevel="2" x14ac:dyDescent="0.25">
      <c r="A1001" s="1097" t="s">
        <v>2960</v>
      </c>
      <c r="B1001" s="1098" t="s">
        <v>1235</v>
      </c>
      <c r="C1001" s="1099" t="s">
        <v>281</v>
      </c>
      <c r="D1001" s="1099">
        <v>2913</v>
      </c>
      <c r="E1001" s="1265">
        <v>130</v>
      </c>
      <c r="F1001" s="1265">
        <v>104.69</v>
      </c>
      <c r="G1001" s="1096">
        <f t="shared" si="82"/>
        <v>378690</v>
      </c>
      <c r="H1001" s="1096">
        <f t="shared" si="83"/>
        <v>304961.96999999997</v>
      </c>
      <c r="I1001" s="1096">
        <f t="shared" si="84"/>
        <v>683651.97</v>
      </c>
    </row>
    <row r="1002" spans="1:9" s="7" customFormat="1" ht="14.4" hidden="1" outlineLevel="2" x14ac:dyDescent="0.25">
      <c r="A1002" s="1097" t="s">
        <v>2961</v>
      </c>
      <c r="B1002" s="1098" t="s">
        <v>1237</v>
      </c>
      <c r="C1002" s="1099" t="s">
        <v>281</v>
      </c>
      <c r="D1002" s="1099">
        <v>941</v>
      </c>
      <c r="E1002" s="1266">
        <v>120</v>
      </c>
      <c r="F1002" s="1266">
        <v>72.56</v>
      </c>
      <c r="G1002" s="1096">
        <f t="shared" si="82"/>
        <v>112920</v>
      </c>
      <c r="H1002" s="1096">
        <f t="shared" si="83"/>
        <v>68278.960000000006</v>
      </c>
      <c r="I1002" s="1096">
        <f t="shared" si="84"/>
        <v>181198.96000000002</v>
      </c>
    </row>
    <row r="1003" spans="1:9" s="7" customFormat="1" ht="14.4" hidden="1" outlineLevel="2" x14ac:dyDescent="0.25">
      <c r="A1003" s="1097" t="s">
        <v>2962</v>
      </c>
      <c r="B1003" s="1098" t="s">
        <v>1239</v>
      </c>
      <c r="C1003" s="1099" t="s">
        <v>281</v>
      </c>
      <c r="D1003" s="1099">
        <v>459</v>
      </c>
      <c r="E1003" s="1267">
        <v>120</v>
      </c>
      <c r="F1003" s="1267">
        <v>57.23</v>
      </c>
      <c r="G1003" s="1096">
        <f t="shared" si="82"/>
        <v>55080</v>
      </c>
      <c r="H1003" s="1096">
        <f t="shared" si="83"/>
        <v>26268.57</v>
      </c>
      <c r="I1003" s="1096">
        <f t="shared" si="84"/>
        <v>81348.570000000007</v>
      </c>
    </row>
    <row r="1004" spans="1:9" s="7" customFormat="1" ht="14.4" hidden="1" outlineLevel="2" x14ac:dyDescent="0.25">
      <c r="A1004" s="1097" t="s">
        <v>2963</v>
      </c>
      <c r="B1004" s="1098" t="s">
        <v>1241</v>
      </c>
      <c r="C1004" s="1099" t="s">
        <v>96</v>
      </c>
      <c r="D1004" s="1099">
        <v>31</v>
      </c>
      <c r="E1004" s="1100">
        <v>0</v>
      </c>
      <c r="F1004" s="1105">
        <v>283.41000000000003</v>
      </c>
      <c r="G1004" s="1096">
        <f t="shared" si="82"/>
        <v>0</v>
      </c>
      <c r="H1004" s="1096">
        <f t="shared" si="83"/>
        <v>8785.7100000000009</v>
      </c>
      <c r="I1004" s="1096">
        <f t="shared" si="84"/>
        <v>8785.7100000000009</v>
      </c>
    </row>
    <row r="1005" spans="1:9" s="7" customFormat="1" ht="14.4" hidden="1" outlineLevel="2" x14ac:dyDescent="0.25">
      <c r="A1005" s="1097" t="s">
        <v>2964</v>
      </c>
      <c r="B1005" s="1098" t="s">
        <v>1243</v>
      </c>
      <c r="C1005" s="1099" t="s">
        <v>96</v>
      </c>
      <c r="D1005" s="1099">
        <v>2</v>
      </c>
      <c r="E1005" s="1100">
        <v>0</v>
      </c>
      <c r="F1005" s="1100">
        <v>218.93</v>
      </c>
      <c r="G1005" s="1096">
        <f t="shared" si="82"/>
        <v>0</v>
      </c>
      <c r="H1005" s="1096">
        <f t="shared" si="83"/>
        <v>437.86</v>
      </c>
      <c r="I1005" s="1096">
        <f t="shared" si="84"/>
        <v>437.86</v>
      </c>
    </row>
    <row r="1006" spans="1:9" s="7" customFormat="1" ht="14.4" hidden="1" outlineLevel="2" x14ac:dyDescent="0.25">
      <c r="A1006" s="1097" t="s">
        <v>2965</v>
      </c>
      <c r="B1006" s="1098" t="s">
        <v>1245</v>
      </c>
      <c r="C1006" s="1099" t="s">
        <v>96</v>
      </c>
      <c r="D1006" s="1099">
        <v>8</v>
      </c>
      <c r="E1006" s="1100">
        <v>0</v>
      </c>
      <c r="F1006" s="1105">
        <v>272</v>
      </c>
      <c r="G1006" s="1096">
        <f t="shared" si="82"/>
        <v>0</v>
      </c>
      <c r="H1006" s="1096">
        <f t="shared" si="83"/>
        <v>2176</v>
      </c>
      <c r="I1006" s="1096">
        <f t="shared" si="84"/>
        <v>2176</v>
      </c>
    </row>
    <row r="1007" spans="1:9" s="7" customFormat="1" ht="14.4" hidden="1" outlineLevel="2" x14ac:dyDescent="0.25">
      <c r="A1007" s="1097" t="s">
        <v>2966</v>
      </c>
      <c r="B1007" s="1098" t="s">
        <v>1247</v>
      </c>
      <c r="C1007" s="1099" t="s">
        <v>96</v>
      </c>
      <c r="D1007" s="1099">
        <v>4</v>
      </c>
      <c r="E1007" s="1100">
        <v>0</v>
      </c>
      <c r="F1007" s="1100">
        <v>217.58</v>
      </c>
      <c r="G1007" s="1096">
        <f t="shared" si="82"/>
        <v>0</v>
      </c>
      <c r="H1007" s="1096">
        <f t="shared" si="83"/>
        <v>870.32</v>
      </c>
      <c r="I1007" s="1096">
        <f t="shared" si="84"/>
        <v>870.32</v>
      </c>
    </row>
    <row r="1008" spans="1:9" s="7" customFormat="1" ht="14.4" hidden="1" outlineLevel="2" x14ac:dyDescent="0.25">
      <c r="A1008" s="1097" t="s">
        <v>2967</v>
      </c>
      <c r="B1008" s="1098" t="s">
        <v>1249</v>
      </c>
      <c r="C1008" s="1099" t="s">
        <v>96</v>
      </c>
      <c r="D1008" s="1099">
        <v>8</v>
      </c>
      <c r="E1008" s="1100">
        <v>0</v>
      </c>
      <c r="F1008" s="1105">
        <v>182.03</v>
      </c>
      <c r="G1008" s="1096">
        <f t="shared" si="82"/>
        <v>0</v>
      </c>
      <c r="H1008" s="1096">
        <f t="shared" si="83"/>
        <v>1456.24</v>
      </c>
      <c r="I1008" s="1096">
        <f t="shared" si="84"/>
        <v>1456.24</v>
      </c>
    </row>
    <row r="1009" spans="1:9" s="7" customFormat="1" ht="14.4" hidden="1" outlineLevel="2" x14ac:dyDescent="0.25">
      <c r="A1009" s="1097" t="s">
        <v>2968</v>
      </c>
      <c r="B1009" s="1098" t="s">
        <v>1251</v>
      </c>
      <c r="C1009" s="1099" t="s">
        <v>96</v>
      </c>
      <c r="D1009" s="1099">
        <v>6</v>
      </c>
      <c r="E1009" s="1100">
        <v>0</v>
      </c>
      <c r="F1009" s="1100">
        <v>124.07</v>
      </c>
      <c r="G1009" s="1096">
        <f t="shared" si="82"/>
        <v>0</v>
      </c>
      <c r="H1009" s="1096">
        <f t="shared" si="83"/>
        <v>744.42</v>
      </c>
      <c r="I1009" s="1096">
        <f t="shared" si="84"/>
        <v>744.42</v>
      </c>
    </row>
    <row r="1010" spans="1:9" s="7" customFormat="1" ht="14.4" hidden="1" outlineLevel="2" x14ac:dyDescent="0.25">
      <c r="A1010" s="1097" t="s">
        <v>2969</v>
      </c>
      <c r="B1010" s="1098" t="s">
        <v>1253</v>
      </c>
      <c r="C1010" s="1099" t="s">
        <v>96</v>
      </c>
      <c r="D1010" s="1099">
        <v>4</v>
      </c>
      <c r="E1010" s="1100">
        <v>0</v>
      </c>
      <c r="F1010" s="1100">
        <v>84.41</v>
      </c>
      <c r="G1010" s="1096">
        <f t="shared" si="82"/>
        <v>0</v>
      </c>
      <c r="H1010" s="1096">
        <f t="shared" si="83"/>
        <v>337.64</v>
      </c>
      <c r="I1010" s="1096">
        <f t="shared" si="84"/>
        <v>337.64</v>
      </c>
    </row>
    <row r="1011" spans="1:9" s="7" customFormat="1" ht="14.4" hidden="1" outlineLevel="2" x14ac:dyDescent="0.25">
      <c r="A1011" s="1097" t="s">
        <v>2970</v>
      </c>
      <c r="B1011" s="1098" t="s">
        <v>1255</v>
      </c>
      <c r="C1011" s="1099" t="s">
        <v>96</v>
      </c>
      <c r="D1011" s="1099">
        <v>27</v>
      </c>
      <c r="E1011" s="1100">
        <v>0</v>
      </c>
      <c r="F1011" s="1105">
        <v>104</v>
      </c>
      <c r="G1011" s="1096">
        <f t="shared" si="82"/>
        <v>0</v>
      </c>
      <c r="H1011" s="1096">
        <f t="shared" si="83"/>
        <v>2808</v>
      </c>
      <c r="I1011" s="1096">
        <f t="shared" si="84"/>
        <v>2808</v>
      </c>
    </row>
    <row r="1012" spans="1:9" s="7" customFormat="1" ht="14.4" hidden="1" outlineLevel="2" x14ac:dyDescent="0.25">
      <c r="A1012" s="1097" t="s">
        <v>2971</v>
      </c>
      <c r="B1012" s="1098" t="s">
        <v>1257</v>
      </c>
      <c r="C1012" s="1099" t="s">
        <v>96</v>
      </c>
      <c r="D1012" s="1099">
        <v>238</v>
      </c>
      <c r="E1012" s="1100">
        <v>0</v>
      </c>
      <c r="F1012" s="1105">
        <v>85.69</v>
      </c>
      <c r="G1012" s="1096">
        <f t="shared" si="82"/>
        <v>0</v>
      </c>
      <c r="H1012" s="1096">
        <f t="shared" si="83"/>
        <v>20394.22</v>
      </c>
      <c r="I1012" s="1096">
        <f t="shared" si="84"/>
        <v>20394.22</v>
      </c>
    </row>
    <row r="1013" spans="1:9" s="7" customFormat="1" ht="14.4" hidden="1" outlineLevel="2" x14ac:dyDescent="0.25">
      <c r="A1013" s="1097" t="s">
        <v>2972</v>
      </c>
      <c r="B1013" s="1098" t="s">
        <v>1259</v>
      </c>
      <c r="C1013" s="1099" t="s">
        <v>96</v>
      </c>
      <c r="D1013" s="1099">
        <v>4</v>
      </c>
      <c r="E1013" s="1100">
        <v>0</v>
      </c>
      <c r="F1013" s="1100">
        <v>247.12</v>
      </c>
      <c r="G1013" s="1096">
        <f t="shared" si="82"/>
        <v>0</v>
      </c>
      <c r="H1013" s="1096">
        <f t="shared" si="83"/>
        <v>988.48</v>
      </c>
      <c r="I1013" s="1096">
        <f t="shared" si="84"/>
        <v>988.48</v>
      </c>
    </row>
    <row r="1014" spans="1:9" s="7" customFormat="1" ht="14.4" hidden="1" outlineLevel="2" x14ac:dyDescent="0.25">
      <c r="A1014" s="1097" t="s">
        <v>2973</v>
      </c>
      <c r="B1014" s="1098" t="s">
        <v>1261</v>
      </c>
      <c r="C1014" s="1099" t="s">
        <v>96</v>
      </c>
      <c r="D1014" s="1099">
        <v>8</v>
      </c>
      <c r="E1014" s="1100">
        <v>0</v>
      </c>
      <c r="F1014" s="1100">
        <v>110.84</v>
      </c>
      <c r="G1014" s="1096">
        <f t="shared" si="82"/>
        <v>0</v>
      </c>
      <c r="H1014" s="1096">
        <f t="shared" si="83"/>
        <v>886.72</v>
      </c>
      <c r="I1014" s="1096">
        <f t="shared" si="84"/>
        <v>886.72</v>
      </c>
    </row>
    <row r="1015" spans="1:9" s="7" customFormat="1" ht="14.4" hidden="1" outlineLevel="2" x14ac:dyDescent="0.25">
      <c r="A1015" s="1097" t="s">
        <v>2974</v>
      </c>
      <c r="B1015" s="1098" t="s">
        <v>1263</v>
      </c>
      <c r="C1015" s="1099" t="s">
        <v>96</v>
      </c>
      <c r="D1015" s="1099">
        <v>8</v>
      </c>
      <c r="E1015" s="1100">
        <v>0</v>
      </c>
      <c r="F1015" s="1100">
        <v>79.319999999999993</v>
      </c>
      <c r="G1015" s="1096">
        <f t="shared" si="82"/>
        <v>0</v>
      </c>
      <c r="H1015" s="1096">
        <f t="shared" si="83"/>
        <v>634.55999999999995</v>
      </c>
      <c r="I1015" s="1096">
        <f t="shared" si="84"/>
        <v>634.55999999999995</v>
      </c>
    </row>
    <row r="1016" spans="1:9" s="7" customFormat="1" ht="14.4" hidden="1" outlineLevel="2" x14ac:dyDescent="0.25">
      <c r="A1016" s="1097" t="s">
        <v>2975</v>
      </c>
      <c r="B1016" s="1098" t="s">
        <v>1265</v>
      </c>
      <c r="C1016" s="1099" t="s">
        <v>96</v>
      </c>
      <c r="D1016" s="1099">
        <v>8</v>
      </c>
      <c r="E1016" s="1100">
        <v>0</v>
      </c>
      <c r="F1016" s="1100">
        <v>44.75</v>
      </c>
      <c r="G1016" s="1096">
        <f t="shared" si="82"/>
        <v>0</v>
      </c>
      <c r="H1016" s="1096">
        <f t="shared" si="83"/>
        <v>358</v>
      </c>
      <c r="I1016" s="1096">
        <f t="shared" si="84"/>
        <v>358</v>
      </c>
    </row>
    <row r="1017" spans="1:9" s="7" customFormat="1" ht="14.4" hidden="1" outlineLevel="2" x14ac:dyDescent="0.25">
      <c r="A1017" s="1097" t="s">
        <v>2976</v>
      </c>
      <c r="B1017" s="1098" t="s">
        <v>1267</v>
      </c>
      <c r="C1017" s="1099" t="s">
        <v>96</v>
      </c>
      <c r="D1017" s="1099">
        <v>6</v>
      </c>
      <c r="E1017" s="1100">
        <v>0</v>
      </c>
      <c r="F1017" s="1100">
        <v>29.5</v>
      </c>
      <c r="G1017" s="1096">
        <f t="shared" si="82"/>
        <v>0</v>
      </c>
      <c r="H1017" s="1096">
        <f t="shared" si="83"/>
        <v>177</v>
      </c>
      <c r="I1017" s="1096">
        <f t="shared" si="84"/>
        <v>177</v>
      </c>
    </row>
    <row r="1018" spans="1:9" s="7" customFormat="1" ht="14.4" hidden="1" outlineLevel="2" x14ac:dyDescent="0.25">
      <c r="A1018" s="1097" t="s">
        <v>2977</v>
      </c>
      <c r="B1018" s="1098" t="s">
        <v>1269</v>
      </c>
      <c r="C1018" s="1099" t="s">
        <v>96</v>
      </c>
      <c r="D1018" s="1099">
        <v>8</v>
      </c>
      <c r="E1018" s="1100">
        <v>0</v>
      </c>
      <c r="F1018" s="1100">
        <v>29.5</v>
      </c>
      <c r="G1018" s="1096">
        <f t="shared" si="82"/>
        <v>0</v>
      </c>
      <c r="H1018" s="1096">
        <f t="shared" si="83"/>
        <v>236</v>
      </c>
      <c r="I1018" s="1096">
        <f t="shared" si="84"/>
        <v>236</v>
      </c>
    </row>
    <row r="1019" spans="1:9" s="7" customFormat="1" ht="14.4" hidden="1" outlineLevel="2" x14ac:dyDescent="0.25">
      <c r="A1019" s="1097" t="s">
        <v>2978</v>
      </c>
      <c r="B1019" s="1098" t="s">
        <v>1271</v>
      </c>
      <c r="C1019" s="1099" t="s">
        <v>96</v>
      </c>
      <c r="D1019" s="1099">
        <v>1446</v>
      </c>
      <c r="E1019" s="1100">
        <v>0</v>
      </c>
      <c r="F1019" s="1100">
        <v>27.46</v>
      </c>
      <c r="G1019" s="1096">
        <f t="shared" si="82"/>
        <v>0</v>
      </c>
      <c r="H1019" s="1096">
        <f t="shared" si="83"/>
        <v>39707.160000000003</v>
      </c>
      <c r="I1019" s="1096">
        <f t="shared" si="84"/>
        <v>39707.160000000003</v>
      </c>
    </row>
    <row r="1020" spans="1:9" s="7" customFormat="1" ht="14.4" hidden="1" outlineLevel="2" x14ac:dyDescent="0.25">
      <c r="A1020" s="1097" t="s">
        <v>2979</v>
      </c>
      <c r="B1020" s="1098" t="s">
        <v>1273</v>
      </c>
      <c r="C1020" s="1099" t="s">
        <v>96</v>
      </c>
      <c r="D1020" s="1099">
        <v>2</v>
      </c>
      <c r="E1020" s="1100">
        <v>0</v>
      </c>
      <c r="F1020" s="1100">
        <v>1294.2</v>
      </c>
      <c r="G1020" s="1096">
        <f t="shared" si="82"/>
        <v>0</v>
      </c>
      <c r="H1020" s="1096">
        <f t="shared" si="83"/>
        <v>2588.4</v>
      </c>
      <c r="I1020" s="1096">
        <f t="shared" si="84"/>
        <v>2588.4</v>
      </c>
    </row>
    <row r="1021" spans="1:9" s="7" customFormat="1" ht="14.4" hidden="1" outlineLevel="2" x14ac:dyDescent="0.25">
      <c r="A1021" s="1097" t="s">
        <v>2980</v>
      </c>
      <c r="B1021" s="1098" t="s">
        <v>1275</v>
      </c>
      <c r="C1021" s="1099" t="s">
        <v>96</v>
      </c>
      <c r="D1021" s="1099">
        <v>4</v>
      </c>
      <c r="E1021" s="1100">
        <v>0</v>
      </c>
      <c r="F1021" s="1100">
        <v>249.51</v>
      </c>
      <c r="G1021" s="1096">
        <f t="shared" si="82"/>
        <v>0</v>
      </c>
      <c r="H1021" s="1096">
        <f t="shared" si="83"/>
        <v>998.04</v>
      </c>
      <c r="I1021" s="1096">
        <f t="shared" si="84"/>
        <v>998.04</v>
      </c>
    </row>
    <row r="1022" spans="1:9" s="7" customFormat="1" ht="14.4" hidden="1" outlineLevel="2" x14ac:dyDescent="0.25">
      <c r="A1022" s="1097" t="s">
        <v>2981</v>
      </c>
      <c r="B1022" s="1098" t="s">
        <v>1277</v>
      </c>
      <c r="C1022" s="1099" t="s">
        <v>96</v>
      </c>
      <c r="D1022" s="1099">
        <v>2</v>
      </c>
      <c r="E1022" s="1100">
        <v>0</v>
      </c>
      <c r="F1022" s="1100">
        <v>25.43</v>
      </c>
      <c r="G1022" s="1096">
        <f t="shared" si="82"/>
        <v>0</v>
      </c>
      <c r="H1022" s="1096">
        <f t="shared" si="83"/>
        <v>50.86</v>
      </c>
      <c r="I1022" s="1096">
        <f t="shared" si="84"/>
        <v>50.86</v>
      </c>
    </row>
    <row r="1023" spans="1:9" s="7" customFormat="1" ht="14.4" hidden="1" outlineLevel="2" x14ac:dyDescent="0.25">
      <c r="A1023" s="1097" t="s">
        <v>2982</v>
      </c>
      <c r="B1023" s="1098" t="s">
        <v>1279</v>
      </c>
      <c r="C1023" s="1099" t="s">
        <v>96</v>
      </c>
      <c r="D1023" s="1099">
        <v>2</v>
      </c>
      <c r="E1023" s="1100">
        <v>0</v>
      </c>
      <c r="F1023" s="1100">
        <v>25.49</v>
      </c>
      <c r="G1023" s="1096">
        <f t="shared" si="82"/>
        <v>0</v>
      </c>
      <c r="H1023" s="1096">
        <f t="shared" si="83"/>
        <v>50.98</v>
      </c>
      <c r="I1023" s="1096">
        <f t="shared" si="84"/>
        <v>50.98</v>
      </c>
    </row>
    <row r="1024" spans="1:9" s="7" customFormat="1" ht="14.4" hidden="1" outlineLevel="2" x14ac:dyDescent="0.25">
      <c r="A1024" s="1097" t="s">
        <v>2983</v>
      </c>
      <c r="B1024" s="1268" t="s">
        <v>1281</v>
      </c>
      <c r="C1024" s="1269" t="s">
        <v>96</v>
      </c>
      <c r="D1024" s="1020">
        <v>150</v>
      </c>
      <c r="E1024" s="1100">
        <v>0</v>
      </c>
      <c r="F1024" s="1100">
        <v>14</v>
      </c>
      <c r="G1024" s="1096">
        <f t="shared" si="82"/>
        <v>0</v>
      </c>
      <c r="H1024" s="1096">
        <f t="shared" si="83"/>
        <v>2100</v>
      </c>
      <c r="I1024" s="1096">
        <f t="shared" si="84"/>
        <v>2100</v>
      </c>
    </row>
    <row r="1025" spans="1:9" s="7" customFormat="1" ht="14.4" hidden="1" outlineLevel="2" x14ac:dyDescent="0.25">
      <c r="A1025" s="1097" t="s">
        <v>2984</v>
      </c>
      <c r="B1025" s="1268" t="s">
        <v>1283</v>
      </c>
      <c r="C1025" s="1269" t="s">
        <v>96</v>
      </c>
      <c r="D1025" s="1020">
        <v>52</v>
      </c>
      <c r="E1025" s="1100">
        <v>0</v>
      </c>
      <c r="F1025" s="1100">
        <v>14</v>
      </c>
      <c r="G1025" s="1096">
        <f t="shared" si="82"/>
        <v>0</v>
      </c>
      <c r="H1025" s="1096">
        <f t="shared" si="83"/>
        <v>728</v>
      </c>
      <c r="I1025" s="1096">
        <f t="shared" si="84"/>
        <v>728</v>
      </c>
    </row>
    <row r="1026" spans="1:9" s="7" customFormat="1" ht="14.4" hidden="1" outlineLevel="2" x14ac:dyDescent="0.25">
      <c r="A1026" s="1097" t="s">
        <v>2985</v>
      </c>
      <c r="B1026" s="1268" t="s">
        <v>1285</v>
      </c>
      <c r="C1026" s="1269" t="s">
        <v>96</v>
      </c>
      <c r="D1026" s="1020">
        <v>104</v>
      </c>
      <c r="E1026" s="1100">
        <v>0</v>
      </c>
      <c r="F1026" s="1100">
        <v>11</v>
      </c>
      <c r="G1026" s="1096">
        <f t="shared" si="82"/>
        <v>0</v>
      </c>
      <c r="H1026" s="1096">
        <f t="shared" si="83"/>
        <v>1144</v>
      </c>
      <c r="I1026" s="1096">
        <f t="shared" si="84"/>
        <v>1144</v>
      </c>
    </row>
    <row r="1027" spans="1:9" s="7" customFormat="1" ht="28.8" hidden="1" outlineLevel="2" x14ac:dyDescent="0.25">
      <c r="A1027" s="1097" t="s">
        <v>2986</v>
      </c>
      <c r="B1027" s="1270" t="s">
        <v>1287</v>
      </c>
      <c r="C1027" s="1269" t="s">
        <v>96</v>
      </c>
      <c r="D1027" s="1020">
        <v>24</v>
      </c>
      <c r="E1027" s="1100">
        <v>0</v>
      </c>
      <c r="F1027" s="1105">
        <v>88.66</v>
      </c>
      <c r="G1027" s="1096">
        <f t="shared" si="82"/>
        <v>0</v>
      </c>
      <c r="H1027" s="1096">
        <f t="shared" si="83"/>
        <v>2127.84</v>
      </c>
      <c r="I1027" s="1096">
        <f t="shared" si="84"/>
        <v>2127.84</v>
      </c>
    </row>
    <row r="1028" spans="1:9" s="7" customFormat="1" ht="28.8" hidden="1" outlineLevel="2" x14ac:dyDescent="0.25">
      <c r="A1028" s="1097" t="s">
        <v>2987</v>
      </c>
      <c r="B1028" s="1270" t="s">
        <v>1289</v>
      </c>
      <c r="C1028" s="1269" t="s">
        <v>96</v>
      </c>
      <c r="D1028" s="1020">
        <v>58</v>
      </c>
      <c r="E1028" s="1100">
        <v>0</v>
      </c>
      <c r="F1028" s="1105">
        <v>185.38</v>
      </c>
      <c r="G1028" s="1096">
        <f t="shared" si="82"/>
        <v>0</v>
      </c>
      <c r="H1028" s="1096">
        <f t="shared" si="83"/>
        <v>10752.039999999999</v>
      </c>
      <c r="I1028" s="1096">
        <f t="shared" si="84"/>
        <v>10752.039999999999</v>
      </c>
    </row>
    <row r="1029" spans="1:9" s="7" customFormat="1" ht="14.4" hidden="1" outlineLevel="2" x14ac:dyDescent="0.25">
      <c r="A1029" s="1097" t="s">
        <v>2988</v>
      </c>
      <c r="B1029" s="1098" t="s">
        <v>1291</v>
      </c>
      <c r="C1029" s="1099" t="s">
        <v>96</v>
      </c>
      <c r="D1029" s="1099">
        <v>1</v>
      </c>
      <c r="E1029" s="1100">
        <v>500</v>
      </c>
      <c r="F1029" s="1100">
        <v>1500</v>
      </c>
      <c r="G1029" s="1096">
        <f t="shared" si="82"/>
        <v>500</v>
      </c>
      <c r="H1029" s="1096">
        <f t="shared" si="83"/>
        <v>1500</v>
      </c>
      <c r="I1029" s="1096">
        <f t="shared" si="84"/>
        <v>2000</v>
      </c>
    </row>
    <row r="1030" spans="1:9" s="7" customFormat="1" ht="14.4" hidden="1" outlineLevel="2" x14ac:dyDescent="0.25">
      <c r="A1030" s="1097" t="s">
        <v>2989</v>
      </c>
      <c r="B1030" s="1098" t="s">
        <v>1293</v>
      </c>
      <c r="C1030" s="1099" t="s">
        <v>96</v>
      </c>
      <c r="D1030" s="1099">
        <v>5</v>
      </c>
      <c r="E1030" s="1100">
        <v>0</v>
      </c>
      <c r="F1030" s="1100">
        <v>53.04</v>
      </c>
      <c r="G1030" s="1096">
        <f t="shared" si="82"/>
        <v>0</v>
      </c>
      <c r="H1030" s="1096">
        <f t="shared" si="83"/>
        <v>265.2</v>
      </c>
      <c r="I1030" s="1096">
        <f t="shared" si="84"/>
        <v>265.2</v>
      </c>
    </row>
    <row r="1031" spans="1:9" s="7" customFormat="1" ht="14.4" hidden="1" outlineLevel="2" x14ac:dyDescent="0.25">
      <c r="A1031" s="1097" t="s">
        <v>2990</v>
      </c>
      <c r="B1031" s="1098" t="s">
        <v>1295</v>
      </c>
      <c r="C1031" s="1099" t="s">
        <v>96</v>
      </c>
      <c r="D1031" s="1099">
        <v>30</v>
      </c>
      <c r="E1031" s="1100">
        <v>0</v>
      </c>
      <c r="F1031" s="1100">
        <v>50.71</v>
      </c>
      <c r="G1031" s="1096">
        <f t="shared" si="82"/>
        <v>0</v>
      </c>
      <c r="H1031" s="1096">
        <f t="shared" si="83"/>
        <v>1521.3</v>
      </c>
      <c r="I1031" s="1096">
        <f t="shared" si="84"/>
        <v>1521.3</v>
      </c>
    </row>
    <row r="1032" spans="1:9" s="7" customFormat="1" ht="14.4" hidden="1" outlineLevel="2" x14ac:dyDescent="0.25">
      <c r="A1032" s="1097" t="s">
        <v>2991</v>
      </c>
      <c r="B1032" s="1098" t="s">
        <v>1297</v>
      </c>
      <c r="C1032" s="1099" t="s">
        <v>96</v>
      </c>
      <c r="D1032" s="1099">
        <v>25</v>
      </c>
      <c r="E1032" s="1100">
        <v>0</v>
      </c>
      <c r="F1032" s="1100">
        <v>51.94</v>
      </c>
      <c r="G1032" s="1096">
        <f t="shared" si="82"/>
        <v>0</v>
      </c>
      <c r="H1032" s="1096">
        <f t="shared" si="83"/>
        <v>1298.5</v>
      </c>
      <c r="I1032" s="1096">
        <f t="shared" si="84"/>
        <v>1298.5</v>
      </c>
    </row>
    <row r="1033" spans="1:9" s="7" customFormat="1" ht="14.4" hidden="1" outlineLevel="2" x14ac:dyDescent="0.25">
      <c r="A1033" s="1097" t="s">
        <v>2992</v>
      </c>
      <c r="B1033" s="1098" t="s">
        <v>1299</v>
      </c>
      <c r="C1033" s="1099" t="s">
        <v>96</v>
      </c>
      <c r="D1033" s="1099">
        <v>20</v>
      </c>
      <c r="E1033" s="1100">
        <v>0</v>
      </c>
      <c r="F1033" s="1100">
        <v>37.94</v>
      </c>
      <c r="G1033" s="1096">
        <f t="shared" si="82"/>
        <v>0</v>
      </c>
      <c r="H1033" s="1096">
        <f t="shared" si="83"/>
        <v>758.8</v>
      </c>
      <c r="I1033" s="1096">
        <f t="shared" si="84"/>
        <v>758.8</v>
      </c>
    </row>
    <row r="1034" spans="1:9" s="7" customFormat="1" ht="14.4" hidden="1" outlineLevel="2" x14ac:dyDescent="0.25">
      <c r="A1034" s="1097" t="s">
        <v>2993</v>
      </c>
      <c r="B1034" s="1098" t="s">
        <v>1301</v>
      </c>
      <c r="C1034" s="1099" t="s">
        <v>96</v>
      </c>
      <c r="D1034" s="1099">
        <v>15</v>
      </c>
      <c r="E1034" s="1100">
        <v>0</v>
      </c>
      <c r="F1034" s="1100">
        <v>41.59</v>
      </c>
      <c r="G1034" s="1096">
        <f t="shared" si="82"/>
        <v>0</v>
      </c>
      <c r="H1034" s="1096">
        <f t="shared" si="83"/>
        <v>623.85</v>
      </c>
      <c r="I1034" s="1096">
        <f t="shared" si="84"/>
        <v>623.85</v>
      </c>
    </row>
    <row r="1035" spans="1:9" s="7" customFormat="1" ht="14.4" hidden="1" outlineLevel="2" x14ac:dyDescent="0.25">
      <c r="A1035" s="1097" t="s">
        <v>2994</v>
      </c>
      <c r="B1035" s="1098" t="s">
        <v>1303</v>
      </c>
      <c r="C1035" s="1099" t="s">
        <v>96</v>
      </c>
      <c r="D1035" s="1099">
        <v>20</v>
      </c>
      <c r="E1035" s="1100">
        <v>0</v>
      </c>
      <c r="F1035" s="1100">
        <v>32.74</v>
      </c>
      <c r="G1035" s="1096">
        <f t="shared" si="82"/>
        <v>0</v>
      </c>
      <c r="H1035" s="1096">
        <f t="shared" si="83"/>
        <v>654.80000000000007</v>
      </c>
      <c r="I1035" s="1096">
        <f t="shared" si="84"/>
        <v>654.80000000000007</v>
      </c>
    </row>
    <row r="1036" spans="1:9" s="7" customFormat="1" ht="14.4" hidden="1" outlineLevel="2" x14ac:dyDescent="0.25">
      <c r="A1036" s="1097" t="s">
        <v>2995</v>
      </c>
      <c r="B1036" s="1098" t="s">
        <v>1305</v>
      </c>
      <c r="C1036" s="1099" t="s">
        <v>96</v>
      </c>
      <c r="D1036" s="1099">
        <v>30</v>
      </c>
      <c r="E1036" s="1100">
        <v>0</v>
      </c>
      <c r="F1036" s="1100">
        <v>144.22999999999999</v>
      </c>
      <c r="G1036" s="1096">
        <f t="shared" si="82"/>
        <v>0</v>
      </c>
      <c r="H1036" s="1096">
        <f t="shared" si="83"/>
        <v>4326.8999999999996</v>
      </c>
      <c r="I1036" s="1096">
        <f t="shared" si="84"/>
        <v>4326.8999999999996</v>
      </c>
    </row>
    <row r="1037" spans="1:9" s="7" customFormat="1" ht="14.4" hidden="1" outlineLevel="2" x14ac:dyDescent="0.25">
      <c r="A1037" s="1097" t="s">
        <v>2996</v>
      </c>
      <c r="B1037" s="1098" t="s">
        <v>1307</v>
      </c>
      <c r="C1037" s="1099" t="s">
        <v>96</v>
      </c>
      <c r="D1037" s="1099">
        <v>27</v>
      </c>
      <c r="E1037" s="1100">
        <v>0</v>
      </c>
      <c r="F1037" s="1100">
        <v>109.42</v>
      </c>
      <c r="G1037" s="1096">
        <f t="shared" si="82"/>
        <v>0</v>
      </c>
      <c r="H1037" s="1096">
        <f t="shared" si="83"/>
        <v>2954.34</v>
      </c>
      <c r="I1037" s="1096">
        <f t="shared" si="84"/>
        <v>2954.34</v>
      </c>
    </row>
    <row r="1038" spans="1:9" s="7" customFormat="1" ht="14.4" hidden="1" outlineLevel="2" x14ac:dyDescent="0.25">
      <c r="A1038" s="1097" t="s">
        <v>2997</v>
      </c>
      <c r="B1038" s="1098" t="s">
        <v>1309</v>
      </c>
      <c r="C1038" s="1099" t="s">
        <v>96</v>
      </c>
      <c r="D1038" s="1099">
        <v>60</v>
      </c>
      <c r="E1038" s="1100">
        <v>0</v>
      </c>
      <c r="F1038" s="1100">
        <v>7.41</v>
      </c>
      <c r="G1038" s="1096">
        <f t="shared" si="82"/>
        <v>0</v>
      </c>
      <c r="H1038" s="1096">
        <f t="shared" si="83"/>
        <v>444.6</v>
      </c>
      <c r="I1038" s="1096">
        <f t="shared" si="84"/>
        <v>444.6</v>
      </c>
    </row>
    <row r="1039" spans="1:9" s="7" customFormat="1" ht="14.4" hidden="1" outlineLevel="2" x14ac:dyDescent="0.25">
      <c r="A1039" s="1097" t="s">
        <v>2998</v>
      </c>
      <c r="B1039" s="1098" t="s">
        <v>1311</v>
      </c>
      <c r="C1039" s="1099" t="s">
        <v>96</v>
      </c>
      <c r="D1039" s="1099">
        <v>55</v>
      </c>
      <c r="E1039" s="1100">
        <v>0</v>
      </c>
      <c r="F1039" s="1100">
        <v>5.05</v>
      </c>
      <c r="G1039" s="1096">
        <f t="shared" si="82"/>
        <v>0</v>
      </c>
      <c r="H1039" s="1096">
        <f t="shared" si="83"/>
        <v>277.75</v>
      </c>
      <c r="I1039" s="1096">
        <f t="shared" si="84"/>
        <v>277.75</v>
      </c>
    </row>
    <row r="1040" spans="1:9" s="7" customFormat="1" ht="14.4" hidden="1" outlineLevel="2" x14ac:dyDescent="0.25">
      <c r="A1040" s="1097" t="s">
        <v>2999</v>
      </c>
      <c r="B1040" s="1098" t="s">
        <v>1313</v>
      </c>
      <c r="C1040" s="1099" t="s">
        <v>1110</v>
      </c>
      <c r="D1040" s="1099">
        <f>PRODUCT(0.00053,D994,0.01)</f>
        <v>2.47245E-2</v>
      </c>
      <c r="E1040" s="1100">
        <v>0</v>
      </c>
      <c r="F1040" s="1100">
        <v>400000</v>
      </c>
      <c r="G1040" s="1096">
        <f t="shared" si="82"/>
        <v>0</v>
      </c>
      <c r="H1040" s="1096">
        <f t="shared" si="83"/>
        <v>9889.7999999999993</v>
      </c>
      <c r="I1040" s="1096">
        <f t="shared" si="84"/>
        <v>9889.7999999999993</v>
      </c>
    </row>
    <row r="1041" spans="1:9" s="7" customFormat="1" ht="14.4" hidden="1" outlineLevel="2" x14ac:dyDescent="0.25">
      <c r="A1041" s="1097" t="s">
        <v>3000</v>
      </c>
      <c r="B1041" s="1098" t="s">
        <v>1315</v>
      </c>
      <c r="C1041" s="1099" t="s">
        <v>1163</v>
      </c>
      <c r="D1041" s="1099">
        <f>PRODUCT(0.438,D994,0.01)</f>
        <v>20.432700000000001</v>
      </c>
      <c r="E1041" s="1100">
        <v>0</v>
      </c>
      <c r="F1041" s="1100">
        <v>50.79</v>
      </c>
      <c r="G1041" s="1096">
        <f t="shared" si="82"/>
        <v>0</v>
      </c>
      <c r="H1041" s="1096">
        <f t="shared" si="83"/>
        <v>1037.7768329999999</v>
      </c>
      <c r="I1041" s="1096">
        <f t="shared" si="84"/>
        <v>1037.7768329999999</v>
      </c>
    </row>
    <row r="1042" spans="1:9" s="7" customFormat="1" ht="14.4" hidden="1" outlineLevel="2" x14ac:dyDescent="0.25">
      <c r="A1042" s="1097" t="s">
        <v>3001</v>
      </c>
      <c r="B1042" s="1098" t="s">
        <v>1317</v>
      </c>
      <c r="C1042" s="1099" t="s">
        <v>1110</v>
      </c>
      <c r="D1042" s="1099">
        <f>PRODUCT(0.00026,D994,0.01)</f>
        <v>1.2128999999999999E-2</v>
      </c>
      <c r="E1042" s="1100">
        <v>0</v>
      </c>
      <c r="F1042" s="1100">
        <v>20680</v>
      </c>
      <c r="G1042" s="1096">
        <f t="shared" si="82"/>
        <v>0</v>
      </c>
      <c r="H1042" s="1096">
        <f t="shared" si="83"/>
        <v>250.82771999999997</v>
      </c>
      <c r="I1042" s="1096">
        <f t="shared" si="84"/>
        <v>250.82771999999997</v>
      </c>
    </row>
    <row r="1043" spans="1:9" s="7" customFormat="1" ht="14.4" hidden="1" outlineLevel="2" x14ac:dyDescent="0.25">
      <c r="A1043" s="1097" t="s">
        <v>3002</v>
      </c>
      <c r="B1043" s="1098" t="s">
        <v>1319</v>
      </c>
      <c r="C1043" s="1099" t="s">
        <v>79</v>
      </c>
      <c r="D1043" s="1099">
        <v>120</v>
      </c>
      <c r="E1043" s="1100">
        <v>0</v>
      </c>
      <c r="F1043" s="1100">
        <v>113.4</v>
      </c>
      <c r="G1043" s="1096">
        <f t="shared" si="82"/>
        <v>0</v>
      </c>
      <c r="H1043" s="1096">
        <f t="shared" si="83"/>
        <v>13608</v>
      </c>
      <c r="I1043" s="1096">
        <f t="shared" si="84"/>
        <v>13608</v>
      </c>
    </row>
    <row r="1044" spans="1:9" s="7" customFormat="1" ht="14.4" hidden="1" outlineLevel="2" x14ac:dyDescent="0.25">
      <c r="A1044" s="1097" t="s">
        <v>3003</v>
      </c>
      <c r="B1044" s="1098" t="s">
        <v>1321</v>
      </c>
      <c r="C1044" s="1099" t="s">
        <v>79</v>
      </c>
      <c r="D1044" s="1099">
        <v>2</v>
      </c>
      <c r="E1044" s="1100">
        <v>0</v>
      </c>
      <c r="F1044" s="1100">
        <v>660</v>
      </c>
      <c r="G1044" s="1096">
        <f t="shared" si="82"/>
        <v>0</v>
      </c>
      <c r="H1044" s="1096">
        <f t="shared" si="83"/>
        <v>1320</v>
      </c>
      <c r="I1044" s="1096">
        <f t="shared" si="84"/>
        <v>1320</v>
      </c>
    </row>
    <row r="1045" spans="1:9" s="293" customFormat="1" ht="14.4" hidden="1" outlineLevel="1" collapsed="1" x14ac:dyDescent="0.25">
      <c r="A1045" s="1097" t="s">
        <v>2940</v>
      </c>
      <c r="B1045" s="1098" t="s">
        <v>1322</v>
      </c>
      <c r="C1045" s="1099" t="s">
        <v>96</v>
      </c>
      <c r="D1045" s="1100">
        <f>D1046+D1050+D1052+D1057</f>
        <v>403</v>
      </c>
      <c r="E1045" s="1100"/>
      <c r="F1045" s="1100"/>
      <c r="G1045" s="1096">
        <f>G1046+G1050+G1052+G1057</f>
        <v>106550</v>
      </c>
      <c r="H1045" s="1096">
        <f>H1046+H1050+H1052+H1057</f>
        <v>82290.16271186441</v>
      </c>
      <c r="I1045" s="1096">
        <f>G1045+H1045</f>
        <v>188840.1627118644</v>
      </c>
    </row>
    <row r="1046" spans="1:9" s="293" customFormat="1" ht="14.4" hidden="1" outlineLevel="2" collapsed="1" x14ac:dyDescent="0.25">
      <c r="A1046" s="1097" t="s">
        <v>3004</v>
      </c>
      <c r="B1046" s="1101" t="s">
        <v>1323</v>
      </c>
      <c r="C1046" s="1099" t="s">
        <v>96</v>
      </c>
      <c r="D1046" s="1099">
        <v>4</v>
      </c>
      <c r="E1046" s="1100">
        <v>3500</v>
      </c>
      <c r="F1046" s="1100"/>
      <c r="G1046" s="1102">
        <f t="shared" ref="G1046" si="85">D1046*E1046</f>
        <v>14000</v>
      </c>
      <c r="H1046" s="1103">
        <f>SUM(H1047:H1049)</f>
        <v>3523.52</v>
      </c>
      <c r="I1046" s="1102">
        <f t="shared" ref="I1046" si="86">SUM(G1046:H1046)</f>
        <v>17523.52</v>
      </c>
    </row>
    <row r="1047" spans="1:9" s="293" customFormat="1" ht="14.4" hidden="1" outlineLevel="3" x14ac:dyDescent="0.25">
      <c r="A1047" s="1097" t="s">
        <v>3005</v>
      </c>
      <c r="B1047" s="1104" t="s">
        <v>1325</v>
      </c>
      <c r="C1047" s="1026" t="s">
        <v>1110</v>
      </c>
      <c r="D1047" s="1099">
        <v>2.8160000000000001E-2</v>
      </c>
      <c r="E1047" s="1100">
        <v>0</v>
      </c>
      <c r="F1047" s="1271">
        <v>44000</v>
      </c>
      <c r="G1047" s="1096">
        <f>PRODUCT(E1047,D1047)</f>
        <v>0</v>
      </c>
      <c r="H1047" s="1096">
        <f>PRODUCT(F1047,D1047)</f>
        <v>1239.04</v>
      </c>
      <c r="I1047" s="1096">
        <f>SUM(G1047:H1047)</f>
        <v>1239.04</v>
      </c>
    </row>
    <row r="1048" spans="1:9" s="293" customFormat="1" ht="28.8" hidden="1" outlineLevel="3" x14ac:dyDescent="0.25">
      <c r="A1048" s="1097" t="s">
        <v>3006</v>
      </c>
      <c r="B1048" s="1272" t="s">
        <v>1327</v>
      </c>
      <c r="C1048" s="1026" t="s">
        <v>1110</v>
      </c>
      <c r="D1048" s="1099">
        <v>3.0880000000000001E-2</v>
      </c>
      <c r="E1048" s="1100">
        <v>0</v>
      </c>
      <c r="F1048" s="1273">
        <v>46000</v>
      </c>
      <c r="G1048" s="1096">
        <f t="shared" ref="G1048:G1049" si="87">PRODUCT(E1048,D1048)</f>
        <v>0</v>
      </c>
      <c r="H1048" s="1096">
        <f t="shared" ref="H1048:H1049" si="88">PRODUCT(F1048,D1048)</f>
        <v>1420.48</v>
      </c>
      <c r="I1048" s="1096">
        <f t="shared" ref="I1048:I1049" si="89">SUM(G1048:H1048)</f>
        <v>1420.48</v>
      </c>
    </row>
    <row r="1049" spans="1:9" s="293" customFormat="1" ht="14.4" hidden="1" outlineLevel="3" x14ac:dyDescent="0.25">
      <c r="A1049" s="1097" t="s">
        <v>3007</v>
      </c>
      <c r="B1049" s="1274" t="s">
        <v>1329</v>
      </c>
      <c r="C1049" s="1026" t="s">
        <v>96</v>
      </c>
      <c r="D1049" s="1099">
        <v>16</v>
      </c>
      <c r="E1049" s="1100">
        <v>0</v>
      </c>
      <c r="F1049" s="1100">
        <v>54</v>
      </c>
      <c r="G1049" s="1096">
        <f t="shared" si="87"/>
        <v>0</v>
      </c>
      <c r="H1049" s="1096">
        <f t="shared" si="88"/>
        <v>864</v>
      </c>
      <c r="I1049" s="1096">
        <f t="shared" si="89"/>
        <v>864</v>
      </c>
    </row>
    <row r="1050" spans="1:9" s="293" customFormat="1" ht="14.4" hidden="1" outlineLevel="2" collapsed="1" x14ac:dyDescent="0.25">
      <c r="A1050" s="1097" t="s">
        <v>3008</v>
      </c>
      <c r="B1050" s="1101" t="s">
        <v>1330</v>
      </c>
      <c r="C1050" s="1099" t="s">
        <v>96</v>
      </c>
      <c r="D1050" s="1099">
        <v>141</v>
      </c>
      <c r="E1050" s="1100">
        <v>350</v>
      </c>
      <c r="F1050" s="1100"/>
      <c r="G1050" s="1102">
        <f t="shared" ref="G1050" si="90">D1050*E1050</f>
        <v>49350</v>
      </c>
      <c r="H1050" s="1103">
        <f>SUM(H1051)</f>
        <v>20937.36</v>
      </c>
      <c r="I1050" s="1102">
        <f t="shared" ref="I1050" si="91">SUM(G1050:H1050)</f>
        <v>70287.360000000001</v>
      </c>
    </row>
    <row r="1051" spans="1:9" s="293" customFormat="1" ht="28.8" hidden="1" outlineLevel="3" x14ac:dyDescent="0.25">
      <c r="A1051" s="1097" t="s">
        <v>3009</v>
      </c>
      <c r="B1051" s="1275" t="s">
        <v>1332</v>
      </c>
      <c r="C1051" s="1026" t="s">
        <v>1110</v>
      </c>
      <c r="D1051" s="1099">
        <v>0.45516000000000001</v>
      </c>
      <c r="E1051" s="1100">
        <v>0</v>
      </c>
      <c r="F1051" s="1276">
        <v>46000</v>
      </c>
      <c r="G1051" s="1096">
        <f t="shared" ref="G1051" si="92">PRODUCT(E1051,D1051)</f>
        <v>0</v>
      </c>
      <c r="H1051" s="1096">
        <f t="shared" ref="H1051" si="93">PRODUCT(F1051,D1051)</f>
        <v>20937.36</v>
      </c>
      <c r="I1051" s="1096">
        <f t="shared" ref="I1051" si="94">SUM(G1051:H1051)</f>
        <v>20937.36</v>
      </c>
    </row>
    <row r="1052" spans="1:9" s="293" customFormat="1" ht="14.4" hidden="1" outlineLevel="2" collapsed="1" x14ac:dyDescent="0.25">
      <c r="A1052" s="1097" t="s">
        <v>3010</v>
      </c>
      <c r="B1052" s="1104" t="s">
        <v>1333</v>
      </c>
      <c r="C1052" s="1026" t="s">
        <v>96</v>
      </c>
      <c r="D1052" s="305">
        <v>200</v>
      </c>
      <c r="E1052" s="1105">
        <v>100</v>
      </c>
      <c r="F1052" s="1105"/>
      <c r="G1052" s="1102">
        <f>D1052*E1052</f>
        <v>20000</v>
      </c>
      <c r="H1052" s="1103">
        <f>SUM(H1053:H1056)</f>
        <v>35624.16271186441</v>
      </c>
      <c r="I1052" s="1102">
        <f>SUM(G1052:H1052)</f>
        <v>55624.16271186441</v>
      </c>
    </row>
    <row r="1053" spans="1:9" s="293" customFormat="1" ht="14.4" hidden="1" outlineLevel="3" x14ac:dyDescent="0.25">
      <c r="A1053" s="1097" t="s">
        <v>3011</v>
      </c>
      <c r="B1053" s="1104" t="s">
        <v>1335</v>
      </c>
      <c r="C1053" s="1026" t="s">
        <v>96</v>
      </c>
      <c r="D1053" s="305">
        <v>400</v>
      </c>
      <c r="E1053" s="1105">
        <v>0</v>
      </c>
      <c r="F1053" s="305">
        <v>51.864406779661017</v>
      </c>
      <c r="G1053" s="1102">
        <f>D1053*E1053</f>
        <v>0</v>
      </c>
      <c r="H1053" s="1103">
        <f>D1053*F1053</f>
        <v>20745.762711864409</v>
      </c>
      <c r="I1053" s="1102">
        <f>SUM(G1053:H1053)</f>
        <v>20745.762711864409</v>
      </c>
    </row>
    <row r="1054" spans="1:9" s="293" customFormat="1" ht="14.4" hidden="1" outlineLevel="3" x14ac:dyDescent="0.25">
      <c r="A1054" s="1097" t="s">
        <v>3012</v>
      </c>
      <c r="B1054" s="1101" t="s">
        <v>681</v>
      </c>
      <c r="C1054" s="1026" t="s">
        <v>1110</v>
      </c>
      <c r="D1054" s="1277">
        <v>0.23200000000000001</v>
      </c>
      <c r="E1054" s="1105">
        <v>0</v>
      </c>
      <c r="F1054" s="1105">
        <v>40200</v>
      </c>
      <c r="G1054" s="1102">
        <f>D1054*E1054</f>
        <v>0</v>
      </c>
      <c r="H1054" s="1103">
        <f>D1054*F1054</f>
        <v>9326.4</v>
      </c>
      <c r="I1054" s="1102">
        <f>SUM(G1054:H1054)</f>
        <v>9326.4</v>
      </c>
    </row>
    <row r="1055" spans="1:9" s="293" customFormat="1" ht="14.4" hidden="1" outlineLevel="3" x14ac:dyDescent="0.25">
      <c r="A1055" s="1097" t="s">
        <v>3013</v>
      </c>
      <c r="B1055" s="1101" t="s">
        <v>1338</v>
      </c>
      <c r="C1055" s="1026" t="s">
        <v>96</v>
      </c>
      <c r="D1055" s="1277">
        <v>800</v>
      </c>
      <c r="E1055" s="1105">
        <v>0</v>
      </c>
      <c r="F1055" s="1105">
        <v>5.62</v>
      </c>
      <c r="G1055" s="1102"/>
      <c r="H1055" s="1103">
        <f>D1055*F1055</f>
        <v>4496</v>
      </c>
      <c r="I1055" s="1102">
        <f>SUM(G1055:H1055)</f>
        <v>4496</v>
      </c>
    </row>
    <row r="1056" spans="1:9" s="293" customFormat="1" ht="14.4" hidden="1" outlineLevel="3" x14ac:dyDescent="0.25">
      <c r="A1056" s="1097" t="s">
        <v>3014</v>
      </c>
      <c r="B1056" s="1278" t="s">
        <v>1340</v>
      </c>
      <c r="C1056" s="1279" t="s">
        <v>96</v>
      </c>
      <c r="D1056" s="1279">
        <v>800</v>
      </c>
      <c r="E1056" s="1280">
        <v>0</v>
      </c>
      <c r="F1056" s="1280">
        <v>1.32</v>
      </c>
      <c r="G1056" s="1102"/>
      <c r="H1056" s="1103">
        <f>D1056*F1056</f>
        <v>1056</v>
      </c>
      <c r="I1056" s="1102">
        <f>SUM(G1056:H1056)</f>
        <v>1056</v>
      </c>
    </row>
    <row r="1057" spans="1:9" s="293" customFormat="1" ht="28.8" hidden="1" outlineLevel="2" collapsed="1" x14ac:dyDescent="0.25">
      <c r="A1057" s="1097" t="s">
        <v>3015</v>
      </c>
      <c r="B1057" s="1104" t="s">
        <v>1341</v>
      </c>
      <c r="C1057" s="1026" t="s">
        <v>96</v>
      </c>
      <c r="D1057" s="305">
        <v>58</v>
      </c>
      <c r="E1057" s="1105">
        <v>400</v>
      </c>
      <c r="F1057" s="1105"/>
      <c r="G1057" s="1102">
        <f t="shared" ref="G1057:G1062" si="95">D1057*E1057</f>
        <v>23200</v>
      </c>
      <c r="H1057" s="1103">
        <f>SUM(H1058:H1062)</f>
        <v>22205.119999999999</v>
      </c>
      <c r="I1057" s="1102">
        <f t="shared" ref="I1057:I1062" si="96">SUM(G1057:H1057)</f>
        <v>45405.119999999995</v>
      </c>
    </row>
    <row r="1058" spans="1:9" s="293" customFormat="1" ht="14.4" hidden="1" outlineLevel="3" x14ac:dyDescent="0.25">
      <c r="A1058" s="1097" t="s">
        <v>3016</v>
      </c>
      <c r="B1058" s="1104" t="s">
        <v>1343</v>
      </c>
      <c r="C1058" s="1026" t="s">
        <v>281</v>
      </c>
      <c r="D1058" s="305">
        <v>8</v>
      </c>
      <c r="E1058" s="1105">
        <v>0</v>
      </c>
      <c r="F1058" s="1105">
        <v>268.48</v>
      </c>
      <c r="G1058" s="1102">
        <f t="shared" si="95"/>
        <v>0</v>
      </c>
      <c r="H1058" s="1103">
        <f t="shared" ref="H1058:H1062" si="97">D1058*F1058</f>
        <v>2147.84</v>
      </c>
      <c r="I1058" s="1102">
        <f t="shared" si="96"/>
        <v>2147.84</v>
      </c>
    </row>
    <row r="1059" spans="1:9" s="293" customFormat="1" ht="14.4" hidden="1" outlineLevel="3" x14ac:dyDescent="0.25">
      <c r="A1059" s="1097" t="s">
        <v>3017</v>
      </c>
      <c r="B1059" s="1104" t="s">
        <v>1345</v>
      </c>
      <c r="C1059" s="1026" t="s">
        <v>281</v>
      </c>
      <c r="D1059" s="305">
        <v>3.6</v>
      </c>
      <c r="E1059" s="1105">
        <v>0</v>
      </c>
      <c r="F1059" s="1105">
        <v>363</v>
      </c>
      <c r="G1059" s="1102">
        <f t="shared" si="95"/>
        <v>0</v>
      </c>
      <c r="H1059" s="1103">
        <f t="shared" si="97"/>
        <v>1306.8</v>
      </c>
      <c r="I1059" s="1102">
        <f t="shared" si="96"/>
        <v>1306.8</v>
      </c>
    </row>
    <row r="1060" spans="1:9" s="293" customFormat="1" ht="14.4" hidden="1" outlineLevel="3" x14ac:dyDescent="0.25">
      <c r="A1060" s="1097" t="s">
        <v>3018</v>
      </c>
      <c r="B1060" s="1104" t="s">
        <v>1347</v>
      </c>
      <c r="C1060" s="1026" t="s">
        <v>1110</v>
      </c>
      <c r="D1060" s="305">
        <v>0.22600000000000001</v>
      </c>
      <c r="E1060" s="1105">
        <v>0</v>
      </c>
      <c r="F1060" s="1105">
        <v>46000</v>
      </c>
      <c r="G1060" s="1102">
        <f t="shared" si="95"/>
        <v>0</v>
      </c>
      <c r="H1060" s="1103">
        <f t="shared" si="97"/>
        <v>10396</v>
      </c>
      <c r="I1060" s="1102">
        <f t="shared" si="96"/>
        <v>10396</v>
      </c>
    </row>
    <row r="1061" spans="1:9" s="293" customFormat="1" ht="14.4" hidden="1" outlineLevel="3" x14ac:dyDescent="0.25">
      <c r="A1061" s="1097" t="s">
        <v>3019</v>
      </c>
      <c r="B1061" s="1104" t="s">
        <v>1349</v>
      </c>
      <c r="C1061" s="1026" t="s">
        <v>1110</v>
      </c>
      <c r="D1061" s="305">
        <v>0.104</v>
      </c>
      <c r="E1061" s="1105">
        <v>0</v>
      </c>
      <c r="F1061" s="1105">
        <v>46000</v>
      </c>
      <c r="G1061" s="1102">
        <f t="shared" si="95"/>
        <v>0</v>
      </c>
      <c r="H1061" s="1103">
        <f t="shared" si="97"/>
        <v>4784</v>
      </c>
      <c r="I1061" s="1102">
        <f t="shared" si="96"/>
        <v>4784</v>
      </c>
    </row>
    <row r="1062" spans="1:9" s="293" customFormat="1" ht="14.4" hidden="1" outlineLevel="3" x14ac:dyDescent="0.25">
      <c r="A1062" s="1097" t="s">
        <v>3020</v>
      </c>
      <c r="B1062" s="1104" t="s">
        <v>1351</v>
      </c>
      <c r="C1062" s="1026" t="s">
        <v>96</v>
      </c>
      <c r="D1062" s="305">
        <v>232</v>
      </c>
      <c r="E1062" s="1105">
        <v>0</v>
      </c>
      <c r="F1062" s="1105">
        <v>15.39</v>
      </c>
      <c r="G1062" s="1102">
        <f t="shared" si="95"/>
        <v>0</v>
      </c>
      <c r="H1062" s="1103">
        <f t="shared" si="97"/>
        <v>3570.48</v>
      </c>
      <c r="I1062" s="1102">
        <f t="shared" si="96"/>
        <v>3570.48</v>
      </c>
    </row>
    <row r="1063" spans="1:9" s="293" customFormat="1" ht="14.4" hidden="1" outlineLevel="1" collapsed="1" x14ac:dyDescent="0.25">
      <c r="A1063" s="1097" t="s">
        <v>2941</v>
      </c>
      <c r="B1063" s="1098" t="s">
        <v>1352</v>
      </c>
      <c r="C1063" s="1099" t="s">
        <v>96</v>
      </c>
      <c r="D1063" s="1099">
        <f>SUM(D1068,D1066,D1064)</f>
        <v>21</v>
      </c>
      <c r="E1063" s="1100"/>
      <c r="F1063" s="1100"/>
      <c r="G1063" s="1096">
        <f>SUM(G1064:G1069)</f>
        <v>6000</v>
      </c>
      <c r="H1063" s="1096">
        <f>SUM(H1064:H1069)</f>
        <v>71564</v>
      </c>
      <c r="I1063" s="1096">
        <f>SUM(G1063:H1063)</f>
        <v>77564</v>
      </c>
    </row>
    <row r="1064" spans="1:9" s="7" customFormat="1" ht="28.8" hidden="1" outlineLevel="2" x14ac:dyDescent="0.25">
      <c r="A1064" s="1097" t="s">
        <v>3021</v>
      </c>
      <c r="B1064" s="1281" t="s">
        <v>1354</v>
      </c>
      <c r="C1064" s="1099" t="s">
        <v>96</v>
      </c>
      <c r="D1064" s="1099">
        <v>2</v>
      </c>
      <c r="E1064" s="1100">
        <v>250</v>
      </c>
      <c r="F1064" s="1100">
        <v>1930</v>
      </c>
      <c r="G1064" s="1096">
        <f>PRODUCT(E1064,D1064)</f>
        <v>500</v>
      </c>
      <c r="H1064" s="1096">
        <f>PRODUCT(F1064,D1064)</f>
        <v>3860</v>
      </c>
      <c r="I1064" s="1096">
        <f>SUM(G1064:H1064)</f>
        <v>4360</v>
      </c>
    </row>
    <row r="1065" spans="1:9" s="7" customFormat="1" ht="14.4" hidden="1" outlineLevel="2" x14ac:dyDescent="0.25">
      <c r="A1065" s="1097" t="s">
        <v>3022</v>
      </c>
      <c r="B1065" s="1281" t="s">
        <v>1356</v>
      </c>
      <c r="C1065" s="1099" t="s">
        <v>96</v>
      </c>
      <c r="D1065" s="1099">
        <v>4</v>
      </c>
      <c r="E1065" s="1100">
        <v>0</v>
      </c>
      <c r="F1065" s="1100">
        <v>39</v>
      </c>
      <c r="G1065" s="1096">
        <f t="shared" ref="G1065:G1069" si="98">PRODUCT(E1065,D1065)</f>
        <v>0</v>
      </c>
      <c r="H1065" s="1096">
        <f>PRODUCT(F1065,D1065)</f>
        <v>156</v>
      </c>
      <c r="I1065" s="1096">
        <f t="shared" ref="I1065:I1069" si="99">SUM(G1065:H1065)</f>
        <v>156</v>
      </c>
    </row>
    <row r="1066" spans="1:9" s="7" customFormat="1" ht="28.8" hidden="1" outlineLevel="2" x14ac:dyDescent="0.25">
      <c r="A1066" s="1097" t="s">
        <v>3023</v>
      </c>
      <c r="B1066" s="1281" t="s">
        <v>1358</v>
      </c>
      <c r="C1066" s="1099" t="s">
        <v>96</v>
      </c>
      <c r="D1066" s="1099">
        <v>16</v>
      </c>
      <c r="E1066" s="1100">
        <v>250</v>
      </c>
      <c r="F1066" s="1100">
        <v>2330</v>
      </c>
      <c r="G1066" s="1096">
        <f t="shared" si="98"/>
        <v>4000</v>
      </c>
      <c r="H1066" s="1096">
        <f t="shared" ref="H1066:H1069" si="100">PRODUCT(F1066,D1066)</f>
        <v>37280</v>
      </c>
      <c r="I1066" s="1096">
        <f t="shared" si="99"/>
        <v>41280</v>
      </c>
    </row>
    <row r="1067" spans="1:9" s="7" customFormat="1" ht="14.4" hidden="1" outlineLevel="2" x14ac:dyDescent="0.25">
      <c r="A1067" s="1097" t="s">
        <v>3024</v>
      </c>
      <c r="B1067" s="1281" t="s">
        <v>1360</v>
      </c>
      <c r="C1067" s="1099" t="s">
        <v>96</v>
      </c>
      <c r="D1067" s="1099">
        <v>32</v>
      </c>
      <c r="E1067" s="1100">
        <v>0</v>
      </c>
      <c r="F1067" s="1100">
        <v>41</v>
      </c>
      <c r="G1067" s="1096">
        <f t="shared" si="98"/>
        <v>0</v>
      </c>
      <c r="H1067" s="1096">
        <f t="shared" si="100"/>
        <v>1312</v>
      </c>
      <c r="I1067" s="1096">
        <f t="shared" si="99"/>
        <v>1312</v>
      </c>
    </row>
    <row r="1068" spans="1:9" s="7" customFormat="1" ht="28.8" hidden="1" outlineLevel="2" x14ac:dyDescent="0.25">
      <c r="A1068" s="1097" t="s">
        <v>3025</v>
      </c>
      <c r="B1068" s="1281" t="s">
        <v>1362</v>
      </c>
      <c r="C1068" s="1099" t="s">
        <v>96</v>
      </c>
      <c r="D1068" s="1099">
        <v>3</v>
      </c>
      <c r="E1068" s="1100">
        <v>500</v>
      </c>
      <c r="F1068" s="1100">
        <v>9500</v>
      </c>
      <c r="G1068" s="1096">
        <f t="shared" si="98"/>
        <v>1500</v>
      </c>
      <c r="H1068" s="1096">
        <f t="shared" si="100"/>
        <v>28500</v>
      </c>
      <c r="I1068" s="1096">
        <f t="shared" si="99"/>
        <v>30000</v>
      </c>
    </row>
    <row r="1069" spans="1:9" s="7" customFormat="1" ht="14.4" hidden="1" outlineLevel="2" x14ac:dyDescent="0.25">
      <c r="A1069" s="1097" t="s">
        <v>3026</v>
      </c>
      <c r="B1069" s="1281" t="s">
        <v>1364</v>
      </c>
      <c r="C1069" s="1099" t="s">
        <v>96</v>
      </c>
      <c r="D1069" s="1099">
        <v>6</v>
      </c>
      <c r="E1069" s="1100">
        <v>0</v>
      </c>
      <c r="F1069" s="1100">
        <v>76</v>
      </c>
      <c r="G1069" s="1096">
        <f t="shared" si="98"/>
        <v>0</v>
      </c>
      <c r="H1069" s="1096">
        <f t="shared" si="100"/>
        <v>456</v>
      </c>
      <c r="I1069" s="1096">
        <f t="shared" si="99"/>
        <v>456</v>
      </c>
    </row>
    <row r="1070" spans="1:9" s="293" customFormat="1" ht="14.4" hidden="1" outlineLevel="1" collapsed="1" x14ac:dyDescent="0.25">
      <c r="A1070" s="1097" t="s">
        <v>2942</v>
      </c>
      <c r="B1070" s="1098" t="s">
        <v>1365</v>
      </c>
      <c r="C1070" s="1099" t="s">
        <v>74</v>
      </c>
      <c r="D1070" s="1099">
        <v>505</v>
      </c>
      <c r="E1070" s="1100">
        <v>30</v>
      </c>
      <c r="F1070" s="1100"/>
      <c r="G1070" s="1096">
        <f>PRODUCT(E1070,D1070)</f>
        <v>15150</v>
      </c>
      <c r="H1070" s="1096">
        <f>SUM(H1071)</f>
        <v>8540</v>
      </c>
      <c r="I1070" s="1096">
        <f>SUM(G1070:H1070)</f>
        <v>23690</v>
      </c>
    </row>
    <row r="1071" spans="1:9" s="7" customFormat="1" ht="14.4" hidden="1" outlineLevel="2" x14ac:dyDescent="0.25">
      <c r="A1071" s="1097" t="s">
        <v>3027</v>
      </c>
      <c r="B1071" s="1282" t="s">
        <v>1367</v>
      </c>
      <c r="C1071" s="1099" t="s">
        <v>79</v>
      </c>
      <c r="D1071" s="1099">
        <v>122</v>
      </c>
      <c r="E1071" s="1100"/>
      <c r="F1071" s="1148">
        <v>70</v>
      </c>
      <c r="G1071" s="1096"/>
      <c r="H1071" s="1096">
        <f t="shared" ref="H1071" si="101">PRODUCT(F1071,D1071)</f>
        <v>8540</v>
      </c>
      <c r="I1071" s="1096">
        <f>SUM(G1071:H1071)</f>
        <v>8540</v>
      </c>
    </row>
    <row r="1072" spans="1:9" s="293" customFormat="1" ht="14.4" hidden="1" outlineLevel="1" collapsed="1" x14ac:dyDescent="0.25">
      <c r="A1072" s="1097" t="s">
        <v>2943</v>
      </c>
      <c r="B1072" s="1098" t="s">
        <v>1368</v>
      </c>
      <c r="C1072" s="1099" t="s">
        <v>318</v>
      </c>
      <c r="D1072" s="1099">
        <v>505</v>
      </c>
      <c r="E1072" s="1100">
        <v>30</v>
      </c>
      <c r="F1072" s="1100"/>
      <c r="G1072" s="1096">
        <f>PRODUCT(E1072,D1072)</f>
        <v>15150</v>
      </c>
      <c r="H1072" s="1096">
        <f>SUM(H1073)</f>
        <v>5539</v>
      </c>
      <c r="I1072" s="1096">
        <f>SUM(G1072:H1072)</f>
        <v>20689</v>
      </c>
    </row>
    <row r="1073" spans="1:9" s="7" customFormat="1" ht="14.4" hidden="1" outlineLevel="2" x14ac:dyDescent="0.25">
      <c r="A1073" s="1097" t="s">
        <v>3028</v>
      </c>
      <c r="B1073" s="1283" t="s">
        <v>1370</v>
      </c>
      <c r="C1073" s="1099" t="s">
        <v>79</v>
      </c>
      <c r="D1073" s="1099">
        <v>58</v>
      </c>
      <c r="E1073" s="1100"/>
      <c r="F1073" s="1148">
        <v>95.5</v>
      </c>
      <c r="G1073" s="1096"/>
      <c r="H1073" s="1096">
        <f t="shared" ref="H1073" si="102">PRODUCT(F1073,D1073)</f>
        <v>5539</v>
      </c>
      <c r="I1073" s="1096">
        <f>SUM(G1073:H1073)</f>
        <v>5539</v>
      </c>
    </row>
    <row r="1074" spans="1:9" s="293" customFormat="1" ht="14.4" hidden="1" outlineLevel="1" collapsed="1" x14ac:dyDescent="0.25">
      <c r="A1074" s="1097" t="s">
        <v>2944</v>
      </c>
      <c r="B1074" s="1098" t="s">
        <v>1371</v>
      </c>
      <c r="C1074" s="1099" t="s">
        <v>318</v>
      </c>
      <c r="D1074" s="1099">
        <f>SUM(D1075:D1083)</f>
        <v>654</v>
      </c>
      <c r="E1074" s="1100">
        <v>30</v>
      </c>
      <c r="F1074" s="1100"/>
      <c r="G1074" s="1096">
        <f>PRODUCT(E1074,D1074)</f>
        <v>19620</v>
      </c>
      <c r="H1074" s="1096">
        <f>SUM(H1075:H1083)</f>
        <v>112394.7</v>
      </c>
      <c r="I1074" s="1096">
        <f t="shared" ref="I1074:I1084" si="103">SUM(G1074:H1074)</f>
        <v>132014.70000000001</v>
      </c>
    </row>
    <row r="1075" spans="1:9" s="7" customFormat="1" ht="14.4" hidden="1" outlineLevel="2" x14ac:dyDescent="0.25">
      <c r="A1075" s="1097" t="s">
        <v>3029</v>
      </c>
      <c r="B1075" s="1098" t="s">
        <v>1373</v>
      </c>
      <c r="C1075" s="1099" t="s">
        <v>318</v>
      </c>
      <c r="D1075" s="1099">
        <v>105</v>
      </c>
      <c r="E1075" s="1100">
        <v>0</v>
      </c>
      <c r="F1075" s="1284">
        <v>333.3</v>
      </c>
      <c r="G1075" s="1285">
        <f>E1075*D1075</f>
        <v>0</v>
      </c>
      <c r="H1075" s="1096">
        <f>PRODUCT(F1075,D1075)</f>
        <v>34996.5</v>
      </c>
      <c r="I1075" s="1096">
        <f>SUM(G1075:H1075)</f>
        <v>34996.5</v>
      </c>
    </row>
    <row r="1076" spans="1:9" s="7" customFormat="1" ht="14.4" hidden="1" outlineLevel="2" x14ac:dyDescent="0.25">
      <c r="A1076" s="1097" t="s">
        <v>3030</v>
      </c>
      <c r="B1076" s="1098" t="s">
        <v>1375</v>
      </c>
      <c r="C1076" s="1099" t="s">
        <v>318</v>
      </c>
      <c r="D1076" s="1099">
        <v>69</v>
      </c>
      <c r="E1076" s="1100">
        <v>0</v>
      </c>
      <c r="F1076" s="1286">
        <v>283.14</v>
      </c>
      <c r="G1076" s="1285">
        <f t="shared" ref="G1076:G1083" si="104">E1076*D1076</f>
        <v>0</v>
      </c>
      <c r="H1076" s="1096">
        <f t="shared" ref="H1076:H1085" si="105">PRODUCT(F1076,D1076)</f>
        <v>19536.66</v>
      </c>
      <c r="I1076" s="1096">
        <f t="shared" ref="I1076:I1083" si="106">SUM(G1076:H1076)</f>
        <v>19536.66</v>
      </c>
    </row>
    <row r="1077" spans="1:9" s="7" customFormat="1" ht="14.4" hidden="1" outlineLevel="2" x14ac:dyDescent="0.25">
      <c r="A1077" s="1097" t="s">
        <v>3031</v>
      </c>
      <c r="B1077" s="1098" t="s">
        <v>1377</v>
      </c>
      <c r="C1077" s="1099" t="s">
        <v>318</v>
      </c>
      <c r="D1077" s="1099">
        <v>75</v>
      </c>
      <c r="E1077" s="1100">
        <v>0</v>
      </c>
      <c r="F1077" s="1287">
        <v>266.17</v>
      </c>
      <c r="G1077" s="1285">
        <f t="shared" si="104"/>
        <v>0</v>
      </c>
      <c r="H1077" s="1096">
        <f t="shared" si="105"/>
        <v>19962.75</v>
      </c>
      <c r="I1077" s="1096">
        <f t="shared" si="106"/>
        <v>19962.75</v>
      </c>
    </row>
    <row r="1078" spans="1:9" s="7" customFormat="1" ht="14.4" hidden="1" outlineLevel="2" x14ac:dyDescent="0.25">
      <c r="A1078" s="1097" t="s">
        <v>3032</v>
      </c>
      <c r="B1078" s="1098" t="s">
        <v>1379</v>
      </c>
      <c r="C1078" s="1099" t="s">
        <v>318</v>
      </c>
      <c r="D1078" s="1099">
        <v>46</v>
      </c>
      <c r="E1078" s="1100">
        <v>0</v>
      </c>
      <c r="F1078" s="1288">
        <v>160.71</v>
      </c>
      <c r="G1078" s="1285">
        <f t="shared" si="104"/>
        <v>0</v>
      </c>
      <c r="H1078" s="1096">
        <f t="shared" si="105"/>
        <v>7392.6600000000008</v>
      </c>
      <c r="I1078" s="1096">
        <f t="shared" si="106"/>
        <v>7392.6600000000008</v>
      </c>
    </row>
    <row r="1079" spans="1:9" s="7" customFormat="1" ht="14.4" hidden="1" outlineLevel="2" x14ac:dyDescent="0.25">
      <c r="A1079" s="1097" t="s">
        <v>3033</v>
      </c>
      <c r="B1079" s="1098" t="s">
        <v>1381</v>
      </c>
      <c r="C1079" s="1099" t="s">
        <v>318</v>
      </c>
      <c r="D1079" s="1099">
        <v>37</v>
      </c>
      <c r="E1079" s="1100">
        <v>0</v>
      </c>
      <c r="F1079" s="1289">
        <v>109.76</v>
      </c>
      <c r="G1079" s="1285">
        <f t="shared" si="104"/>
        <v>0</v>
      </c>
      <c r="H1079" s="1096">
        <f t="shared" si="105"/>
        <v>4061.1200000000003</v>
      </c>
      <c r="I1079" s="1096">
        <f t="shared" si="106"/>
        <v>4061.1200000000003</v>
      </c>
    </row>
    <row r="1080" spans="1:9" s="7" customFormat="1" ht="14.4" hidden="1" outlineLevel="2" x14ac:dyDescent="0.25">
      <c r="A1080" s="1097" t="s">
        <v>3034</v>
      </c>
      <c r="B1080" s="1098" t="s">
        <v>1383</v>
      </c>
      <c r="C1080" s="1099" t="s">
        <v>318</v>
      </c>
      <c r="D1080" s="1099">
        <v>25</v>
      </c>
      <c r="E1080" s="1100">
        <v>0</v>
      </c>
      <c r="F1080" s="1290">
        <v>91.84</v>
      </c>
      <c r="G1080" s="1285">
        <f t="shared" si="104"/>
        <v>0</v>
      </c>
      <c r="H1080" s="1096">
        <f t="shared" si="105"/>
        <v>2296</v>
      </c>
      <c r="I1080" s="1096">
        <f t="shared" si="106"/>
        <v>2296</v>
      </c>
    </row>
    <row r="1081" spans="1:9" s="7" customFormat="1" ht="14.4" hidden="1" outlineLevel="2" x14ac:dyDescent="0.25">
      <c r="A1081" s="1097" t="s">
        <v>3035</v>
      </c>
      <c r="B1081" s="1098" t="s">
        <v>1385</v>
      </c>
      <c r="C1081" s="1099" t="s">
        <v>318</v>
      </c>
      <c r="D1081" s="1099">
        <v>183</v>
      </c>
      <c r="E1081" s="1100">
        <v>0</v>
      </c>
      <c r="F1081" s="1291">
        <v>88.33</v>
      </c>
      <c r="G1081" s="1285">
        <f t="shared" si="104"/>
        <v>0</v>
      </c>
      <c r="H1081" s="1096">
        <f t="shared" si="105"/>
        <v>16164.39</v>
      </c>
      <c r="I1081" s="1096">
        <f t="shared" si="106"/>
        <v>16164.39</v>
      </c>
    </row>
    <row r="1082" spans="1:9" s="7" customFormat="1" ht="14.4" hidden="1" outlineLevel="2" x14ac:dyDescent="0.25">
      <c r="A1082" s="1097" t="s">
        <v>3036</v>
      </c>
      <c r="B1082" s="1098" t="s">
        <v>1387</v>
      </c>
      <c r="C1082" s="1099" t="s">
        <v>318</v>
      </c>
      <c r="D1082" s="1099">
        <v>42</v>
      </c>
      <c r="E1082" s="1100">
        <v>0</v>
      </c>
      <c r="F1082" s="1292">
        <v>71.430000000000007</v>
      </c>
      <c r="G1082" s="1285">
        <f t="shared" si="104"/>
        <v>0</v>
      </c>
      <c r="H1082" s="1096">
        <f t="shared" si="105"/>
        <v>3000.0600000000004</v>
      </c>
      <c r="I1082" s="1096">
        <f t="shared" si="106"/>
        <v>3000.0600000000004</v>
      </c>
    </row>
    <row r="1083" spans="1:9" s="7" customFormat="1" ht="14.4" hidden="1" outlineLevel="2" x14ac:dyDescent="0.25">
      <c r="A1083" s="1097" t="s">
        <v>3037</v>
      </c>
      <c r="B1083" s="1098" t="s">
        <v>1389</v>
      </c>
      <c r="C1083" s="1099" t="s">
        <v>318</v>
      </c>
      <c r="D1083" s="1099">
        <v>72</v>
      </c>
      <c r="E1083" s="1100">
        <v>0</v>
      </c>
      <c r="F1083" s="1292">
        <v>69.23</v>
      </c>
      <c r="G1083" s="1285">
        <f t="shared" si="104"/>
        <v>0</v>
      </c>
      <c r="H1083" s="1096">
        <f>PRODUCT(F1083,D1083)</f>
        <v>4984.5600000000004</v>
      </c>
      <c r="I1083" s="1096">
        <f t="shared" si="106"/>
        <v>4984.5600000000004</v>
      </c>
    </row>
    <row r="1084" spans="1:9" s="293" customFormat="1" ht="14.4" hidden="1" outlineLevel="1" collapsed="1" x14ac:dyDescent="0.25">
      <c r="A1084" s="1097" t="s">
        <v>2945</v>
      </c>
      <c r="B1084" s="1098" t="s">
        <v>1390</v>
      </c>
      <c r="C1084" s="1099" t="s">
        <v>74</v>
      </c>
      <c r="D1084" s="1099">
        <v>311</v>
      </c>
      <c r="E1084" s="1100">
        <v>40</v>
      </c>
      <c r="F1084" s="1100"/>
      <c r="G1084" s="1096">
        <f>PRODUCT(E1084,D1084)</f>
        <v>12440</v>
      </c>
      <c r="H1084" s="1096">
        <f>SUM(H1085:H1085)</f>
        <v>13839.5</v>
      </c>
      <c r="I1084" s="1096">
        <f t="shared" si="103"/>
        <v>26279.5</v>
      </c>
    </row>
    <row r="1085" spans="1:9" s="7" customFormat="1" ht="14.4" hidden="1" outlineLevel="2" x14ac:dyDescent="0.25">
      <c r="A1085" s="1097" t="s">
        <v>3038</v>
      </c>
      <c r="B1085" s="1104" t="s">
        <v>1391</v>
      </c>
      <c r="C1085" s="1099" t="s">
        <v>74</v>
      </c>
      <c r="D1085" s="1099">
        <v>311</v>
      </c>
      <c r="E1085" s="1100"/>
      <c r="F1085" s="1100">
        <v>44.5</v>
      </c>
      <c r="G1085" s="1096"/>
      <c r="H1085" s="1096">
        <f t="shared" si="105"/>
        <v>13839.5</v>
      </c>
      <c r="I1085" s="1096"/>
    </row>
    <row r="1086" spans="1:9" s="293" customFormat="1" ht="14.4" hidden="1" outlineLevel="1" collapsed="1" x14ac:dyDescent="0.25">
      <c r="A1086" s="1097" t="s">
        <v>2946</v>
      </c>
      <c r="B1086" s="1098" t="s">
        <v>1392</v>
      </c>
      <c r="C1086" s="1099" t="s">
        <v>96</v>
      </c>
      <c r="D1086" s="1100">
        <f>SUM(D1087:D1148)</f>
        <v>738</v>
      </c>
      <c r="E1086" s="1106"/>
      <c r="F1086" s="1100"/>
      <c r="G1086" s="1096">
        <f>SUM(G1087:G1159)</f>
        <v>994300</v>
      </c>
      <c r="H1086" s="1096">
        <f>SUM(H1087:H1159)</f>
        <v>2260266.3499999996</v>
      </c>
      <c r="I1086" s="1096">
        <f>SUM(I1087:I1159)</f>
        <v>3254566.35</v>
      </c>
    </row>
    <row r="1087" spans="1:9" s="7" customFormat="1" ht="28.8" hidden="1" outlineLevel="2" x14ac:dyDescent="0.25">
      <c r="A1087" s="1293" t="s">
        <v>3039</v>
      </c>
      <c r="B1087" s="1294" t="s">
        <v>1393</v>
      </c>
      <c r="C1087" s="1295" t="s">
        <v>96</v>
      </c>
      <c r="D1087" s="1296">
        <v>6</v>
      </c>
      <c r="E1087" s="322">
        <v>1300</v>
      </c>
      <c r="F1087" s="1297">
        <v>3516.69</v>
      </c>
      <c r="G1087" s="1285">
        <f>E1087*D1087</f>
        <v>7800</v>
      </c>
      <c r="H1087" s="1285">
        <f>PRODUCT(F1087,D1087)</f>
        <v>21100.14</v>
      </c>
      <c r="I1087" s="1285">
        <f>SUM(G1087:H1087)</f>
        <v>28900.14</v>
      </c>
    </row>
    <row r="1088" spans="1:9" s="7" customFormat="1" ht="28.8" hidden="1" outlineLevel="2" x14ac:dyDescent="0.25">
      <c r="A1088" s="1293" t="s">
        <v>3040</v>
      </c>
      <c r="B1088" s="1294" t="s">
        <v>1394</v>
      </c>
      <c r="C1088" s="1295" t="s">
        <v>96</v>
      </c>
      <c r="D1088" s="1296">
        <v>44</v>
      </c>
      <c r="E1088" s="322">
        <v>1300</v>
      </c>
      <c r="F1088" s="1298">
        <v>1018.77</v>
      </c>
      <c r="G1088" s="1285">
        <f t="shared" ref="G1088:G1148" si="107">E1088*D1088</f>
        <v>57200</v>
      </c>
      <c r="H1088" s="1285">
        <f t="shared" ref="H1088:H1149" si="108">PRODUCT(F1088,D1088)</f>
        <v>44825.88</v>
      </c>
      <c r="I1088" s="1285">
        <f t="shared" ref="I1088:I1149" si="109">SUM(G1088:H1088)</f>
        <v>102025.88</v>
      </c>
    </row>
    <row r="1089" spans="1:9" s="7" customFormat="1" ht="28.8" hidden="1" outlineLevel="2" x14ac:dyDescent="0.25">
      <c r="A1089" s="1293" t="s">
        <v>3041</v>
      </c>
      <c r="B1089" s="1294" t="s">
        <v>1395</v>
      </c>
      <c r="C1089" s="1295" t="s">
        <v>96</v>
      </c>
      <c r="D1089" s="1296">
        <v>19</v>
      </c>
      <c r="E1089" s="322">
        <v>1300</v>
      </c>
      <c r="F1089" s="1298">
        <v>1155.8900000000001</v>
      </c>
      <c r="G1089" s="1285">
        <f t="shared" si="107"/>
        <v>24700</v>
      </c>
      <c r="H1089" s="1285">
        <f t="shared" si="108"/>
        <v>21961.910000000003</v>
      </c>
      <c r="I1089" s="1285">
        <f t="shared" si="109"/>
        <v>46661.91</v>
      </c>
    </row>
    <row r="1090" spans="1:9" s="7" customFormat="1" ht="28.8" hidden="1" outlineLevel="2" x14ac:dyDescent="0.25">
      <c r="A1090" s="1293" t="s">
        <v>3042</v>
      </c>
      <c r="B1090" s="1294" t="s">
        <v>1397</v>
      </c>
      <c r="C1090" s="1295" t="s">
        <v>96</v>
      </c>
      <c r="D1090" s="1296">
        <v>30</v>
      </c>
      <c r="E1090" s="322">
        <v>1300</v>
      </c>
      <c r="F1090" s="1298">
        <v>1314.11</v>
      </c>
      <c r="G1090" s="1285">
        <f t="shared" si="107"/>
        <v>39000</v>
      </c>
      <c r="H1090" s="1285">
        <f t="shared" si="108"/>
        <v>39423.299999999996</v>
      </c>
      <c r="I1090" s="1285">
        <f t="shared" si="109"/>
        <v>78423.299999999988</v>
      </c>
    </row>
    <row r="1091" spans="1:9" s="7" customFormat="1" ht="28.8" hidden="1" outlineLevel="2" x14ac:dyDescent="0.25">
      <c r="A1091" s="1293" t="s">
        <v>3043</v>
      </c>
      <c r="B1091" s="1294" t="s">
        <v>1399</v>
      </c>
      <c r="C1091" s="1295" t="s">
        <v>96</v>
      </c>
      <c r="D1091" s="1296">
        <v>49</v>
      </c>
      <c r="E1091" s="322">
        <v>1300</v>
      </c>
      <c r="F1091" s="1298">
        <v>1459.15</v>
      </c>
      <c r="G1091" s="1285">
        <f t="shared" si="107"/>
        <v>63700</v>
      </c>
      <c r="H1091" s="1285">
        <f t="shared" si="108"/>
        <v>71498.350000000006</v>
      </c>
      <c r="I1091" s="1285">
        <f t="shared" si="109"/>
        <v>135198.35</v>
      </c>
    </row>
    <row r="1092" spans="1:9" s="7" customFormat="1" ht="28.8" hidden="1" outlineLevel="2" x14ac:dyDescent="0.25">
      <c r="A1092" s="1293" t="s">
        <v>3044</v>
      </c>
      <c r="B1092" s="1294" t="s">
        <v>1401</v>
      </c>
      <c r="C1092" s="1295" t="s">
        <v>96</v>
      </c>
      <c r="D1092" s="1296">
        <v>47</v>
      </c>
      <c r="E1092" s="322">
        <v>1300</v>
      </c>
      <c r="F1092" s="1298">
        <v>1612.99</v>
      </c>
      <c r="G1092" s="1285">
        <f t="shared" si="107"/>
        <v>61100</v>
      </c>
      <c r="H1092" s="1285">
        <f t="shared" si="108"/>
        <v>75810.53</v>
      </c>
      <c r="I1092" s="1285">
        <f t="shared" si="109"/>
        <v>136910.53</v>
      </c>
    </row>
    <row r="1093" spans="1:9" s="7" customFormat="1" ht="28.8" hidden="1" outlineLevel="2" x14ac:dyDescent="0.25">
      <c r="A1093" s="1293" t="s">
        <v>3045</v>
      </c>
      <c r="B1093" s="1294" t="s">
        <v>1403</v>
      </c>
      <c r="C1093" s="1295" t="s">
        <v>96</v>
      </c>
      <c r="D1093" s="1296">
        <v>41</v>
      </c>
      <c r="E1093" s="322">
        <v>1300</v>
      </c>
      <c r="F1093" s="1298">
        <v>1758.02</v>
      </c>
      <c r="G1093" s="1285">
        <f t="shared" si="107"/>
        <v>53300</v>
      </c>
      <c r="H1093" s="1285">
        <f t="shared" si="108"/>
        <v>72078.819999999992</v>
      </c>
      <c r="I1093" s="1285">
        <f t="shared" si="109"/>
        <v>125378.81999999999</v>
      </c>
    </row>
    <row r="1094" spans="1:9" s="7" customFormat="1" ht="28.8" hidden="1" outlineLevel="2" x14ac:dyDescent="0.25">
      <c r="A1094" s="1293" t="s">
        <v>3046</v>
      </c>
      <c r="B1094" s="1294" t="s">
        <v>1405</v>
      </c>
      <c r="C1094" s="1295" t="s">
        <v>96</v>
      </c>
      <c r="D1094" s="1296">
        <v>33</v>
      </c>
      <c r="E1094" s="322">
        <v>1300</v>
      </c>
      <c r="F1094" s="1298">
        <v>1925.03</v>
      </c>
      <c r="G1094" s="1285">
        <f t="shared" si="107"/>
        <v>42900</v>
      </c>
      <c r="H1094" s="1285">
        <f t="shared" si="108"/>
        <v>63525.99</v>
      </c>
      <c r="I1094" s="1285">
        <f t="shared" si="109"/>
        <v>106425.98999999999</v>
      </c>
    </row>
    <row r="1095" spans="1:9" s="7" customFormat="1" ht="28.8" hidden="1" outlineLevel="2" x14ac:dyDescent="0.25">
      <c r="A1095" s="1293" t="s">
        <v>3047</v>
      </c>
      <c r="B1095" s="1294" t="s">
        <v>1407</v>
      </c>
      <c r="C1095" s="1295" t="s">
        <v>96</v>
      </c>
      <c r="D1095" s="1296">
        <v>20</v>
      </c>
      <c r="E1095" s="322">
        <v>1300</v>
      </c>
      <c r="F1095" s="1298">
        <v>2070.0700000000002</v>
      </c>
      <c r="G1095" s="1285">
        <f t="shared" si="107"/>
        <v>26000</v>
      </c>
      <c r="H1095" s="1285">
        <f t="shared" si="108"/>
        <v>41401.4</v>
      </c>
      <c r="I1095" s="1285">
        <f t="shared" si="109"/>
        <v>67401.399999999994</v>
      </c>
    </row>
    <row r="1096" spans="1:9" s="7" customFormat="1" ht="28.8" hidden="1" outlineLevel="2" x14ac:dyDescent="0.25">
      <c r="A1096" s="1293" t="s">
        <v>3048</v>
      </c>
      <c r="B1096" s="1294" t="s">
        <v>1409</v>
      </c>
      <c r="C1096" s="1295" t="s">
        <v>96</v>
      </c>
      <c r="D1096" s="1296">
        <v>15</v>
      </c>
      <c r="E1096" s="322">
        <v>1300</v>
      </c>
      <c r="F1096" s="1298">
        <v>2219.4899999999998</v>
      </c>
      <c r="G1096" s="1285">
        <f t="shared" si="107"/>
        <v>19500</v>
      </c>
      <c r="H1096" s="1285">
        <f t="shared" si="108"/>
        <v>33292.35</v>
      </c>
      <c r="I1096" s="1285">
        <f t="shared" si="109"/>
        <v>52792.35</v>
      </c>
    </row>
    <row r="1097" spans="1:9" s="7" customFormat="1" ht="28.8" hidden="1" outlineLevel="2" x14ac:dyDescent="0.25">
      <c r="A1097" s="1293" t="s">
        <v>3049</v>
      </c>
      <c r="B1097" s="1294" t="s">
        <v>1411</v>
      </c>
      <c r="C1097" s="1295" t="s">
        <v>96</v>
      </c>
      <c r="D1097" s="1296">
        <v>40</v>
      </c>
      <c r="E1097" s="322">
        <v>1300</v>
      </c>
      <c r="F1097" s="1298">
        <v>1558.11</v>
      </c>
      <c r="G1097" s="1285">
        <f t="shared" si="107"/>
        <v>52000</v>
      </c>
      <c r="H1097" s="1285">
        <f t="shared" si="108"/>
        <v>62324.399999999994</v>
      </c>
      <c r="I1097" s="1285">
        <f t="shared" si="109"/>
        <v>114324.4</v>
      </c>
    </row>
    <row r="1098" spans="1:9" s="7" customFormat="1" ht="28.8" hidden="1" outlineLevel="2" x14ac:dyDescent="0.25">
      <c r="A1098" s="1293" t="s">
        <v>3050</v>
      </c>
      <c r="B1098" s="1294" t="s">
        <v>1413</v>
      </c>
      <c r="C1098" s="1295" t="s">
        <v>96</v>
      </c>
      <c r="D1098" s="1296">
        <v>16</v>
      </c>
      <c r="E1098" s="322">
        <v>1300</v>
      </c>
      <c r="F1098" s="1298">
        <v>1783.77</v>
      </c>
      <c r="G1098" s="1285">
        <f t="shared" si="107"/>
        <v>20800</v>
      </c>
      <c r="H1098" s="1285">
        <f t="shared" si="108"/>
        <v>28540.32</v>
      </c>
      <c r="I1098" s="1285">
        <f t="shared" si="109"/>
        <v>49340.32</v>
      </c>
    </row>
    <row r="1099" spans="1:9" s="7" customFormat="1" ht="28.8" hidden="1" outlineLevel="2" x14ac:dyDescent="0.25">
      <c r="A1099" s="1293" t="s">
        <v>3051</v>
      </c>
      <c r="B1099" s="1294" t="s">
        <v>1415</v>
      </c>
      <c r="C1099" s="1295" t="s">
        <v>96</v>
      </c>
      <c r="D1099" s="1296">
        <v>25</v>
      </c>
      <c r="E1099" s="322">
        <v>1300</v>
      </c>
      <c r="F1099" s="1298">
        <v>1977.18</v>
      </c>
      <c r="G1099" s="1285">
        <f t="shared" si="107"/>
        <v>32500</v>
      </c>
      <c r="H1099" s="1285">
        <f t="shared" si="108"/>
        <v>49429.5</v>
      </c>
      <c r="I1099" s="1285">
        <f t="shared" si="109"/>
        <v>81929.5</v>
      </c>
    </row>
    <row r="1100" spans="1:9" s="7" customFormat="1" ht="28.8" hidden="1" outlineLevel="2" x14ac:dyDescent="0.25">
      <c r="A1100" s="1293" t="s">
        <v>3052</v>
      </c>
      <c r="B1100" s="1294" t="s">
        <v>1417</v>
      </c>
      <c r="C1100" s="1295" t="s">
        <v>96</v>
      </c>
      <c r="D1100" s="1296">
        <v>31</v>
      </c>
      <c r="E1100" s="322">
        <v>1300</v>
      </c>
      <c r="F1100" s="1298">
        <v>2181.35</v>
      </c>
      <c r="G1100" s="1285">
        <f t="shared" si="107"/>
        <v>40300</v>
      </c>
      <c r="H1100" s="1285">
        <f t="shared" si="108"/>
        <v>67621.849999999991</v>
      </c>
      <c r="I1100" s="1285">
        <f t="shared" si="109"/>
        <v>107921.84999999999</v>
      </c>
    </row>
    <row r="1101" spans="1:9" s="7" customFormat="1" ht="28.8" hidden="1" outlineLevel="2" x14ac:dyDescent="0.25">
      <c r="A1101" s="1293" t="s">
        <v>3053</v>
      </c>
      <c r="B1101" s="1294" t="s">
        <v>1419</v>
      </c>
      <c r="C1101" s="1295" t="s">
        <v>96</v>
      </c>
      <c r="D1101" s="1296">
        <v>18</v>
      </c>
      <c r="E1101" s="322">
        <v>1300</v>
      </c>
      <c r="F1101" s="1298">
        <v>2374.77</v>
      </c>
      <c r="G1101" s="1285">
        <f t="shared" si="107"/>
        <v>23400</v>
      </c>
      <c r="H1101" s="1285">
        <f t="shared" si="108"/>
        <v>42745.86</v>
      </c>
      <c r="I1101" s="1285">
        <f t="shared" si="109"/>
        <v>66145.86</v>
      </c>
    </row>
    <row r="1102" spans="1:9" s="7" customFormat="1" ht="28.8" hidden="1" outlineLevel="2" x14ac:dyDescent="0.25">
      <c r="A1102" s="1293" t="s">
        <v>3054</v>
      </c>
      <c r="B1102" s="1294" t="s">
        <v>1421</v>
      </c>
      <c r="C1102" s="1295" t="s">
        <v>96</v>
      </c>
      <c r="D1102" s="1296">
        <v>13</v>
      </c>
      <c r="E1102" s="322">
        <v>1300</v>
      </c>
      <c r="F1102" s="1298">
        <v>2600.4299999999998</v>
      </c>
      <c r="G1102" s="1285">
        <f t="shared" si="107"/>
        <v>16900</v>
      </c>
      <c r="H1102" s="1285">
        <f t="shared" si="108"/>
        <v>33805.589999999997</v>
      </c>
      <c r="I1102" s="1285">
        <f t="shared" si="109"/>
        <v>50705.59</v>
      </c>
    </row>
    <row r="1103" spans="1:9" s="7" customFormat="1" ht="28.8" hidden="1" outlineLevel="2" x14ac:dyDescent="0.25">
      <c r="A1103" s="1293" t="s">
        <v>3055</v>
      </c>
      <c r="B1103" s="1294" t="s">
        <v>1423</v>
      </c>
      <c r="C1103" s="1295" t="s">
        <v>96</v>
      </c>
      <c r="D1103" s="1296">
        <v>8</v>
      </c>
      <c r="E1103" s="322">
        <v>1300</v>
      </c>
      <c r="F1103" s="1298">
        <v>2793.85</v>
      </c>
      <c r="G1103" s="1285">
        <f t="shared" si="107"/>
        <v>10400</v>
      </c>
      <c r="H1103" s="1285">
        <f t="shared" si="108"/>
        <v>22350.799999999999</v>
      </c>
      <c r="I1103" s="1285">
        <f t="shared" si="109"/>
        <v>32750.799999999999</v>
      </c>
    </row>
    <row r="1104" spans="1:9" s="7" customFormat="1" ht="28.8" hidden="1" outlineLevel="2" x14ac:dyDescent="0.25">
      <c r="A1104" s="1293" t="s">
        <v>3056</v>
      </c>
      <c r="B1104" s="1294" t="s">
        <v>1425</v>
      </c>
      <c r="C1104" s="1295" t="s">
        <v>96</v>
      </c>
      <c r="D1104" s="1296">
        <v>2</v>
      </c>
      <c r="E1104" s="322">
        <v>1300</v>
      </c>
      <c r="F1104" s="1298">
        <v>2987.27</v>
      </c>
      <c r="G1104" s="1285">
        <f t="shared" si="107"/>
        <v>2600</v>
      </c>
      <c r="H1104" s="1285">
        <f t="shared" si="108"/>
        <v>5974.54</v>
      </c>
      <c r="I1104" s="1285">
        <f t="shared" si="109"/>
        <v>8574.5400000000009</v>
      </c>
    </row>
    <row r="1105" spans="1:9" s="7" customFormat="1" ht="28.8" hidden="1" outlineLevel="2" x14ac:dyDescent="0.25">
      <c r="A1105" s="1293" t="s">
        <v>3057</v>
      </c>
      <c r="B1105" s="1294" t="s">
        <v>1427</v>
      </c>
      <c r="C1105" s="1295" t="s">
        <v>96</v>
      </c>
      <c r="D1105" s="1296">
        <v>12</v>
      </c>
      <c r="E1105" s="322">
        <v>1300</v>
      </c>
      <c r="F1105" s="1298">
        <v>3954.53</v>
      </c>
      <c r="G1105" s="1285">
        <f t="shared" si="107"/>
        <v>15600</v>
      </c>
      <c r="H1105" s="1285">
        <f t="shared" si="108"/>
        <v>47454.36</v>
      </c>
      <c r="I1105" s="1285">
        <f t="shared" si="109"/>
        <v>63054.36</v>
      </c>
    </row>
    <row r="1106" spans="1:9" s="7" customFormat="1" ht="28.8" hidden="1" outlineLevel="2" x14ac:dyDescent="0.25">
      <c r="A1106" s="1293" t="s">
        <v>3058</v>
      </c>
      <c r="B1106" s="1294" t="s">
        <v>1429</v>
      </c>
      <c r="C1106" s="1295" t="s">
        <v>96</v>
      </c>
      <c r="D1106" s="1296">
        <v>17</v>
      </c>
      <c r="E1106" s="322">
        <v>1300</v>
      </c>
      <c r="F1106" s="1298">
        <v>4336.78</v>
      </c>
      <c r="G1106" s="1285">
        <f t="shared" si="107"/>
        <v>22100</v>
      </c>
      <c r="H1106" s="1285">
        <f t="shared" si="108"/>
        <v>73725.259999999995</v>
      </c>
      <c r="I1106" s="1285">
        <f t="shared" si="109"/>
        <v>95825.26</v>
      </c>
    </row>
    <row r="1107" spans="1:9" s="7" customFormat="1" ht="28.8" hidden="1" outlineLevel="2" x14ac:dyDescent="0.25">
      <c r="A1107" s="1293" t="s">
        <v>3059</v>
      </c>
      <c r="B1107" s="1294" t="s">
        <v>1431</v>
      </c>
      <c r="C1107" s="1295" t="s">
        <v>96</v>
      </c>
      <c r="D1107" s="1296">
        <v>20</v>
      </c>
      <c r="E1107" s="322">
        <v>1300</v>
      </c>
      <c r="F1107" s="1298">
        <v>4884.45</v>
      </c>
      <c r="G1107" s="1285">
        <f t="shared" si="107"/>
        <v>26000</v>
      </c>
      <c r="H1107" s="1285">
        <f t="shared" si="108"/>
        <v>97689</v>
      </c>
      <c r="I1107" s="1285">
        <f t="shared" si="109"/>
        <v>123689</v>
      </c>
    </row>
    <row r="1108" spans="1:9" s="7" customFormat="1" ht="28.8" hidden="1" outlineLevel="2" x14ac:dyDescent="0.25">
      <c r="A1108" s="1293" t="s">
        <v>3060</v>
      </c>
      <c r="B1108" s="1294" t="s">
        <v>1433</v>
      </c>
      <c r="C1108" s="1295" t="s">
        <v>96</v>
      </c>
      <c r="D1108" s="1296">
        <v>7</v>
      </c>
      <c r="E1108" s="322">
        <v>1300</v>
      </c>
      <c r="F1108" s="1298">
        <v>5415</v>
      </c>
      <c r="G1108" s="1285">
        <f t="shared" si="107"/>
        <v>9100</v>
      </c>
      <c r="H1108" s="1285">
        <f t="shared" si="108"/>
        <v>37905</v>
      </c>
      <c r="I1108" s="1285">
        <f t="shared" si="109"/>
        <v>47005</v>
      </c>
    </row>
    <row r="1109" spans="1:9" s="7" customFormat="1" ht="28.8" hidden="1" outlineLevel="2" x14ac:dyDescent="0.25">
      <c r="A1109" s="1293" t="s">
        <v>3061</v>
      </c>
      <c r="B1109" s="1294" t="s">
        <v>1435</v>
      </c>
      <c r="C1109" s="1295" t="s">
        <v>96</v>
      </c>
      <c r="D1109" s="1296">
        <v>4</v>
      </c>
      <c r="E1109" s="322">
        <v>1300</v>
      </c>
      <c r="F1109" s="1298">
        <v>2263.09</v>
      </c>
      <c r="G1109" s="1285">
        <f t="shared" si="107"/>
        <v>5200</v>
      </c>
      <c r="H1109" s="1285">
        <f t="shared" si="108"/>
        <v>9052.36</v>
      </c>
      <c r="I1109" s="1285">
        <f t="shared" si="109"/>
        <v>14252.36</v>
      </c>
    </row>
    <row r="1110" spans="1:9" s="7" customFormat="1" ht="28.8" hidden="1" outlineLevel="2" x14ac:dyDescent="0.25">
      <c r="A1110" s="1293" t="s">
        <v>3062</v>
      </c>
      <c r="B1110" s="1294" t="s">
        <v>1437</v>
      </c>
      <c r="C1110" s="1295" t="s">
        <v>96</v>
      </c>
      <c r="D1110" s="1296">
        <v>10</v>
      </c>
      <c r="E1110" s="322">
        <v>1300</v>
      </c>
      <c r="F1110" s="1298">
        <v>2475.23</v>
      </c>
      <c r="G1110" s="1285">
        <f t="shared" si="107"/>
        <v>13000</v>
      </c>
      <c r="H1110" s="1285">
        <f t="shared" si="108"/>
        <v>24752.3</v>
      </c>
      <c r="I1110" s="1285">
        <f t="shared" si="109"/>
        <v>37752.300000000003</v>
      </c>
    </row>
    <row r="1111" spans="1:9" s="7" customFormat="1" ht="28.8" hidden="1" outlineLevel="2" x14ac:dyDescent="0.25">
      <c r="A1111" s="1293" t="s">
        <v>3063</v>
      </c>
      <c r="B1111" s="1294" t="s">
        <v>1439</v>
      </c>
      <c r="C1111" s="1295" t="s">
        <v>96</v>
      </c>
      <c r="D1111" s="1296">
        <v>26</v>
      </c>
      <c r="E1111" s="322">
        <v>1300</v>
      </c>
      <c r="F1111" s="1298">
        <v>2713.44</v>
      </c>
      <c r="G1111" s="1285">
        <f t="shared" si="107"/>
        <v>33800</v>
      </c>
      <c r="H1111" s="1285">
        <f t="shared" si="108"/>
        <v>70549.440000000002</v>
      </c>
      <c r="I1111" s="1285">
        <f t="shared" si="109"/>
        <v>104349.44</v>
      </c>
    </row>
    <row r="1112" spans="1:9" s="7" customFormat="1" ht="28.8" hidden="1" outlineLevel="2" x14ac:dyDescent="0.25">
      <c r="A1112" s="1293" t="s">
        <v>3064</v>
      </c>
      <c r="B1112" s="1294" t="s">
        <v>1439</v>
      </c>
      <c r="C1112" s="1295" t="s">
        <v>96</v>
      </c>
      <c r="D1112" s="1296">
        <v>13</v>
      </c>
      <c r="E1112" s="322">
        <v>1300</v>
      </c>
      <c r="F1112" s="1298">
        <v>2713.44</v>
      </c>
      <c r="G1112" s="1285">
        <f t="shared" si="107"/>
        <v>16900</v>
      </c>
      <c r="H1112" s="1285">
        <f t="shared" si="108"/>
        <v>35274.720000000001</v>
      </c>
      <c r="I1112" s="1285">
        <f t="shared" si="109"/>
        <v>52174.720000000001</v>
      </c>
    </row>
    <row r="1113" spans="1:9" s="7" customFormat="1" ht="28.8" hidden="1" outlineLevel="2" x14ac:dyDescent="0.25">
      <c r="A1113" s="1293" t="s">
        <v>3065</v>
      </c>
      <c r="B1113" s="1294" t="s">
        <v>1442</v>
      </c>
      <c r="C1113" s="1295" t="s">
        <v>96</v>
      </c>
      <c r="D1113" s="1296">
        <v>10</v>
      </c>
      <c r="E1113" s="322">
        <v>1300</v>
      </c>
      <c r="F1113" s="1298">
        <v>2918.36</v>
      </c>
      <c r="G1113" s="1285">
        <f t="shared" si="107"/>
        <v>13000</v>
      </c>
      <c r="H1113" s="1285">
        <f t="shared" si="108"/>
        <v>29183.600000000002</v>
      </c>
      <c r="I1113" s="1285">
        <f t="shared" si="109"/>
        <v>42183.600000000006</v>
      </c>
    </row>
    <row r="1114" spans="1:9" s="7" customFormat="1" ht="28.8" hidden="1" outlineLevel="2" x14ac:dyDescent="0.25">
      <c r="A1114" s="1293" t="s">
        <v>3066</v>
      </c>
      <c r="B1114" s="1294" t="s">
        <v>1444</v>
      </c>
      <c r="C1114" s="1295" t="s">
        <v>96</v>
      </c>
      <c r="D1114" s="1296">
        <v>2</v>
      </c>
      <c r="E1114" s="322">
        <v>1300</v>
      </c>
      <c r="F1114" s="1298">
        <v>2205.02</v>
      </c>
      <c r="G1114" s="1285">
        <f t="shared" si="107"/>
        <v>2600</v>
      </c>
      <c r="H1114" s="1285">
        <f t="shared" si="108"/>
        <v>4410.04</v>
      </c>
      <c r="I1114" s="1285">
        <f t="shared" si="109"/>
        <v>7010.04</v>
      </c>
    </row>
    <row r="1115" spans="1:9" s="7" customFormat="1" ht="28.8" hidden="1" outlineLevel="2" x14ac:dyDescent="0.25">
      <c r="A1115" s="1293" t="s">
        <v>3067</v>
      </c>
      <c r="B1115" s="1294" t="s">
        <v>1446</v>
      </c>
      <c r="C1115" s="1295" t="s">
        <v>96</v>
      </c>
      <c r="D1115" s="1296">
        <v>7</v>
      </c>
      <c r="E1115" s="322">
        <v>1300</v>
      </c>
      <c r="F1115" s="1298">
        <v>2451.84</v>
      </c>
      <c r="G1115" s="1285">
        <f t="shared" si="107"/>
        <v>9100</v>
      </c>
      <c r="H1115" s="1285">
        <f t="shared" si="108"/>
        <v>17162.88</v>
      </c>
      <c r="I1115" s="1285">
        <f t="shared" si="109"/>
        <v>26262.880000000001</v>
      </c>
    </row>
    <row r="1116" spans="1:9" s="7" customFormat="1" ht="28.8" hidden="1" outlineLevel="2" x14ac:dyDescent="0.25">
      <c r="A1116" s="1293" t="s">
        <v>3068</v>
      </c>
      <c r="B1116" s="1294" t="s">
        <v>1448</v>
      </c>
      <c r="C1116" s="1299" t="s">
        <v>96</v>
      </c>
      <c r="D1116" s="1300">
        <v>12</v>
      </c>
      <c r="E1116" s="322">
        <v>1300</v>
      </c>
      <c r="F1116" s="1298">
        <v>2688.55</v>
      </c>
      <c r="G1116" s="1285">
        <f t="shared" si="107"/>
        <v>15600</v>
      </c>
      <c r="H1116" s="1285">
        <f t="shared" si="108"/>
        <v>32262.600000000002</v>
      </c>
      <c r="I1116" s="1285">
        <f t="shared" si="109"/>
        <v>47862.600000000006</v>
      </c>
    </row>
    <row r="1117" spans="1:9" s="7" customFormat="1" ht="28.8" hidden="1" outlineLevel="2" x14ac:dyDescent="0.25">
      <c r="A1117" s="1293" t="s">
        <v>3069</v>
      </c>
      <c r="B1117" s="1294" t="s">
        <v>1450</v>
      </c>
      <c r="C1117" s="1299" t="s">
        <v>96</v>
      </c>
      <c r="D1117" s="1300">
        <v>9</v>
      </c>
      <c r="E1117" s="322">
        <v>1300</v>
      </c>
      <c r="F1117" s="1298">
        <v>2945.49</v>
      </c>
      <c r="G1117" s="1285">
        <f t="shared" si="107"/>
        <v>11700</v>
      </c>
      <c r="H1117" s="1285">
        <f t="shared" si="108"/>
        <v>26509.409999999996</v>
      </c>
      <c r="I1117" s="1285">
        <f t="shared" si="109"/>
        <v>38209.409999999996</v>
      </c>
    </row>
    <row r="1118" spans="1:9" s="7" customFormat="1" ht="28.8" hidden="1" outlineLevel="2" x14ac:dyDescent="0.25">
      <c r="A1118" s="1293" t="s">
        <v>3070</v>
      </c>
      <c r="B1118" s="1294" t="s">
        <v>1452</v>
      </c>
      <c r="C1118" s="1299" t="s">
        <v>96</v>
      </c>
      <c r="D1118" s="1300">
        <v>7</v>
      </c>
      <c r="E1118" s="322">
        <v>1300</v>
      </c>
      <c r="F1118" s="1298">
        <v>3151.86</v>
      </c>
      <c r="G1118" s="1285">
        <f t="shared" si="107"/>
        <v>9100</v>
      </c>
      <c r="H1118" s="1285">
        <f t="shared" si="108"/>
        <v>22063.02</v>
      </c>
      <c r="I1118" s="1285">
        <f t="shared" si="109"/>
        <v>31163.02</v>
      </c>
    </row>
    <row r="1119" spans="1:9" s="7" customFormat="1" ht="28.8" hidden="1" outlineLevel="2" x14ac:dyDescent="0.25">
      <c r="A1119" s="1293" t="s">
        <v>3071</v>
      </c>
      <c r="B1119" s="1294" t="s">
        <v>1454</v>
      </c>
      <c r="C1119" s="1299" t="s">
        <v>96</v>
      </c>
      <c r="D1119" s="1300">
        <v>7</v>
      </c>
      <c r="E1119" s="322">
        <v>1300</v>
      </c>
      <c r="F1119" s="1298">
        <v>3408.8</v>
      </c>
      <c r="G1119" s="1285">
        <f t="shared" si="107"/>
        <v>9100</v>
      </c>
      <c r="H1119" s="1285">
        <f t="shared" si="108"/>
        <v>23861.600000000002</v>
      </c>
      <c r="I1119" s="1285">
        <f t="shared" si="109"/>
        <v>32961.600000000006</v>
      </c>
    </row>
    <row r="1120" spans="1:9" s="7" customFormat="1" ht="28.8" hidden="1" outlineLevel="2" x14ac:dyDescent="0.25">
      <c r="A1120" s="1293" t="s">
        <v>3072</v>
      </c>
      <c r="B1120" s="1294" t="s">
        <v>1456</v>
      </c>
      <c r="C1120" s="1299" t="s">
        <v>96</v>
      </c>
      <c r="D1120" s="1300">
        <v>2</v>
      </c>
      <c r="E1120" s="322">
        <v>1300</v>
      </c>
      <c r="F1120" s="1298">
        <v>3635.39</v>
      </c>
      <c r="G1120" s="1285">
        <f t="shared" si="107"/>
        <v>2600</v>
      </c>
      <c r="H1120" s="1285">
        <f t="shared" si="108"/>
        <v>7270.78</v>
      </c>
      <c r="I1120" s="1285">
        <f t="shared" si="109"/>
        <v>9870.7799999999988</v>
      </c>
    </row>
    <row r="1121" spans="1:9" s="7" customFormat="1" ht="28.8" hidden="1" outlineLevel="2" x14ac:dyDescent="0.25">
      <c r="A1121" s="1293" t="s">
        <v>3073</v>
      </c>
      <c r="B1121" s="1294" t="s">
        <v>1458</v>
      </c>
      <c r="C1121" s="1299" t="s">
        <v>96</v>
      </c>
      <c r="D1121" s="1300">
        <v>1</v>
      </c>
      <c r="E1121" s="322">
        <v>1300</v>
      </c>
      <c r="F1121" s="1298">
        <v>6650.44</v>
      </c>
      <c r="G1121" s="1285">
        <f t="shared" si="107"/>
        <v>1300</v>
      </c>
      <c r="H1121" s="1285">
        <f t="shared" si="108"/>
        <v>6650.44</v>
      </c>
      <c r="I1121" s="1285">
        <f t="shared" si="109"/>
        <v>7950.44</v>
      </c>
    </row>
    <row r="1122" spans="1:9" s="7" customFormat="1" ht="28.8" hidden="1" outlineLevel="2" x14ac:dyDescent="0.25">
      <c r="A1122" s="1293" t="s">
        <v>3074</v>
      </c>
      <c r="B1122" s="1294" t="s">
        <v>1460</v>
      </c>
      <c r="C1122" s="1299" t="s">
        <v>96</v>
      </c>
      <c r="D1122" s="1300">
        <v>7</v>
      </c>
      <c r="E1122" s="322">
        <v>1300</v>
      </c>
      <c r="F1122" s="322">
        <v>4644.13</v>
      </c>
      <c r="G1122" s="1285">
        <f t="shared" si="107"/>
        <v>9100</v>
      </c>
      <c r="H1122" s="1285">
        <f t="shared" si="108"/>
        <v>32508.91</v>
      </c>
      <c r="I1122" s="1285">
        <f t="shared" si="109"/>
        <v>41608.910000000003</v>
      </c>
    </row>
    <row r="1123" spans="1:9" s="7" customFormat="1" ht="28.8" hidden="1" outlineLevel="2" x14ac:dyDescent="0.25">
      <c r="A1123" s="1293" t="s">
        <v>3075</v>
      </c>
      <c r="B1123" s="1294" t="s">
        <v>1462</v>
      </c>
      <c r="C1123" s="1299" t="s">
        <v>96</v>
      </c>
      <c r="D1123" s="1300">
        <v>15</v>
      </c>
      <c r="E1123" s="322">
        <v>1300</v>
      </c>
      <c r="F1123" s="1301">
        <v>5201.8100000000004</v>
      </c>
      <c r="G1123" s="1285">
        <f t="shared" si="107"/>
        <v>19500</v>
      </c>
      <c r="H1123" s="1285">
        <f t="shared" si="108"/>
        <v>78027.150000000009</v>
      </c>
      <c r="I1123" s="1285">
        <f t="shared" si="109"/>
        <v>97527.150000000009</v>
      </c>
    </row>
    <row r="1124" spans="1:9" s="7" customFormat="1" ht="28.8" hidden="1" outlineLevel="2" x14ac:dyDescent="0.25">
      <c r="A1124" s="1293" t="s">
        <v>3076</v>
      </c>
      <c r="B1124" s="1294" t="s">
        <v>1464</v>
      </c>
      <c r="C1124" s="1299" t="s">
        <v>96</v>
      </c>
      <c r="D1124" s="1300">
        <v>5</v>
      </c>
      <c r="E1124" s="322">
        <v>1300</v>
      </c>
      <c r="F1124" s="1302">
        <v>5569.83</v>
      </c>
      <c r="G1124" s="1285">
        <f t="shared" si="107"/>
        <v>6500</v>
      </c>
      <c r="H1124" s="1285">
        <f t="shared" si="108"/>
        <v>27849.15</v>
      </c>
      <c r="I1124" s="1285">
        <f t="shared" si="109"/>
        <v>34349.15</v>
      </c>
    </row>
    <row r="1125" spans="1:9" s="7" customFormat="1" ht="28.8" hidden="1" outlineLevel="2" x14ac:dyDescent="0.25">
      <c r="A1125" s="1293" t="s">
        <v>3077</v>
      </c>
      <c r="B1125" s="1294" t="s">
        <v>1466</v>
      </c>
      <c r="C1125" s="1299" t="s">
        <v>96</v>
      </c>
      <c r="D1125" s="1300">
        <v>6</v>
      </c>
      <c r="E1125" s="322">
        <v>1300</v>
      </c>
      <c r="F1125" s="1298">
        <v>2695.23</v>
      </c>
      <c r="G1125" s="1285">
        <f t="shared" si="107"/>
        <v>7800</v>
      </c>
      <c r="H1125" s="1285">
        <f t="shared" si="108"/>
        <v>16171.380000000001</v>
      </c>
      <c r="I1125" s="1285">
        <f t="shared" si="109"/>
        <v>23971.38</v>
      </c>
    </row>
    <row r="1126" spans="1:9" s="7" customFormat="1" ht="28.8" hidden="1" outlineLevel="2" x14ac:dyDescent="0.25">
      <c r="A1126" s="1293" t="s">
        <v>3078</v>
      </c>
      <c r="B1126" s="1294" t="s">
        <v>1468</v>
      </c>
      <c r="C1126" s="1299" t="s">
        <v>96</v>
      </c>
      <c r="D1126" s="1300">
        <v>7</v>
      </c>
      <c r="E1126" s="322">
        <v>1300</v>
      </c>
      <c r="F1126" s="1298">
        <v>2695.23</v>
      </c>
      <c r="G1126" s="1285">
        <f t="shared" si="107"/>
        <v>9100</v>
      </c>
      <c r="H1126" s="1285">
        <f t="shared" si="108"/>
        <v>18866.61</v>
      </c>
      <c r="I1126" s="1285">
        <f t="shared" si="109"/>
        <v>27966.61</v>
      </c>
    </row>
    <row r="1127" spans="1:9" s="7" customFormat="1" ht="28.8" hidden="1" outlineLevel="2" x14ac:dyDescent="0.25">
      <c r="A1127" s="1293" t="s">
        <v>3079</v>
      </c>
      <c r="B1127" s="1294" t="s">
        <v>1470</v>
      </c>
      <c r="C1127" s="1299" t="s">
        <v>96</v>
      </c>
      <c r="D1127" s="1300">
        <v>1</v>
      </c>
      <c r="E1127" s="322">
        <v>1300</v>
      </c>
      <c r="F1127" s="1298">
        <v>2917.62</v>
      </c>
      <c r="G1127" s="1285">
        <f t="shared" si="107"/>
        <v>1300</v>
      </c>
      <c r="H1127" s="1285">
        <f t="shared" si="108"/>
        <v>2917.62</v>
      </c>
      <c r="I1127" s="1285">
        <f t="shared" si="109"/>
        <v>4217.62</v>
      </c>
    </row>
    <row r="1128" spans="1:9" s="7" customFormat="1" ht="28.8" hidden="1" outlineLevel="2" x14ac:dyDescent="0.25">
      <c r="A1128" s="1293" t="s">
        <v>3080</v>
      </c>
      <c r="B1128" s="1294" t="s">
        <v>1472</v>
      </c>
      <c r="C1128" s="1299" t="s">
        <v>96</v>
      </c>
      <c r="D1128" s="1300">
        <v>2</v>
      </c>
      <c r="E1128" s="322">
        <v>1300</v>
      </c>
      <c r="F1128" s="1298">
        <v>2285.65</v>
      </c>
      <c r="G1128" s="1285">
        <f t="shared" si="107"/>
        <v>2600</v>
      </c>
      <c r="H1128" s="1285">
        <f t="shared" si="108"/>
        <v>4571.3</v>
      </c>
      <c r="I1128" s="1285">
        <f t="shared" si="109"/>
        <v>7171.3</v>
      </c>
    </row>
    <row r="1129" spans="1:9" s="7" customFormat="1" ht="28.8" hidden="1" outlineLevel="2" x14ac:dyDescent="0.25">
      <c r="A1129" s="1293" t="s">
        <v>3081</v>
      </c>
      <c r="B1129" s="1294" t="s">
        <v>1474</v>
      </c>
      <c r="C1129" s="1299" t="s">
        <v>96</v>
      </c>
      <c r="D1129" s="1300">
        <v>5</v>
      </c>
      <c r="E1129" s="322">
        <v>1300</v>
      </c>
      <c r="F1129" s="1298">
        <v>2548.6</v>
      </c>
      <c r="G1129" s="1285">
        <f t="shared" si="107"/>
        <v>6500</v>
      </c>
      <c r="H1129" s="1285">
        <f t="shared" si="108"/>
        <v>12743</v>
      </c>
      <c r="I1129" s="1285">
        <f t="shared" si="109"/>
        <v>19243</v>
      </c>
    </row>
    <row r="1130" spans="1:9" s="7" customFormat="1" ht="28.8" hidden="1" outlineLevel="2" x14ac:dyDescent="0.25">
      <c r="A1130" s="1293" t="s">
        <v>3082</v>
      </c>
      <c r="B1130" s="1294" t="s">
        <v>1476</v>
      </c>
      <c r="C1130" s="1299" t="s">
        <v>96</v>
      </c>
      <c r="D1130" s="1300">
        <v>7</v>
      </c>
      <c r="E1130" s="322">
        <v>1300</v>
      </c>
      <c r="F1130" s="1298">
        <v>2801.43</v>
      </c>
      <c r="G1130" s="1285">
        <f t="shared" si="107"/>
        <v>9100</v>
      </c>
      <c r="H1130" s="1285">
        <f t="shared" si="108"/>
        <v>19610.009999999998</v>
      </c>
      <c r="I1130" s="1285">
        <f t="shared" si="109"/>
        <v>28710.01</v>
      </c>
    </row>
    <row r="1131" spans="1:9" s="7" customFormat="1" ht="28.8" hidden="1" outlineLevel="2" x14ac:dyDescent="0.25">
      <c r="A1131" s="1293" t="s">
        <v>3083</v>
      </c>
      <c r="B1131" s="1294" t="s">
        <v>1478</v>
      </c>
      <c r="C1131" s="1299" t="s">
        <v>96</v>
      </c>
      <c r="D1131" s="1300">
        <v>4</v>
      </c>
      <c r="E1131" s="322">
        <v>1300</v>
      </c>
      <c r="F1131" s="1298">
        <v>3074.5</v>
      </c>
      <c r="G1131" s="1285">
        <f t="shared" si="107"/>
        <v>5200</v>
      </c>
      <c r="H1131" s="1285">
        <f t="shared" si="108"/>
        <v>12298</v>
      </c>
      <c r="I1131" s="1285">
        <f t="shared" si="109"/>
        <v>17498</v>
      </c>
    </row>
    <row r="1132" spans="1:9" s="7" customFormat="1" ht="28.8" hidden="1" outlineLevel="2" x14ac:dyDescent="0.25">
      <c r="A1132" s="1293" t="s">
        <v>3084</v>
      </c>
      <c r="B1132" s="1294" t="s">
        <v>1480</v>
      </c>
      <c r="C1132" s="1299" t="s">
        <v>96</v>
      </c>
      <c r="D1132" s="1300">
        <v>2</v>
      </c>
      <c r="E1132" s="322">
        <v>1300</v>
      </c>
      <c r="F1132" s="1298">
        <v>3296.99</v>
      </c>
      <c r="G1132" s="1285">
        <f t="shared" si="107"/>
        <v>2600</v>
      </c>
      <c r="H1132" s="1285">
        <f t="shared" si="108"/>
        <v>6593.98</v>
      </c>
      <c r="I1132" s="1285">
        <f t="shared" si="109"/>
        <v>9193.98</v>
      </c>
    </row>
    <row r="1133" spans="1:9" s="7" customFormat="1" ht="28.8" hidden="1" outlineLevel="2" x14ac:dyDescent="0.25">
      <c r="A1133" s="1293" t="s">
        <v>3085</v>
      </c>
      <c r="B1133" s="1294" t="s">
        <v>1482</v>
      </c>
      <c r="C1133" s="1299" t="s">
        <v>96</v>
      </c>
      <c r="D1133" s="1300">
        <v>4</v>
      </c>
      <c r="E1133" s="322">
        <v>1300</v>
      </c>
      <c r="F1133" s="1298">
        <v>3570.06</v>
      </c>
      <c r="G1133" s="1285">
        <f t="shared" si="107"/>
        <v>5200</v>
      </c>
      <c r="H1133" s="1285">
        <f t="shared" si="108"/>
        <v>14280.24</v>
      </c>
      <c r="I1133" s="1285">
        <f t="shared" si="109"/>
        <v>19480.239999999998</v>
      </c>
    </row>
    <row r="1134" spans="1:9" s="7" customFormat="1" ht="28.8" hidden="1" outlineLevel="2" x14ac:dyDescent="0.25">
      <c r="A1134" s="1293" t="s">
        <v>3086</v>
      </c>
      <c r="B1134" s="1294" t="s">
        <v>1484</v>
      </c>
      <c r="C1134" s="1299" t="s">
        <v>96</v>
      </c>
      <c r="D1134" s="1300">
        <v>2</v>
      </c>
      <c r="E1134" s="322">
        <v>1300</v>
      </c>
      <c r="F1134" s="1298">
        <v>3812.78</v>
      </c>
      <c r="G1134" s="1285">
        <f t="shared" si="107"/>
        <v>2600</v>
      </c>
      <c r="H1134" s="1285">
        <f t="shared" si="108"/>
        <v>7625.56</v>
      </c>
      <c r="I1134" s="1285">
        <f t="shared" si="109"/>
        <v>10225.560000000001</v>
      </c>
    </row>
    <row r="1135" spans="1:9" s="7" customFormat="1" ht="28.8" hidden="1" outlineLevel="2" x14ac:dyDescent="0.25">
      <c r="A1135" s="1293" t="s">
        <v>3087</v>
      </c>
      <c r="B1135" s="1294" t="s">
        <v>1486</v>
      </c>
      <c r="C1135" s="1299" t="s">
        <v>96</v>
      </c>
      <c r="D1135" s="1300">
        <v>7</v>
      </c>
      <c r="E1135" s="322">
        <v>1300</v>
      </c>
      <c r="F1135" s="1298">
        <v>6883.34</v>
      </c>
      <c r="G1135" s="1285">
        <f t="shared" si="107"/>
        <v>9100</v>
      </c>
      <c r="H1135" s="1285">
        <f t="shared" si="108"/>
        <v>48183.380000000005</v>
      </c>
      <c r="I1135" s="1285">
        <f t="shared" si="109"/>
        <v>57283.380000000005</v>
      </c>
    </row>
    <row r="1136" spans="1:9" s="7" customFormat="1" ht="28.8" hidden="1" outlineLevel="2" x14ac:dyDescent="0.25">
      <c r="A1136" s="1293" t="s">
        <v>3088</v>
      </c>
      <c r="B1136" s="1294" t="s">
        <v>1488</v>
      </c>
      <c r="C1136" s="1299" t="s">
        <v>96</v>
      </c>
      <c r="D1136" s="1300">
        <v>10</v>
      </c>
      <c r="E1136" s="322">
        <v>1300</v>
      </c>
      <c r="F1136" s="1298">
        <v>7551.87</v>
      </c>
      <c r="G1136" s="1285">
        <f t="shared" si="107"/>
        <v>13000</v>
      </c>
      <c r="H1136" s="1285">
        <f t="shared" si="108"/>
        <v>75518.7</v>
      </c>
      <c r="I1136" s="1285">
        <f t="shared" si="109"/>
        <v>88518.7</v>
      </c>
    </row>
    <row r="1137" spans="1:11" s="7" customFormat="1" ht="28.8" hidden="1" outlineLevel="2" x14ac:dyDescent="0.25">
      <c r="A1137" s="1293" t="s">
        <v>3089</v>
      </c>
      <c r="B1137" s="1294" t="s">
        <v>1490</v>
      </c>
      <c r="C1137" s="1299" t="s">
        <v>96</v>
      </c>
      <c r="D1137" s="1300">
        <v>8</v>
      </c>
      <c r="E1137" s="322">
        <v>1300</v>
      </c>
      <c r="F1137" s="1298">
        <v>8543.9</v>
      </c>
      <c r="G1137" s="1285">
        <f t="shared" si="107"/>
        <v>10400</v>
      </c>
      <c r="H1137" s="1285">
        <f t="shared" si="108"/>
        <v>68351.199999999997</v>
      </c>
      <c r="I1137" s="1285">
        <f t="shared" si="109"/>
        <v>78751.199999999997</v>
      </c>
    </row>
    <row r="1138" spans="1:11" s="7" customFormat="1" ht="28.8" hidden="1" outlineLevel="2" x14ac:dyDescent="0.25">
      <c r="A1138" s="1293" t="s">
        <v>3090</v>
      </c>
      <c r="B1138" s="1294" t="s">
        <v>1492</v>
      </c>
      <c r="C1138" s="1299" t="s">
        <v>96</v>
      </c>
      <c r="D1138" s="1300">
        <v>3</v>
      </c>
      <c r="E1138" s="322">
        <v>1300</v>
      </c>
      <c r="F1138" s="1303">
        <v>9315.86</v>
      </c>
      <c r="G1138" s="1285">
        <f t="shared" si="107"/>
        <v>3900</v>
      </c>
      <c r="H1138" s="1285">
        <f t="shared" si="108"/>
        <v>27947.58</v>
      </c>
      <c r="I1138" s="1285">
        <f t="shared" si="109"/>
        <v>31847.58</v>
      </c>
    </row>
    <row r="1139" spans="1:11" s="7" customFormat="1" ht="28.8" hidden="1" outlineLevel="2" x14ac:dyDescent="0.25">
      <c r="A1139" s="1293" t="s">
        <v>3091</v>
      </c>
      <c r="B1139" s="1294" t="s">
        <v>1494</v>
      </c>
      <c r="C1139" s="1299" t="s">
        <v>96</v>
      </c>
      <c r="D1139" s="1300">
        <v>1</v>
      </c>
      <c r="E1139" s="322">
        <v>1300</v>
      </c>
      <c r="F1139" s="1298">
        <v>3577.17</v>
      </c>
      <c r="G1139" s="1285">
        <f t="shared" si="107"/>
        <v>1300</v>
      </c>
      <c r="H1139" s="1285">
        <f t="shared" si="108"/>
        <v>3577.17</v>
      </c>
      <c r="I1139" s="1285">
        <f t="shared" si="109"/>
        <v>4877.17</v>
      </c>
    </row>
    <row r="1140" spans="1:11" s="7" customFormat="1" ht="28.8" hidden="1" outlineLevel="2" x14ac:dyDescent="0.25">
      <c r="A1140" s="1293" t="s">
        <v>3092</v>
      </c>
      <c r="B1140" s="1294" t="s">
        <v>1496</v>
      </c>
      <c r="C1140" s="1299" t="s">
        <v>96</v>
      </c>
      <c r="D1140" s="1300">
        <v>1</v>
      </c>
      <c r="E1140" s="322">
        <v>1300</v>
      </c>
      <c r="F1140" s="1298">
        <v>3914.93</v>
      </c>
      <c r="G1140" s="1285">
        <f t="shared" si="107"/>
        <v>1300</v>
      </c>
      <c r="H1140" s="1285">
        <f t="shared" si="108"/>
        <v>3914.93</v>
      </c>
      <c r="I1140" s="1285">
        <f t="shared" si="109"/>
        <v>5214.93</v>
      </c>
    </row>
    <row r="1141" spans="1:11" s="7" customFormat="1" ht="28.8" hidden="1" outlineLevel="2" x14ac:dyDescent="0.25">
      <c r="A1141" s="1293" t="s">
        <v>3093</v>
      </c>
      <c r="B1141" s="1294" t="s">
        <v>1498</v>
      </c>
      <c r="C1141" s="1299" t="s">
        <v>96</v>
      </c>
      <c r="D1141" s="1300">
        <v>6</v>
      </c>
      <c r="E1141" s="322">
        <v>1300</v>
      </c>
      <c r="F1141" s="1298">
        <v>4193.87</v>
      </c>
      <c r="G1141" s="1285">
        <f t="shared" si="107"/>
        <v>7800</v>
      </c>
      <c r="H1141" s="1285">
        <f t="shared" si="108"/>
        <v>25163.22</v>
      </c>
      <c r="I1141" s="1285">
        <f t="shared" si="109"/>
        <v>32963.22</v>
      </c>
    </row>
    <row r="1142" spans="1:11" s="7" customFormat="1" ht="28.8" hidden="1" outlineLevel="2" x14ac:dyDescent="0.25">
      <c r="A1142" s="1293" t="s">
        <v>3094</v>
      </c>
      <c r="B1142" s="1294" t="s">
        <v>1500</v>
      </c>
      <c r="C1142" s="1299" t="s">
        <v>96</v>
      </c>
      <c r="D1142" s="1300">
        <v>2</v>
      </c>
      <c r="E1142" s="322">
        <v>1300</v>
      </c>
      <c r="F1142" s="1298">
        <v>4193.87</v>
      </c>
      <c r="G1142" s="1285">
        <f t="shared" si="107"/>
        <v>2600</v>
      </c>
      <c r="H1142" s="1285">
        <f t="shared" si="108"/>
        <v>8387.74</v>
      </c>
      <c r="I1142" s="1285">
        <f t="shared" si="109"/>
        <v>10987.74</v>
      </c>
    </row>
    <row r="1143" spans="1:11" s="7" customFormat="1" ht="28.8" hidden="1" outlineLevel="2" x14ac:dyDescent="0.25">
      <c r="A1143" s="1293" t="s">
        <v>3095</v>
      </c>
      <c r="B1143" s="1294" t="s">
        <v>1502</v>
      </c>
      <c r="C1143" s="1299" t="s">
        <v>96</v>
      </c>
      <c r="D1143" s="1300">
        <v>2</v>
      </c>
      <c r="E1143" s="322">
        <v>1300</v>
      </c>
      <c r="F1143" s="1298">
        <v>4841.67</v>
      </c>
      <c r="G1143" s="1285">
        <f t="shared" si="107"/>
        <v>2600</v>
      </c>
      <c r="H1143" s="1285">
        <f t="shared" si="108"/>
        <v>9683.34</v>
      </c>
      <c r="I1143" s="1285">
        <f t="shared" si="109"/>
        <v>12283.34</v>
      </c>
    </row>
    <row r="1144" spans="1:11" s="7" customFormat="1" ht="28.8" hidden="1" outlineLevel="2" x14ac:dyDescent="0.25">
      <c r="A1144" s="1293" t="s">
        <v>3096</v>
      </c>
      <c r="B1144" s="1294" t="s">
        <v>1504</v>
      </c>
      <c r="C1144" s="1299" t="s">
        <v>96</v>
      </c>
      <c r="D1144" s="1300">
        <v>2</v>
      </c>
      <c r="E1144" s="322">
        <v>1300</v>
      </c>
      <c r="F1144" s="1298">
        <v>5466.74</v>
      </c>
      <c r="G1144" s="1285">
        <f t="shared" si="107"/>
        <v>2600</v>
      </c>
      <c r="H1144" s="1285">
        <f t="shared" si="108"/>
        <v>10933.48</v>
      </c>
      <c r="I1144" s="1285">
        <f t="shared" si="109"/>
        <v>13533.48</v>
      </c>
    </row>
    <row r="1145" spans="1:11" s="7" customFormat="1" ht="28.8" hidden="1" outlineLevel="2" x14ac:dyDescent="0.25">
      <c r="A1145" s="1293" t="s">
        <v>3097</v>
      </c>
      <c r="B1145" s="1294" t="s">
        <v>1506</v>
      </c>
      <c r="C1145" s="1299" t="s">
        <v>96</v>
      </c>
      <c r="D1145" s="1300">
        <v>1</v>
      </c>
      <c r="E1145" s="322">
        <v>1300</v>
      </c>
      <c r="F1145" s="1298">
        <v>6866.57</v>
      </c>
      <c r="G1145" s="1285">
        <f t="shared" si="107"/>
        <v>1300</v>
      </c>
      <c r="H1145" s="1285">
        <f t="shared" si="108"/>
        <v>6866.57</v>
      </c>
      <c r="I1145" s="1285">
        <f t="shared" si="109"/>
        <v>8166.57</v>
      </c>
    </row>
    <row r="1146" spans="1:11" s="7" customFormat="1" ht="28.8" hidden="1" outlineLevel="2" x14ac:dyDescent="0.25">
      <c r="A1146" s="1293" t="s">
        <v>3098</v>
      </c>
      <c r="B1146" s="1294" t="s">
        <v>1508</v>
      </c>
      <c r="C1146" s="1299" t="s">
        <v>96</v>
      </c>
      <c r="D1146" s="1300">
        <v>1</v>
      </c>
      <c r="E1146" s="322">
        <v>1300</v>
      </c>
      <c r="F1146" s="1298">
        <v>3616.67</v>
      </c>
      <c r="G1146" s="1285">
        <f t="shared" si="107"/>
        <v>1300</v>
      </c>
      <c r="H1146" s="1285">
        <f t="shared" si="108"/>
        <v>3616.67</v>
      </c>
      <c r="I1146" s="1285">
        <f t="shared" si="109"/>
        <v>4916.67</v>
      </c>
    </row>
    <row r="1147" spans="1:11" s="7" customFormat="1" ht="28.8" hidden="1" outlineLevel="2" x14ac:dyDescent="0.25">
      <c r="A1147" s="1293" t="s">
        <v>3099</v>
      </c>
      <c r="B1147" s="1294" t="s">
        <v>1510</v>
      </c>
      <c r="C1147" s="1299" t="s">
        <v>96</v>
      </c>
      <c r="D1147" s="1300">
        <v>3</v>
      </c>
      <c r="E1147" s="322">
        <v>1300</v>
      </c>
      <c r="F1147" s="1298">
        <v>4100.8900000000003</v>
      </c>
      <c r="G1147" s="1285">
        <f t="shared" si="107"/>
        <v>3900</v>
      </c>
      <c r="H1147" s="1285">
        <f t="shared" si="108"/>
        <v>12302.670000000002</v>
      </c>
      <c r="I1147" s="1285">
        <f t="shared" si="109"/>
        <v>16202.670000000002</v>
      </c>
    </row>
    <row r="1148" spans="1:11" s="7" customFormat="1" ht="28.8" hidden="1" outlineLevel="2" x14ac:dyDescent="0.25">
      <c r="A1148" s="1293" t="s">
        <v>3100</v>
      </c>
      <c r="B1148" s="1294" t="s">
        <v>1512</v>
      </c>
      <c r="C1148" s="1299" t="s">
        <v>96</v>
      </c>
      <c r="D1148" s="1300">
        <v>1</v>
      </c>
      <c r="E1148" s="322">
        <v>1300</v>
      </c>
      <c r="F1148" s="1298">
        <v>4556.37</v>
      </c>
      <c r="G1148" s="1285">
        <f t="shared" si="107"/>
        <v>1300</v>
      </c>
      <c r="H1148" s="1285">
        <f t="shared" si="108"/>
        <v>4556.37</v>
      </c>
      <c r="I1148" s="1285">
        <f t="shared" si="109"/>
        <v>5856.37</v>
      </c>
      <c r="K1148" s="535">
        <v>-4556.37</v>
      </c>
    </row>
    <row r="1149" spans="1:11" s="7" customFormat="1" ht="28.8" hidden="1" outlineLevel="2" x14ac:dyDescent="0.25">
      <c r="A1149" s="1293" t="s">
        <v>3101</v>
      </c>
      <c r="B1149" s="1304" t="s">
        <v>1514</v>
      </c>
      <c r="C1149" s="1305" t="s">
        <v>96</v>
      </c>
      <c r="D1149" s="322">
        <v>349</v>
      </c>
      <c r="E1149" s="322">
        <v>100</v>
      </c>
      <c r="F1149" s="322">
        <v>282</v>
      </c>
      <c r="G1149" s="1285">
        <f t="shared" ref="G1149:G1164" si="110">PRODUCT(E1149,D1149)</f>
        <v>34900</v>
      </c>
      <c r="H1149" s="1285">
        <f t="shared" si="108"/>
        <v>98418</v>
      </c>
      <c r="I1149" s="1285">
        <f t="shared" si="109"/>
        <v>133318</v>
      </c>
    </row>
    <row r="1150" spans="1:11" s="7" customFormat="1" ht="14.4" hidden="1" outlineLevel="2" x14ac:dyDescent="0.25">
      <c r="A1150" s="1293" t="s">
        <v>3102</v>
      </c>
      <c r="B1150" s="1240" t="s">
        <v>1516</v>
      </c>
      <c r="C1150" s="1305" t="s">
        <v>96</v>
      </c>
      <c r="D1150" s="322">
        <v>1388</v>
      </c>
      <c r="E1150" s="322">
        <v>0</v>
      </c>
      <c r="F1150" s="322">
        <v>6.49</v>
      </c>
      <c r="G1150" s="1285">
        <f t="shared" si="110"/>
        <v>0</v>
      </c>
      <c r="H1150" s="1285">
        <f>PRODUCT(F1150,D1150)</f>
        <v>9008.1200000000008</v>
      </c>
      <c r="I1150" s="1285">
        <f>SUM(G1150:H1150)</f>
        <v>9008.1200000000008</v>
      </c>
    </row>
    <row r="1151" spans="1:11" s="7" customFormat="1" ht="14.4" hidden="1" outlineLevel="2" x14ac:dyDescent="0.25">
      <c r="A1151" s="1293" t="s">
        <v>3103</v>
      </c>
      <c r="B1151" s="1306" t="s">
        <v>1518</v>
      </c>
      <c r="C1151" s="1305" t="s">
        <v>96</v>
      </c>
      <c r="D1151" s="322">
        <v>2388</v>
      </c>
      <c r="E1151" s="322">
        <v>0</v>
      </c>
      <c r="F1151" s="322">
        <v>3.77</v>
      </c>
      <c r="G1151" s="1285">
        <f t="shared" si="110"/>
        <v>0</v>
      </c>
      <c r="H1151" s="1285">
        <f t="shared" ref="H1151:H1159" si="111">PRODUCT(F1151,D1151)</f>
        <v>9002.76</v>
      </c>
      <c r="I1151" s="1285">
        <f t="shared" ref="I1151:I1159" si="112">SUM(G1151:H1151)</f>
        <v>9002.76</v>
      </c>
    </row>
    <row r="1152" spans="1:11" s="7" customFormat="1" ht="14.4" hidden="1" outlineLevel="2" x14ac:dyDescent="0.25">
      <c r="A1152" s="1293" t="s">
        <v>3104</v>
      </c>
      <c r="B1152" s="1240" t="s">
        <v>1520</v>
      </c>
      <c r="C1152" s="1305" t="s">
        <v>96</v>
      </c>
      <c r="D1152" s="322">
        <v>1428</v>
      </c>
      <c r="E1152" s="322">
        <v>0</v>
      </c>
      <c r="F1152" s="322">
        <v>72.540000000000006</v>
      </c>
      <c r="G1152" s="1285">
        <f t="shared" si="110"/>
        <v>0</v>
      </c>
      <c r="H1152" s="1285">
        <f t="shared" si="111"/>
        <v>103587.12000000001</v>
      </c>
      <c r="I1152" s="1285">
        <f t="shared" si="112"/>
        <v>103587.12000000001</v>
      </c>
    </row>
    <row r="1153" spans="1:9" s="7" customFormat="1" ht="14.4" hidden="1" outlineLevel="2" x14ac:dyDescent="0.25">
      <c r="A1153" s="1293" t="s">
        <v>3105</v>
      </c>
      <c r="B1153" s="1240" t="s">
        <v>1522</v>
      </c>
      <c r="C1153" s="1305" t="s">
        <v>44</v>
      </c>
      <c r="D1153" s="322">
        <v>115</v>
      </c>
      <c r="E1153" s="322">
        <v>0</v>
      </c>
      <c r="F1153" s="322">
        <v>88.66</v>
      </c>
      <c r="G1153" s="1285">
        <f t="shared" si="110"/>
        <v>0</v>
      </c>
      <c r="H1153" s="1285">
        <f t="shared" si="111"/>
        <v>10195.9</v>
      </c>
      <c r="I1153" s="1285">
        <f t="shared" si="112"/>
        <v>10195.9</v>
      </c>
    </row>
    <row r="1154" spans="1:9" s="7" customFormat="1" ht="14.4" hidden="1" outlineLevel="2" x14ac:dyDescent="0.25">
      <c r="A1154" s="1293" t="s">
        <v>3106</v>
      </c>
      <c r="B1154" s="1240" t="s">
        <v>1524</v>
      </c>
      <c r="C1154" s="1305" t="s">
        <v>44</v>
      </c>
      <c r="D1154" s="322">
        <v>115</v>
      </c>
      <c r="E1154" s="322">
        <v>0</v>
      </c>
      <c r="F1154" s="322">
        <v>137.02000000000001</v>
      </c>
      <c r="G1154" s="1285">
        <f t="shared" si="110"/>
        <v>0</v>
      </c>
      <c r="H1154" s="1285">
        <f t="shared" si="111"/>
        <v>15757.300000000001</v>
      </c>
      <c r="I1154" s="1285">
        <f t="shared" si="112"/>
        <v>15757.300000000001</v>
      </c>
    </row>
    <row r="1155" spans="1:9" s="7" customFormat="1" ht="14.4" hidden="1" outlineLevel="2" x14ac:dyDescent="0.25">
      <c r="A1155" s="1293" t="s">
        <v>3107</v>
      </c>
      <c r="B1155" s="1240" t="s">
        <v>1526</v>
      </c>
      <c r="C1155" s="1305" t="s">
        <v>96</v>
      </c>
      <c r="D1155" s="322">
        <v>24</v>
      </c>
      <c r="E1155" s="322">
        <v>0</v>
      </c>
      <c r="F1155" s="322">
        <v>60</v>
      </c>
      <c r="G1155" s="1285">
        <f t="shared" si="110"/>
        <v>0</v>
      </c>
      <c r="H1155" s="1285">
        <f t="shared" si="111"/>
        <v>1440</v>
      </c>
      <c r="I1155" s="1285">
        <f t="shared" si="112"/>
        <v>1440</v>
      </c>
    </row>
    <row r="1156" spans="1:9" s="7" customFormat="1" ht="14.4" hidden="1" outlineLevel="2" x14ac:dyDescent="0.25">
      <c r="A1156" s="1293" t="s">
        <v>3108</v>
      </c>
      <c r="B1156" s="1240" t="s">
        <v>1528</v>
      </c>
      <c r="C1156" s="1305" t="s">
        <v>96</v>
      </c>
      <c r="D1156" s="322">
        <v>115</v>
      </c>
      <c r="E1156" s="322">
        <v>0</v>
      </c>
      <c r="F1156" s="322">
        <v>79.36</v>
      </c>
      <c r="G1156" s="1285">
        <f t="shared" si="110"/>
        <v>0</v>
      </c>
      <c r="H1156" s="1285">
        <f t="shared" si="111"/>
        <v>9126.4</v>
      </c>
      <c r="I1156" s="1285">
        <f t="shared" si="112"/>
        <v>9126.4</v>
      </c>
    </row>
    <row r="1157" spans="1:9" s="7" customFormat="1" ht="14.4" hidden="1" outlineLevel="2" x14ac:dyDescent="0.25">
      <c r="A1157" s="1293" t="s">
        <v>3109</v>
      </c>
      <c r="B1157" s="1240" t="s">
        <v>1530</v>
      </c>
      <c r="C1157" s="1305" t="s">
        <v>96</v>
      </c>
      <c r="D1157" s="322">
        <v>345</v>
      </c>
      <c r="E1157" s="322">
        <v>0</v>
      </c>
      <c r="F1157" s="322">
        <v>32</v>
      </c>
      <c r="G1157" s="1285">
        <f t="shared" si="110"/>
        <v>0</v>
      </c>
      <c r="H1157" s="1285">
        <f t="shared" si="111"/>
        <v>11040</v>
      </c>
      <c r="I1157" s="1285">
        <f t="shared" si="112"/>
        <v>11040</v>
      </c>
    </row>
    <row r="1158" spans="1:9" s="7" customFormat="1" ht="14.4" hidden="1" outlineLevel="2" x14ac:dyDescent="0.25">
      <c r="A1158" s="1293" t="s">
        <v>3110</v>
      </c>
      <c r="B1158" s="1240" t="s">
        <v>1532</v>
      </c>
      <c r="C1158" s="1305" t="s">
        <v>96</v>
      </c>
      <c r="D1158" s="322">
        <v>1198</v>
      </c>
      <c r="E1158" s="322">
        <v>0</v>
      </c>
      <c r="F1158" s="322">
        <v>35.76</v>
      </c>
      <c r="G1158" s="1285">
        <f t="shared" si="110"/>
        <v>0</v>
      </c>
      <c r="H1158" s="1285">
        <f t="shared" si="111"/>
        <v>42840.479999999996</v>
      </c>
      <c r="I1158" s="1285">
        <f t="shared" si="112"/>
        <v>42840.479999999996</v>
      </c>
    </row>
    <row r="1159" spans="1:9" s="7" customFormat="1" ht="14.4" hidden="1" outlineLevel="2" x14ac:dyDescent="0.25">
      <c r="A1159" s="1293" t="s">
        <v>3111</v>
      </c>
      <c r="B1159" s="1268" t="s">
        <v>1283</v>
      </c>
      <c r="C1159" s="1269" t="s">
        <v>96</v>
      </c>
      <c r="D1159" s="322">
        <v>1664</v>
      </c>
      <c r="E1159" s="322">
        <v>0</v>
      </c>
      <c r="F1159" s="1100">
        <v>14</v>
      </c>
      <c r="G1159" s="1285">
        <f t="shared" si="110"/>
        <v>0</v>
      </c>
      <c r="H1159" s="1285">
        <f t="shared" si="111"/>
        <v>23296</v>
      </c>
      <c r="I1159" s="1285">
        <f t="shared" si="112"/>
        <v>23296</v>
      </c>
    </row>
    <row r="1160" spans="1:9" s="293" customFormat="1" ht="14.4" hidden="1" outlineLevel="1" collapsed="1" x14ac:dyDescent="0.25">
      <c r="A1160" s="1097" t="s">
        <v>2947</v>
      </c>
      <c r="B1160" s="1098" t="s">
        <v>1534</v>
      </c>
      <c r="C1160" s="1099" t="s">
        <v>96</v>
      </c>
      <c r="D1160" s="1099">
        <v>24</v>
      </c>
      <c r="E1160" s="1100">
        <v>1500</v>
      </c>
      <c r="F1160" s="1100"/>
      <c r="G1160" s="1096">
        <f t="shared" si="110"/>
        <v>36000</v>
      </c>
      <c r="H1160" s="1096">
        <f>SUM(H1161:H1162)</f>
        <v>2356.12</v>
      </c>
      <c r="I1160" s="1096">
        <f t="shared" ref="I1160:I1168" si="113">SUM(G1160:H1160)</f>
        <v>38356.120000000003</v>
      </c>
    </row>
    <row r="1161" spans="1:9" s="7" customFormat="1" ht="14.4" hidden="1" outlineLevel="2" x14ac:dyDescent="0.25">
      <c r="A1161" s="1097" t="s">
        <v>3112</v>
      </c>
      <c r="B1161" s="1098" t="s">
        <v>1223</v>
      </c>
      <c r="C1161" s="1099" t="s">
        <v>318</v>
      </c>
      <c r="D1161" s="1099">
        <v>4</v>
      </c>
      <c r="E1161" s="1100">
        <v>0</v>
      </c>
      <c r="F1161" s="1259">
        <v>373.43</v>
      </c>
      <c r="G1161" s="1096">
        <f t="shared" si="110"/>
        <v>0</v>
      </c>
      <c r="H1161" s="1096">
        <f t="shared" ref="H1161:H1162" si="114">PRODUCT(F1161,D1161)</f>
        <v>1493.72</v>
      </c>
      <c r="I1161" s="1285">
        <f>SUM(G1161:H1161)</f>
        <v>1493.72</v>
      </c>
    </row>
    <row r="1162" spans="1:9" s="7" customFormat="1" ht="14.4" hidden="1" outlineLevel="2" x14ac:dyDescent="0.25">
      <c r="A1162" s="1097" t="s">
        <v>3113</v>
      </c>
      <c r="B1162" s="1098" t="s">
        <v>1537</v>
      </c>
      <c r="C1162" s="1099" t="s">
        <v>96</v>
      </c>
      <c r="D1162" s="1099">
        <v>8</v>
      </c>
      <c r="E1162" s="1100">
        <v>0</v>
      </c>
      <c r="F1162" s="1100">
        <v>107.8</v>
      </c>
      <c r="G1162" s="1096">
        <f t="shared" si="110"/>
        <v>0</v>
      </c>
      <c r="H1162" s="1096">
        <f t="shared" si="114"/>
        <v>862.4</v>
      </c>
      <c r="I1162" s="1285">
        <f t="shared" ref="I1162:I1163" si="115">SUM(G1162:H1162)</f>
        <v>862.4</v>
      </c>
    </row>
    <row r="1163" spans="1:9" s="7" customFormat="1" ht="14.4" hidden="1" outlineLevel="2" x14ac:dyDescent="0.25">
      <c r="A1163" s="1097" t="s">
        <v>3114</v>
      </c>
      <c r="B1163" s="1098" t="s">
        <v>1229</v>
      </c>
      <c r="C1163" s="1099" t="s">
        <v>318</v>
      </c>
      <c r="D1163" s="1099">
        <v>46</v>
      </c>
      <c r="E1163" s="1100">
        <v>0</v>
      </c>
      <c r="F1163" s="1262">
        <v>195.9</v>
      </c>
      <c r="G1163" s="1096">
        <f t="shared" si="110"/>
        <v>0</v>
      </c>
      <c r="H1163" s="1096">
        <f>PRODUCT(F1163,D1163)</f>
        <v>9011.4</v>
      </c>
      <c r="I1163" s="1285">
        <f t="shared" si="115"/>
        <v>9011.4</v>
      </c>
    </row>
    <row r="1164" spans="1:9" s="7" customFormat="1" ht="14.4" hidden="1" outlineLevel="2" x14ac:dyDescent="0.25">
      <c r="A1164" s="1097" t="s">
        <v>3115</v>
      </c>
      <c r="B1164" s="1098" t="s">
        <v>1540</v>
      </c>
      <c r="C1164" s="1099" t="s">
        <v>96</v>
      </c>
      <c r="D1164" s="1099">
        <v>92</v>
      </c>
      <c r="E1164" s="1100">
        <v>0</v>
      </c>
      <c r="F1164" s="1100">
        <v>56</v>
      </c>
      <c r="G1164" s="1096">
        <f t="shared" si="110"/>
        <v>0</v>
      </c>
      <c r="H1164" s="1096">
        <f>PRODUCT(F1164,D1164)</f>
        <v>5152</v>
      </c>
      <c r="I1164" s="1285">
        <f t="shared" ref="I1164" si="116">SUM(G1164:H1164)</f>
        <v>5152</v>
      </c>
    </row>
    <row r="1165" spans="1:9" s="293" customFormat="1" ht="14.4" hidden="1" outlineLevel="1" collapsed="1" x14ac:dyDescent="0.25">
      <c r="A1165" s="1097" t="s">
        <v>2948</v>
      </c>
      <c r="B1165" s="1098" t="s">
        <v>1541</v>
      </c>
      <c r="C1165" s="1099" t="s">
        <v>96</v>
      </c>
      <c r="D1165" s="1099">
        <f>SUM(D1166:D1167)</f>
        <v>2</v>
      </c>
      <c r="E1165" s="1100">
        <v>1500</v>
      </c>
      <c r="F1165" s="1100"/>
      <c r="G1165" s="1096">
        <f>SUM(G1166:G1167)</f>
        <v>3000</v>
      </c>
      <c r="H1165" s="1096">
        <f>SUM(H1166:H1167)</f>
        <v>16380</v>
      </c>
      <c r="I1165" s="1096">
        <f t="shared" si="113"/>
        <v>19380</v>
      </c>
    </row>
    <row r="1166" spans="1:9" s="7" customFormat="1" ht="14.4" hidden="1" outlineLevel="2" x14ac:dyDescent="0.25">
      <c r="A1166" s="1097" t="s">
        <v>3116</v>
      </c>
      <c r="B1166" s="1098" t="s">
        <v>1543</v>
      </c>
      <c r="C1166" s="1099" t="s">
        <v>96</v>
      </c>
      <c r="D1166" s="1099">
        <v>1</v>
      </c>
      <c r="E1166" s="1100">
        <v>1500</v>
      </c>
      <c r="F1166" s="1100">
        <v>7130</v>
      </c>
      <c r="G1166" s="1096">
        <f>PRODUCT(E1166,D1166)</f>
        <v>1500</v>
      </c>
      <c r="H1166" s="1096">
        <f>PRODUCT(F1166,D1166)</f>
        <v>7130</v>
      </c>
      <c r="I1166" s="1096">
        <f>SUM(G1166:H1166)</f>
        <v>8630</v>
      </c>
    </row>
    <row r="1167" spans="1:9" s="7" customFormat="1" ht="14.4" hidden="1" outlineLevel="2" x14ac:dyDescent="0.25">
      <c r="A1167" s="1097" t="s">
        <v>3117</v>
      </c>
      <c r="B1167" s="1098" t="s">
        <v>1545</v>
      </c>
      <c r="C1167" s="1099" t="s">
        <v>96</v>
      </c>
      <c r="D1167" s="1099">
        <v>1</v>
      </c>
      <c r="E1167" s="1100">
        <v>1500</v>
      </c>
      <c r="F1167" s="1100">
        <v>9250</v>
      </c>
      <c r="G1167" s="1096">
        <f>PRODUCT(E1167,D1167)</f>
        <v>1500</v>
      </c>
      <c r="H1167" s="1096">
        <f>PRODUCT(F1167,D1167)</f>
        <v>9250</v>
      </c>
      <c r="I1167" s="1096">
        <f>SUM(G1167:H1167)</f>
        <v>10750</v>
      </c>
    </row>
    <row r="1168" spans="1:9" s="7" customFormat="1" ht="14.4" hidden="1" outlineLevel="1" collapsed="1" x14ac:dyDescent="0.25">
      <c r="A1168" s="1097" t="s">
        <v>2949</v>
      </c>
      <c r="B1168" s="1098" t="s">
        <v>1546</v>
      </c>
      <c r="C1168" s="1099" t="s">
        <v>96</v>
      </c>
      <c r="D1168" s="1099">
        <f>SUM(D1169:D1197)</f>
        <v>2564</v>
      </c>
      <c r="E1168" s="1100"/>
      <c r="F1168" s="1100"/>
      <c r="G1168" s="1096">
        <f>SUM(G1169:G1197)</f>
        <v>261200</v>
      </c>
      <c r="H1168" s="1096">
        <f>SUM(H1169:H1197)</f>
        <v>1434717.5400000003</v>
      </c>
      <c r="I1168" s="1096">
        <f t="shared" si="113"/>
        <v>1695917.5400000003</v>
      </c>
    </row>
    <row r="1169" spans="1:9" s="7" customFormat="1" ht="14.4" hidden="1" outlineLevel="2" x14ac:dyDescent="0.25">
      <c r="A1169" s="1097" t="s">
        <v>3118</v>
      </c>
      <c r="B1169" s="1101" t="s">
        <v>1548</v>
      </c>
      <c r="C1169" s="1269" t="s">
        <v>96</v>
      </c>
      <c r="D1169" s="1020">
        <v>8</v>
      </c>
      <c r="E1169" s="1105">
        <v>350</v>
      </c>
      <c r="F1169" s="1105">
        <v>1985.95</v>
      </c>
      <c r="G1169" s="1096">
        <f>PRODUCT(E1169,D1169)</f>
        <v>2800</v>
      </c>
      <c r="H1169" s="1096">
        <f>PRODUCT(F1169,D1169)</f>
        <v>15887.6</v>
      </c>
      <c r="I1169" s="1096">
        <f>SUM(G1169:H1169)</f>
        <v>18687.599999999999</v>
      </c>
    </row>
    <row r="1170" spans="1:9" s="7" customFormat="1" ht="14.4" hidden="1" outlineLevel="2" x14ac:dyDescent="0.25">
      <c r="A1170" s="1097" t="s">
        <v>3119</v>
      </c>
      <c r="B1170" s="1268" t="s">
        <v>1550</v>
      </c>
      <c r="C1170" s="1269" t="s">
        <v>96</v>
      </c>
      <c r="D1170" s="1020">
        <v>16</v>
      </c>
      <c r="E1170" s="1100">
        <v>0</v>
      </c>
      <c r="F1170" s="1100">
        <v>14</v>
      </c>
      <c r="G1170" s="1096">
        <f t="shared" ref="G1170:G1197" si="117">PRODUCT(E1170,D1170)</f>
        <v>0</v>
      </c>
      <c r="H1170" s="1096">
        <f t="shared" ref="H1170:H1197" si="118">PRODUCT(F1170,D1170)</f>
        <v>224</v>
      </c>
      <c r="I1170" s="1096">
        <f t="shared" ref="I1170:I1197" si="119">SUM(G1170:H1170)</f>
        <v>224</v>
      </c>
    </row>
    <row r="1171" spans="1:9" s="7" customFormat="1" ht="14.4" hidden="1" outlineLevel="2" x14ac:dyDescent="0.25">
      <c r="A1171" s="1097" t="s">
        <v>3120</v>
      </c>
      <c r="B1171" s="1268" t="s">
        <v>1552</v>
      </c>
      <c r="C1171" s="1269" t="s">
        <v>96</v>
      </c>
      <c r="D1171" s="1020">
        <v>16</v>
      </c>
      <c r="E1171" s="1100">
        <v>0</v>
      </c>
      <c r="F1171" s="1100">
        <v>596</v>
      </c>
      <c r="G1171" s="1096">
        <f t="shared" si="117"/>
        <v>0</v>
      </c>
      <c r="H1171" s="1096">
        <f t="shared" si="118"/>
        <v>9536</v>
      </c>
      <c r="I1171" s="1096">
        <f t="shared" si="119"/>
        <v>9536</v>
      </c>
    </row>
    <row r="1172" spans="1:9" s="7" customFormat="1" ht="28.8" hidden="1" outlineLevel="2" x14ac:dyDescent="0.25">
      <c r="A1172" s="1097" t="s">
        <v>3121</v>
      </c>
      <c r="B1172" s="1101" t="s">
        <v>1554</v>
      </c>
      <c r="C1172" s="1269" t="s">
        <v>96</v>
      </c>
      <c r="D1172" s="1020">
        <v>34</v>
      </c>
      <c r="E1172" s="1105">
        <v>200</v>
      </c>
      <c r="F1172" s="1105">
        <v>700.3</v>
      </c>
      <c r="G1172" s="1096">
        <f t="shared" si="117"/>
        <v>6800</v>
      </c>
      <c r="H1172" s="1096">
        <f t="shared" si="118"/>
        <v>23810.199999999997</v>
      </c>
      <c r="I1172" s="1096">
        <f t="shared" si="119"/>
        <v>30610.199999999997</v>
      </c>
    </row>
    <row r="1173" spans="1:9" s="7" customFormat="1" ht="14.4" hidden="1" outlineLevel="2" x14ac:dyDescent="0.25">
      <c r="A1173" s="1097" t="s">
        <v>3122</v>
      </c>
      <c r="B1173" s="1268" t="s">
        <v>1556</v>
      </c>
      <c r="C1173" s="1269" t="s">
        <v>96</v>
      </c>
      <c r="D1173" s="1020">
        <v>34</v>
      </c>
      <c r="E1173" s="1100">
        <v>0</v>
      </c>
      <c r="F1173" s="1100">
        <v>171</v>
      </c>
      <c r="G1173" s="1096">
        <f t="shared" si="117"/>
        <v>0</v>
      </c>
      <c r="H1173" s="1096">
        <f t="shared" si="118"/>
        <v>5814</v>
      </c>
      <c r="I1173" s="1096">
        <f t="shared" si="119"/>
        <v>5814</v>
      </c>
    </row>
    <row r="1174" spans="1:9" s="7" customFormat="1" ht="28.8" hidden="1" outlineLevel="2" x14ac:dyDescent="0.25">
      <c r="A1174" s="1097" t="s">
        <v>3123</v>
      </c>
      <c r="B1174" s="1101" t="s">
        <v>1558</v>
      </c>
      <c r="C1174" s="1269" t="s">
        <v>96</v>
      </c>
      <c r="D1174" s="1020">
        <v>6</v>
      </c>
      <c r="E1174" s="1105">
        <v>200</v>
      </c>
      <c r="F1174" s="1105">
        <v>479.3</v>
      </c>
      <c r="G1174" s="1096">
        <f t="shared" si="117"/>
        <v>1200</v>
      </c>
      <c r="H1174" s="1096">
        <f t="shared" si="118"/>
        <v>2875.8</v>
      </c>
      <c r="I1174" s="1096">
        <f t="shared" si="119"/>
        <v>4075.8</v>
      </c>
    </row>
    <row r="1175" spans="1:9" s="7" customFormat="1" ht="14.4" hidden="1" outlineLevel="2" x14ac:dyDescent="0.25">
      <c r="A1175" s="1097" t="s">
        <v>3124</v>
      </c>
      <c r="B1175" s="1268" t="s">
        <v>1560</v>
      </c>
      <c r="C1175" s="1269" t="s">
        <v>96</v>
      </c>
      <c r="D1175" s="1020">
        <v>6</v>
      </c>
      <c r="E1175" s="1100">
        <v>0</v>
      </c>
      <c r="F1175" s="1100">
        <v>139</v>
      </c>
      <c r="G1175" s="1096">
        <f t="shared" si="117"/>
        <v>0</v>
      </c>
      <c r="H1175" s="1096">
        <f t="shared" si="118"/>
        <v>834</v>
      </c>
      <c r="I1175" s="1096">
        <f t="shared" si="119"/>
        <v>834</v>
      </c>
    </row>
    <row r="1176" spans="1:9" s="7" customFormat="1" ht="14.4" hidden="1" outlineLevel="2" x14ac:dyDescent="0.25">
      <c r="A1176" s="1097" t="s">
        <v>3125</v>
      </c>
      <c r="B1176" s="1268" t="s">
        <v>1562</v>
      </c>
      <c r="C1176" s="1269" t="s">
        <v>96</v>
      </c>
      <c r="D1176" s="1020">
        <v>1</v>
      </c>
      <c r="E1176" s="1100">
        <v>200</v>
      </c>
      <c r="F1176" s="1100">
        <v>293.88</v>
      </c>
      <c r="G1176" s="1096">
        <f t="shared" si="117"/>
        <v>200</v>
      </c>
      <c r="H1176" s="1096">
        <f t="shared" si="118"/>
        <v>293.88</v>
      </c>
      <c r="I1176" s="1096">
        <f t="shared" si="119"/>
        <v>493.88</v>
      </c>
    </row>
    <row r="1177" spans="1:9" s="7" customFormat="1" ht="14.4" hidden="1" outlineLevel="2" x14ac:dyDescent="0.25">
      <c r="A1177" s="1097" t="s">
        <v>3126</v>
      </c>
      <c r="B1177" s="1268" t="s">
        <v>1564</v>
      </c>
      <c r="C1177" s="1269" t="s">
        <v>96</v>
      </c>
      <c r="D1177" s="1020">
        <v>1</v>
      </c>
      <c r="E1177" s="1100">
        <v>0</v>
      </c>
      <c r="F1177" s="1100">
        <v>122</v>
      </c>
      <c r="G1177" s="1096">
        <f t="shared" si="117"/>
        <v>0</v>
      </c>
      <c r="H1177" s="1096">
        <f t="shared" si="118"/>
        <v>122</v>
      </c>
      <c r="I1177" s="1096">
        <f t="shared" si="119"/>
        <v>122</v>
      </c>
    </row>
    <row r="1178" spans="1:9" s="7" customFormat="1" ht="14.4" hidden="1" outlineLevel="2" x14ac:dyDescent="0.25">
      <c r="A1178" s="1097" t="s">
        <v>3127</v>
      </c>
      <c r="B1178" s="1268" t="s">
        <v>1566</v>
      </c>
      <c r="C1178" s="1269" t="s">
        <v>96</v>
      </c>
      <c r="D1178" s="1020">
        <v>34</v>
      </c>
      <c r="E1178" s="1105">
        <v>200</v>
      </c>
      <c r="F1178" s="1105">
        <v>505.92</v>
      </c>
      <c r="G1178" s="1096">
        <f t="shared" si="117"/>
        <v>6800</v>
      </c>
      <c r="H1178" s="1096">
        <f t="shared" si="118"/>
        <v>17201.28</v>
      </c>
      <c r="I1178" s="1096">
        <f t="shared" si="119"/>
        <v>24001.279999999999</v>
      </c>
    </row>
    <row r="1179" spans="1:9" s="7" customFormat="1" ht="14.4" hidden="1" outlineLevel="2" x14ac:dyDescent="0.25">
      <c r="A1179" s="1097" t="s">
        <v>3128</v>
      </c>
      <c r="B1179" s="1268" t="s">
        <v>1556</v>
      </c>
      <c r="C1179" s="1269" t="s">
        <v>96</v>
      </c>
      <c r="D1179" s="1020">
        <v>34</v>
      </c>
      <c r="E1179" s="1100">
        <v>0</v>
      </c>
      <c r="F1179" s="1100">
        <v>171</v>
      </c>
      <c r="G1179" s="1096">
        <f t="shared" si="117"/>
        <v>0</v>
      </c>
      <c r="H1179" s="1096">
        <f t="shared" si="118"/>
        <v>5814</v>
      </c>
      <c r="I1179" s="1096">
        <f t="shared" si="119"/>
        <v>5814</v>
      </c>
    </row>
    <row r="1180" spans="1:9" s="7" customFormat="1" ht="14.4" hidden="1" outlineLevel="2" x14ac:dyDescent="0.25">
      <c r="A1180" s="1097" t="s">
        <v>3129</v>
      </c>
      <c r="B1180" s="1268" t="s">
        <v>1569</v>
      </c>
      <c r="C1180" s="1269" t="s">
        <v>96</v>
      </c>
      <c r="D1180" s="1020">
        <v>8</v>
      </c>
      <c r="E1180" s="1100">
        <v>200</v>
      </c>
      <c r="F1180" s="1100">
        <v>289.54000000000002</v>
      </c>
      <c r="G1180" s="1096">
        <f t="shared" si="117"/>
        <v>1600</v>
      </c>
      <c r="H1180" s="1096">
        <f t="shared" si="118"/>
        <v>2316.3200000000002</v>
      </c>
      <c r="I1180" s="1096">
        <f t="shared" si="119"/>
        <v>3916.32</v>
      </c>
    </row>
    <row r="1181" spans="1:9" s="7" customFormat="1" ht="14.4" hidden="1" outlineLevel="2" x14ac:dyDescent="0.25">
      <c r="A1181" s="1097" t="s">
        <v>3130</v>
      </c>
      <c r="B1181" s="1268" t="s">
        <v>1571</v>
      </c>
      <c r="C1181" s="1269" t="s">
        <v>96</v>
      </c>
      <c r="D1181" s="1020">
        <v>8</v>
      </c>
      <c r="E1181" s="1100">
        <v>0</v>
      </c>
      <c r="F1181" s="1100">
        <v>139</v>
      </c>
      <c r="G1181" s="1096">
        <f t="shared" si="117"/>
        <v>0</v>
      </c>
      <c r="H1181" s="1096">
        <f t="shared" si="118"/>
        <v>1112</v>
      </c>
      <c r="I1181" s="1096">
        <f t="shared" si="119"/>
        <v>1112</v>
      </c>
    </row>
    <row r="1182" spans="1:9" s="7" customFormat="1" ht="14.4" hidden="1" outlineLevel="2" x14ac:dyDescent="0.25">
      <c r="A1182" s="1097" t="s">
        <v>3131</v>
      </c>
      <c r="B1182" s="1268" t="s">
        <v>1573</v>
      </c>
      <c r="C1182" s="1269" t="s">
        <v>96</v>
      </c>
      <c r="D1182" s="1020">
        <v>7</v>
      </c>
      <c r="E1182" s="1100">
        <v>200</v>
      </c>
      <c r="F1182" s="1100">
        <v>190.96</v>
      </c>
      <c r="G1182" s="1096">
        <f t="shared" si="117"/>
        <v>1400</v>
      </c>
      <c r="H1182" s="1096">
        <f t="shared" si="118"/>
        <v>1336.72</v>
      </c>
      <c r="I1182" s="1096">
        <f t="shared" si="119"/>
        <v>2736.7200000000003</v>
      </c>
    </row>
    <row r="1183" spans="1:9" s="7" customFormat="1" ht="14.4" hidden="1" outlineLevel="2" x14ac:dyDescent="0.25">
      <c r="A1183" s="1097" t="s">
        <v>3132</v>
      </c>
      <c r="B1183" s="1268" t="s">
        <v>1564</v>
      </c>
      <c r="C1183" s="1269" t="s">
        <v>96</v>
      </c>
      <c r="D1183" s="1020">
        <v>7</v>
      </c>
      <c r="E1183" s="1100">
        <v>0</v>
      </c>
      <c r="F1183" s="1100">
        <v>122</v>
      </c>
      <c r="G1183" s="1096">
        <f t="shared" si="117"/>
        <v>0</v>
      </c>
      <c r="H1183" s="1096">
        <f t="shared" si="118"/>
        <v>854</v>
      </c>
      <c r="I1183" s="1096">
        <f t="shared" si="119"/>
        <v>854</v>
      </c>
    </row>
    <row r="1184" spans="1:9" s="7" customFormat="1" ht="14.4" hidden="1" outlineLevel="2" x14ac:dyDescent="0.25">
      <c r="A1184" s="1097" t="s">
        <v>3133</v>
      </c>
      <c r="B1184" s="1268" t="s">
        <v>1576</v>
      </c>
      <c r="C1184" s="1269" t="s">
        <v>96</v>
      </c>
      <c r="D1184" s="1020">
        <v>43</v>
      </c>
      <c r="E1184" s="1105">
        <v>200</v>
      </c>
      <c r="F1184" s="1105">
        <v>369</v>
      </c>
      <c r="G1184" s="1096">
        <f t="shared" si="117"/>
        <v>8600</v>
      </c>
      <c r="H1184" s="1096">
        <f t="shared" si="118"/>
        <v>15867</v>
      </c>
      <c r="I1184" s="1096">
        <f t="shared" si="119"/>
        <v>24467</v>
      </c>
    </row>
    <row r="1185" spans="1:9" s="7" customFormat="1" ht="14.4" hidden="1" outlineLevel="2" x14ac:dyDescent="0.25">
      <c r="A1185" s="1097" t="s">
        <v>3134</v>
      </c>
      <c r="B1185" s="1268" t="s">
        <v>1578</v>
      </c>
      <c r="C1185" s="1269" t="s">
        <v>96</v>
      </c>
      <c r="D1185" s="1020">
        <v>737</v>
      </c>
      <c r="E1185" s="1105">
        <v>200</v>
      </c>
      <c r="F1185" s="1105">
        <v>734</v>
      </c>
      <c r="G1185" s="1096">
        <f t="shared" si="117"/>
        <v>147400</v>
      </c>
      <c r="H1185" s="1096">
        <f t="shared" si="118"/>
        <v>540958</v>
      </c>
      <c r="I1185" s="1096">
        <f t="shared" si="119"/>
        <v>688358</v>
      </c>
    </row>
    <row r="1186" spans="1:9" s="7" customFormat="1" ht="14.4" hidden="1" outlineLevel="2" x14ac:dyDescent="0.25">
      <c r="A1186" s="1097" t="s">
        <v>3135</v>
      </c>
      <c r="B1186" s="1268" t="s">
        <v>1580</v>
      </c>
      <c r="C1186" s="1269" t="s">
        <v>96</v>
      </c>
      <c r="D1186" s="1020">
        <v>48</v>
      </c>
      <c r="E1186" s="1100">
        <v>200</v>
      </c>
      <c r="F1186" s="1100">
        <v>231.88</v>
      </c>
      <c r="G1186" s="1096">
        <f t="shared" si="117"/>
        <v>9600</v>
      </c>
      <c r="H1186" s="1096">
        <f t="shared" si="118"/>
        <v>11130.24</v>
      </c>
      <c r="I1186" s="1096">
        <f t="shared" si="119"/>
        <v>20730.239999999998</v>
      </c>
    </row>
    <row r="1187" spans="1:9" s="7" customFormat="1" ht="14.4" hidden="1" outlineLevel="2" x14ac:dyDescent="0.25">
      <c r="A1187" s="1097" t="s">
        <v>3136</v>
      </c>
      <c r="B1187" s="1268" t="s">
        <v>1582</v>
      </c>
      <c r="C1187" s="1269" t="s">
        <v>96</v>
      </c>
      <c r="D1187" s="1020">
        <v>6</v>
      </c>
      <c r="E1187" s="1105">
        <v>200</v>
      </c>
      <c r="F1187" s="1105">
        <v>1324</v>
      </c>
      <c r="G1187" s="1096">
        <f t="shared" si="117"/>
        <v>1200</v>
      </c>
      <c r="H1187" s="1096">
        <f t="shared" si="118"/>
        <v>7944</v>
      </c>
      <c r="I1187" s="1096">
        <f t="shared" si="119"/>
        <v>9144</v>
      </c>
    </row>
    <row r="1188" spans="1:9" s="7" customFormat="1" ht="14.4" hidden="1" outlineLevel="2" x14ac:dyDescent="0.25">
      <c r="A1188" s="1097" t="s">
        <v>3137</v>
      </c>
      <c r="B1188" s="1101" t="s">
        <v>1584</v>
      </c>
      <c r="C1188" s="1269" t="s">
        <v>96</v>
      </c>
      <c r="D1188" s="1020">
        <v>29</v>
      </c>
      <c r="E1188" s="1100">
        <v>100</v>
      </c>
      <c r="F1188" s="1105">
        <v>5821.06</v>
      </c>
      <c r="G1188" s="1096">
        <f t="shared" si="117"/>
        <v>2900</v>
      </c>
      <c r="H1188" s="1096">
        <f t="shared" si="118"/>
        <v>168810.74000000002</v>
      </c>
      <c r="I1188" s="1096">
        <f t="shared" si="119"/>
        <v>171710.74000000002</v>
      </c>
    </row>
    <row r="1189" spans="1:9" s="7" customFormat="1" ht="14.4" hidden="1" outlineLevel="2" x14ac:dyDescent="0.25">
      <c r="A1189" s="1097" t="s">
        <v>3138</v>
      </c>
      <c r="B1189" s="1268" t="s">
        <v>1586</v>
      </c>
      <c r="C1189" s="1269" t="s">
        <v>96</v>
      </c>
      <c r="D1189" s="1020">
        <v>58</v>
      </c>
      <c r="E1189" s="1100">
        <v>0</v>
      </c>
      <c r="F1189" s="1100">
        <v>596.16999999999996</v>
      </c>
      <c r="G1189" s="1096">
        <f t="shared" si="117"/>
        <v>0</v>
      </c>
      <c r="H1189" s="1096">
        <f t="shared" si="118"/>
        <v>34577.86</v>
      </c>
      <c r="I1189" s="1096">
        <f t="shared" si="119"/>
        <v>34577.86</v>
      </c>
    </row>
    <row r="1190" spans="1:9" s="7" customFormat="1" ht="14.4" hidden="1" outlineLevel="2" x14ac:dyDescent="0.25">
      <c r="A1190" s="1097" t="s">
        <v>3139</v>
      </c>
      <c r="B1190" s="1101" t="s">
        <v>1588</v>
      </c>
      <c r="C1190" s="1269" t="s">
        <v>96</v>
      </c>
      <c r="D1190" s="1020">
        <v>12</v>
      </c>
      <c r="E1190" s="1100">
        <v>100</v>
      </c>
      <c r="F1190" s="1105">
        <v>5381.71</v>
      </c>
      <c r="G1190" s="1096">
        <f t="shared" si="117"/>
        <v>1200</v>
      </c>
      <c r="H1190" s="1096">
        <f t="shared" si="118"/>
        <v>64580.520000000004</v>
      </c>
      <c r="I1190" s="1096">
        <f t="shared" si="119"/>
        <v>65780.52</v>
      </c>
    </row>
    <row r="1191" spans="1:9" s="7" customFormat="1" ht="14.4" hidden="1" outlineLevel="2" x14ac:dyDescent="0.25">
      <c r="A1191" s="1097" t="s">
        <v>3140</v>
      </c>
      <c r="B1191" s="1268" t="s">
        <v>1590</v>
      </c>
      <c r="C1191" s="1269" t="s">
        <v>96</v>
      </c>
      <c r="D1191" s="1020">
        <v>24</v>
      </c>
      <c r="E1191" s="1100">
        <v>0</v>
      </c>
      <c r="F1191" s="1100">
        <v>875.46</v>
      </c>
      <c r="G1191" s="1096">
        <f t="shared" si="117"/>
        <v>0</v>
      </c>
      <c r="H1191" s="1096">
        <f t="shared" si="118"/>
        <v>21011.040000000001</v>
      </c>
      <c r="I1191" s="1096">
        <f t="shared" si="119"/>
        <v>21011.040000000001</v>
      </c>
    </row>
    <row r="1192" spans="1:9" s="7" customFormat="1" ht="14.4" hidden="1" outlineLevel="2" x14ac:dyDescent="0.25">
      <c r="A1192" s="1097" t="s">
        <v>3141</v>
      </c>
      <c r="B1192" s="1307" t="s">
        <v>1592</v>
      </c>
      <c r="C1192" s="1308" t="s">
        <v>96</v>
      </c>
      <c r="D1192" s="1308">
        <v>1</v>
      </c>
      <c r="E1192" s="1309">
        <v>0</v>
      </c>
      <c r="F1192" s="1309">
        <v>431</v>
      </c>
      <c r="G1192" s="1310">
        <v>0</v>
      </c>
      <c r="H1192" s="1096">
        <f t="shared" si="118"/>
        <v>431</v>
      </c>
      <c r="I1192" s="1096">
        <f t="shared" si="119"/>
        <v>431</v>
      </c>
    </row>
    <row r="1193" spans="1:9" s="7" customFormat="1" ht="28.8" hidden="1" outlineLevel="2" x14ac:dyDescent="0.25">
      <c r="A1193" s="1097" t="s">
        <v>3142</v>
      </c>
      <c r="B1193" s="1268" t="s">
        <v>1594</v>
      </c>
      <c r="C1193" s="1269" t="s">
        <v>96</v>
      </c>
      <c r="D1193" s="1020">
        <v>1</v>
      </c>
      <c r="E1193" s="1100">
        <v>200</v>
      </c>
      <c r="F1193" s="1100">
        <v>4654</v>
      </c>
      <c r="G1193" s="1096">
        <f t="shared" si="117"/>
        <v>200</v>
      </c>
      <c r="H1193" s="1096">
        <f t="shared" si="118"/>
        <v>4654</v>
      </c>
      <c r="I1193" s="1096">
        <f t="shared" si="119"/>
        <v>4854</v>
      </c>
    </row>
    <row r="1194" spans="1:9" s="7" customFormat="1" ht="28.8" hidden="1" outlineLevel="2" x14ac:dyDescent="0.25">
      <c r="A1194" s="1097" t="s">
        <v>3143</v>
      </c>
      <c r="B1194" s="1268" t="s">
        <v>1596</v>
      </c>
      <c r="C1194" s="1269" t="s">
        <v>96</v>
      </c>
      <c r="D1194" s="1020">
        <v>1</v>
      </c>
      <c r="E1194" s="1100">
        <v>200</v>
      </c>
      <c r="F1194" s="1100">
        <v>8159</v>
      </c>
      <c r="G1194" s="1096">
        <f t="shared" si="117"/>
        <v>200</v>
      </c>
      <c r="H1194" s="1096">
        <f t="shared" si="118"/>
        <v>8159</v>
      </c>
      <c r="I1194" s="1096">
        <f t="shared" si="119"/>
        <v>8359</v>
      </c>
    </row>
    <row r="1195" spans="1:9" s="7" customFormat="1" ht="14.4" hidden="1" outlineLevel="2" x14ac:dyDescent="0.25">
      <c r="A1195" s="1097" t="s">
        <v>3144</v>
      </c>
      <c r="B1195" s="1268" t="s">
        <v>1564</v>
      </c>
      <c r="C1195" s="1269" t="s">
        <v>96</v>
      </c>
      <c r="D1195" s="1020">
        <v>2</v>
      </c>
      <c r="E1195" s="1100">
        <v>0</v>
      </c>
      <c r="F1195" s="1100">
        <v>122</v>
      </c>
      <c r="G1195" s="1096">
        <f t="shared" si="117"/>
        <v>0</v>
      </c>
      <c r="H1195" s="1096">
        <f t="shared" si="118"/>
        <v>244</v>
      </c>
      <c r="I1195" s="1096">
        <f t="shared" si="119"/>
        <v>244</v>
      </c>
    </row>
    <row r="1196" spans="1:9" s="7" customFormat="1" ht="28.8" hidden="1" outlineLevel="2" x14ac:dyDescent="0.25">
      <c r="A1196" s="1097" t="s">
        <v>3145</v>
      </c>
      <c r="B1196" s="1311" t="s">
        <v>1599</v>
      </c>
      <c r="C1196" s="1312" t="s">
        <v>96</v>
      </c>
      <c r="D1196" s="1020">
        <v>691</v>
      </c>
      <c r="E1196" s="1313">
        <v>100</v>
      </c>
      <c r="F1196" s="1313">
        <v>435</v>
      </c>
      <c r="G1196" s="1096">
        <f t="shared" si="117"/>
        <v>69100</v>
      </c>
      <c r="H1196" s="1096">
        <f t="shared" si="118"/>
        <v>300585</v>
      </c>
      <c r="I1196" s="1096">
        <f t="shared" si="119"/>
        <v>369685</v>
      </c>
    </row>
    <row r="1197" spans="1:9" s="7" customFormat="1" ht="14.4" hidden="1" outlineLevel="2" x14ac:dyDescent="0.25">
      <c r="A1197" s="1097" t="s">
        <v>3146</v>
      </c>
      <c r="B1197" s="1311" t="s">
        <v>1601</v>
      </c>
      <c r="C1197" s="1312" t="s">
        <v>96</v>
      </c>
      <c r="D1197" s="1020">
        <v>691</v>
      </c>
      <c r="E1197" s="1313">
        <v>0</v>
      </c>
      <c r="F1197" s="1313">
        <v>242.74</v>
      </c>
      <c r="G1197" s="1096">
        <f t="shared" si="117"/>
        <v>0</v>
      </c>
      <c r="H1197" s="1096">
        <f t="shared" si="118"/>
        <v>167733.34</v>
      </c>
      <c r="I1197" s="1096">
        <f t="shared" si="119"/>
        <v>167733.34</v>
      </c>
    </row>
    <row r="1198" spans="1:9" s="293" customFormat="1" ht="14.4" hidden="1" outlineLevel="1" collapsed="1" x14ac:dyDescent="0.25">
      <c r="A1198" s="1097" t="s">
        <v>2950</v>
      </c>
      <c r="B1198" s="1098" t="s">
        <v>1602</v>
      </c>
      <c r="C1198" s="1099" t="s">
        <v>96</v>
      </c>
      <c r="D1198" s="1099">
        <f>SUM(D1199)</f>
        <v>690</v>
      </c>
      <c r="E1198" s="1100">
        <v>150</v>
      </c>
      <c r="F1198" s="1100"/>
      <c r="G1198" s="1096">
        <f>D1198*E1198</f>
        <v>103500</v>
      </c>
      <c r="H1198" s="1096">
        <f>SUM(H1199:H1202)</f>
        <v>2361387</v>
      </c>
      <c r="I1198" s="1096">
        <f t="shared" ref="I1198:I1209" si="120">SUM(G1198:H1198)</f>
        <v>2464887</v>
      </c>
    </row>
    <row r="1199" spans="1:9" s="7" customFormat="1" ht="14.4" hidden="1" outlineLevel="2" x14ac:dyDescent="0.25">
      <c r="A1199" s="1097" t="s">
        <v>3147</v>
      </c>
      <c r="B1199" s="1098" t="s">
        <v>1604</v>
      </c>
      <c r="C1199" s="1099" t="s">
        <v>96</v>
      </c>
      <c r="D1199" s="1099">
        <v>690</v>
      </c>
      <c r="E1199" s="1100">
        <v>0</v>
      </c>
      <c r="F1199" s="1314">
        <v>3183.22</v>
      </c>
      <c r="G1199" s="1096">
        <f>PRODUCT(E1199,D1199)</f>
        <v>0</v>
      </c>
      <c r="H1199" s="1096">
        <f>PRODUCT(F1199,D1199)</f>
        <v>2196421.7999999998</v>
      </c>
      <c r="I1199" s="1096">
        <f>SUM(G1199:H1199)</f>
        <v>2196421.7999999998</v>
      </c>
    </row>
    <row r="1200" spans="1:9" s="7" customFormat="1" ht="14.4" hidden="1" outlineLevel="2" x14ac:dyDescent="0.25">
      <c r="A1200" s="1097" t="s">
        <v>3148</v>
      </c>
      <c r="B1200" s="1098" t="s">
        <v>1606</v>
      </c>
      <c r="C1200" s="1099" t="s">
        <v>96</v>
      </c>
      <c r="D1200" s="1099">
        <v>690</v>
      </c>
      <c r="E1200" s="1100">
        <v>0</v>
      </c>
      <c r="F1200" s="1314">
        <v>162.38</v>
      </c>
      <c r="G1200" s="1096">
        <f>PRODUCT(E1200,D1200)</f>
        <v>0</v>
      </c>
      <c r="H1200" s="1096">
        <f>PRODUCT(F1200,D1200)</f>
        <v>112042.2</v>
      </c>
      <c r="I1200" s="1096">
        <f t="shared" ref="I1200:I1202" si="121">SUM(G1200:H1200)</f>
        <v>112042.2</v>
      </c>
    </row>
    <row r="1201" spans="1:9" s="7" customFormat="1" ht="14.4" hidden="1" outlineLevel="2" x14ac:dyDescent="0.25">
      <c r="A1201" s="1097" t="s">
        <v>3149</v>
      </c>
      <c r="B1201" s="1098" t="s">
        <v>1608</v>
      </c>
      <c r="C1201" s="1099" t="s">
        <v>96</v>
      </c>
      <c r="D1201" s="1099">
        <f>PRODUCT(D1199,2)</f>
        <v>1380</v>
      </c>
      <c r="E1201" s="1100">
        <v>0</v>
      </c>
      <c r="F1201" s="1314">
        <v>34.270000000000003</v>
      </c>
      <c r="G1201" s="1096">
        <f>PRODUCT(E1201,D1201)</f>
        <v>0</v>
      </c>
      <c r="H1201" s="1096">
        <f>PRODUCT(F1201,D1201)</f>
        <v>47292.600000000006</v>
      </c>
      <c r="I1201" s="1096">
        <f t="shared" si="121"/>
        <v>47292.600000000006</v>
      </c>
    </row>
    <row r="1202" spans="1:9" s="7" customFormat="1" ht="14.4" hidden="1" outlineLevel="2" x14ac:dyDescent="0.25">
      <c r="A1202" s="1097" t="s">
        <v>3150</v>
      </c>
      <c r="B1202" s="1098" t="s">
        <v>1610</v>
      </c>
      <c r="C1202" s="1099" t="s">
        <v>96</v>
      </c>
      <c r="D1202" s="1099">
        <f>PRODUCT(D1199,2)</f>
        <v>1380</v>
      </c>
      <c r="E1202" s="1100">
        <v>0</v>
      </c>
      <c r="F1202" s="1314">
        <v>4.08</v>
      </c>
      <c r="G1202" s="1096">
        <f>PRODUCT(E1202,D1202)</f>
        <v>0</v>
      </c>
      <c r="H1202" s="1096">
        <f>PRODUCT(F1202,D1202)</f>
        <v>5630.4000000000005</v>
      </c>
      <c r="I1202" s="1096">
        <f t="shared" si="121"/>
        <v>5630.4000000000005</v>
      </c>
    </row>
    <row r="1203" spans="1:9" s="293" customFormat="1" ht="14.4" hidden="1" outlineLevel="1" collapsed="1" x14ac:dyDescent="0.25">
      <c r="A1203" s="1097" t="s">
        <v>2951</v>
      </c>
      <c r="B1203" s="1098" t="s">
        <v>1611</v>
      </c>
      <c r="C1203" s="1099" t="s">
        <v>96</v>
      </c>
      <c r="D1203" s="1099">
        <f>SUM(D1204:D1207)</f>
        <v>1016</v>
      </c>
      <c r="E1203" s="1100">
        <v>30</v>
      </c>
      <c r="F1203" s="1100"/>
      <c r="G1203" s="1096">
        <f>PRODUCT(D1203:E1203)+G1204+G1205+G1206+G1207</f>
        <v>60960</v>
      </c>
      <c r="H1203" s="1096">
        <f>SUM(H1204:H1208)</f>
        <v>80533.760000000009</v>
      </c>
      <c r="I1203" s="1096">
        <f>SUM(G1203:H1203)</f>
        <v>141493.76000000001</v>
      </c>
    </row>
    <row r="1204" spans="1:9" s="7" customFormat="1" ht="14.4" hidden="1" outlineLevel="2" x14ac:dyDescent="0.25">
      <c r="A1204" s="1097" t="s">
        <v>3151</v>
      </c>
      <c r="B1204" s="1098" t="s">
        <v>1613</v>
      </c>
      <c r="C1204" s="1099" t="s">
        <v>96</v>
      </c>
      <c r="D1204" s="1099">
        <v>24</v>
      </c>
      <c r="E1204" s="1100">
        <v>30</v>
      </c>
      <c r="F1204" s="1100">
        <v>18.14</v>
      </c>
      <c r="G1204" s="1096">
        <f>PRODUCT(D1204:E1204)</f>
        <v>720</v>
      </c>
      <c r="H1204" s="1096">
        <f>F1204*D1204</f>
        <v>435.36</v>
      </c>
      <c r="I1204" s="1096">
        <f>SUM(G1204:H1204)</f>
        <v>1155.3600000000001</v>
      </c>
    </row>
    <row r="1205" spans="1:9" s="7" customFormat="1" ht="14.4" hidden="1" outlineLevel="2" x14ac:dyDescent="0.25">
      <c r="A1205" s="1097" t="s">
        <v>3152</v>
      </c>
      <c r="B1205" s="1098" t="s">
        <v>1615</v>
      </c>
      <c r="C1205" s="1099" t="s">
        <v>96</v>
      </c>
      <c r="D1205" s="1099">
        <v>144</v>
      </c>
      <c r="E1205" s="1100">
        <v>30</v>
      </c>
      <c r="F1205" s="1100">
        <v>33.76</v>
      </c>
      <c r="G1205" s="1096">
        <f t="shared" ref="G1205:G1207" si="122">PRODUCT(D1205:E1205)</f>
        <v>4320</v>
      </c>
      <c r="H1205" s="1096">
        <f t="shared" ref="H1205:H1207" si="123">F1205*D1205</f>
        <v>4861.4399999999996</v>
      </c>
      <c r="I1205" s="1096">
        <f t="shared" ref="I1205:I1207" si="124">SUM(G1205:H1205)</f>
        <v>9181.4399999999987</v>
      </c>
    </row>
    <row r="1206" spans="1:9" s="7" customFormat="1" ht="14.4" hidden="1" outlineLevel="2" x14ac:dyDescent="0.25">
      <c r="A1206" s="1097" t="s">
        <v>3153</v>
      </c>
      <c r="B1206" s="1098" t="s">
        <v>1617</v>
      </c>
      <c r="C1206" s="1099" t="s">
        <v>96</v>
      </c>
      <c r="D1206" s="1099">
        <v>824</v>
      </c>
      <c r="E1206" s="1100">
        <v>30</v>
      </c>
      <c r="F1206" s="1100">
        <v>41.53</v>
      </c>
      <c r="G1206" s="1096">
        <f t="shared" si="122"/>
        <v>24720</v>
      </c>
      <c r="H1206" s="1096">
        <f t="shared" si="123"/>
        <v>34220.720000000001</v>
      </c>
      <c r="I1206" s="1096">
        <f t="shared" si="124"/>
        <v>58940.72</v>
      </c>
    </row>
    <row r="1207" spans="1:9" s="7" customFormat="1" ht="14.4" hidden="1" outlineLevel="2" x14ac:dyDescent="0.25">
      <c r="A1207" s="1097" t="s">
        <v>3154</v>
      </c>
      <c r="B1207" s="1098" t="s">
        <v>1619</v>
      </c>
      <c r="C1207" s="1099" t="s">
        <v>96</v>
      </c>
      <c r="D1207" s="1099">
        <v>24</v>
      </c>
      <c r="E1207" s="1100">
        <v>30</v>
      </c>
      <c r="F1207" s="1100">
        <v>146.51</v>
      </c>
      <c r="G1207" s="1096">
        <f t="shared" si="122"/>
        <v>720</v>
      </c>
      <c r="H1207" s="1096">
        <f t="shared" si="123"/>
        <v>3516.24</v>
      </c>
      <c r="I1207" s="1096">
        <f t="shared" si="124"/>
        <v>4236.24</v>
      </c>
    </row>
    <row r="1208" spans="1:9" s="7" customFormat="1" ht="14.4" hidden="1" outlineLevel="2" x14ac:dyDescent="0.25">
      <c r="A1208" s="1097" t="s">
        <v>3155</v>
      </c>
      <c r="B1208" s="1315" t="s">
        <v>1621</v>
      </c>
      <c r="C1208" s="1099" t="s">
        <v>96</v>
      </c>
      <c r="D1208" s="1099">
        <v>20</v>
      </c>
      <c r="E1208" s="1100"/>
      <c r="F1208" s="1316">
        <v>1875</v>
      </c>
      <c r="G1208" s="1096"/>
      <c r="H1208" s="1096">
        <f>PRODUCT(F1208,D1208)</f>
        <v>37500</v>
      </c>
      <c r="I1208" s="1096">
        <f>SUM(G1208:H1208)</f>
        <v>37500</v>
      </c>
    </row>
    <row r="1209" spans="1:9" s="293" customFormat="1" ht="14.4" hidden="1" outlineLevel="1" collapsed="1" x14ac:dyDescent="0.25">
      <c r="A1209" s="1097" t="s">
        <v>2952</v>
      </c>
      <c r="B1209" s="1098" t="s">
        <v>1622</v>
      </c>
      <c r="C1209" s="1099" t="s">
        <v>96</v>
      </c>
      <c r="D1209" s="1099">
        <f>SUM(D1210)</f>
        <v>1000</v>
      </c>
      <c r="E1209" s="1100"/>
      <c r="F1209" s="1100"/>
      <c r="G1209" s="1096">
        <f>SUM(G1210)</f>
        <v>150000</v>
      </c>
      <c r="H1209" s="1096">
        <f>SUM(H1210:H1211)</f>
        <v>65150</v>
      </c>
      <c r="I1209" s="1096">
        <f t="shared" si="120"/>
        <v>215150</v>
      </c>
    </row>
    <row r="1210" spans="1:9" s="7" customFormat="1" ht="14.4" hidden="1" outlineLevel="2" x14ac:dyDescent="0.25">
      <c r="A1210" s="1097" t="s">
        <v>3156</v>
      </c>
      <c r="B1210" s="1098" t="s">
        <v>1624</v>
      </c>
      <c r="C1210" s="1099" t="s">
        <v>96</v>
      </c>
      <c r="D1210" s="1099">
        <v>1000</v>
      </c>
      <c r="E1210" s="1100">
        <v>150</v>
      </c>
      <c r="F1210" s="1100">
        <v>0</v>
      </c>
      <c r="G1210" s="1096">
        <f>PRODUCT(E1210,D1210)</f>
        <v>150000</v>
      </c>
      <c r="H1210" s="1096">
        <f>PRODUCT(F1210,D1210)</f>
        <v>0</v>
      </c>
      <c r="I1210" s="1096">
        <f>SUM(G1210:H1210)</f>
        <v>150000</v>
      </c>
    </row>
    <row r="1211" spans="1:9" s="7" customFormat="1" ht="14.4" hidden="1" outlineLevel="2" x14ac:dyDescent="0.25">
      <c r="A1211" s="1097" t="s">
        <v>3157</v>
      </c>
      <c r="B1211" s="1317" t="s">
        <v>1626</v>
      </c>
      <c r="C1211" s="1099" t="s">
        <v>96</v>
      </c>
      <c r="D1211" s="1099">
        <v>25</v>
      </c>
      <c r="E1211" s="1100">
        <v>0</v>
      </c>
      <c r="F1211" s="1318">
        <v>2606</v>
      </c>
      <c r="G1211" s="1096">
        <f>PRODUCT(E1211,D1211)</f>
        <v>0</v>
      </c>
      <c r="H1211" s="1096">
        <f>PRODUCT(F1211,D1211)</f>
        <v>65150</v>
      </c>
      <c r="I1211" s="1096">
        <f t="shared" ref="I1211" si="125">SUM(G1211:H1211)</f>
        <v>65150</v>
      </c>
    </row>
    <row r="1212" spans="1:9" s="7" customFormat="1" ht="14.4" hidden="1" outlineLevel="1" x14ac:dyDescent="0.25">
      <c r="A1212" s="1108" t="s">
        <v>2953</v>
      </c>
      <c r="B1212" s="1101" t="s">
        <v>1627</v>
      </c>
      <c r="C1212" s="1109" t="s">
        <v>44</v>
      </c>
      <c r="D1212" s="1109">
        <v>1</v>
      </c>
      <c r="E1212" s="305">
        <v>447591.9</v>
      </c>
      <c r="F1212" s="305">
        <v>3175449.17</v>
      </c>
      <c r="G1212" s="1102">
        <f>D1212*E1212</f>
        <v>447591.9</v>
      </c>
      <c r="H1212" s="1103">
        <f>D1212*F1212</f>
        <v>3175449.17</v>
      </c>
      <c r="I1212" s="1102">
        <f>H1212+G1212</f>
        <v>3623041.07</v>
      </c>
    </row>
    <row r="1213" spans="1:9" collapsed="1" x14ac:dyDescent="0.3">
      <c r="A1213" s="1033" t="s">
        <v>3158</v>
      </c>
      <c r="B1213" s="1013" t="s">
        <v>1976</v>
      </c>
      <c r="C1213" s="1014"/>
      <c r="D1213" s="1014"/>
      <c r="E1213" s="1015"/>
      <c r="F1213" s="1015"/>
      <c r="G1213" s="1040">
        <f>G1214+G1236+G1241+G1254+G1300+G1303+G1319+G1339+G1342+G1344+G1347+G1352+G1381</f>
        <v>2088871.2</v>
      </c>
      <c r="H1213" s="1040">
        <f t="shared" ref="H1213:I1213" si="126">H1214+H1236+H1241+H1254+H1300+H1303+H1319+H1339+H1342+H1344+H1347+H1352+H1381</f>
        <v>5694695.0873118648</v>
      </c>
      <c r="I1213" s="1040">
        <f t="shared" si="126"/>
        <v>7783566.2873118641</v>
      </c>
    </row>
    <row r="1214" spans="1:9" s="725" customFormat="1" ht="14.4" hidden="1" outlineLevel="1" collapsed="1" x14ac:dyDescent="0.25">
      <c r="A1214" s="1110" t="s">
        <v>3159</v>
      </c>
      <c r="B1214" s="1111" t="s">
        <v>1978</v>
      </c>
      <c r="C1214" s="1112" t="s">
        <v>497</v>
      </c>
      <c r="D1214" s="1113"/>
      <c r="E1214" s="1114"/>
      <c r="F1214" s="1114"/>
      <c r="G1214" s="1115">
        <f>SUM(G1215:G1235)</f>
        <v>53400</v>
      </c>
      <c r="H1214" s="1115">
        <f>SUM(H1215:H1235)</f>
        <v>426668.5</v>
      </c>
      <c r="I1214" s="1115">
        <f>SUM(I1215:I1235)</f>
        <v>480068.5</v>
      </c>
    </row>
    <row r="1215" spans="1:9" s="725" customFormat="1" ht="28.8" hidden="1" outlineLevel="2" x14ac:dyDescent="0.25">
      <c r="A1215" s="1110" t="s">
        <v>3160</v>
      </c>
      <c r="B1215" s="1319" t="s">
        <v>1979</v>
      </c>
      <c r="C1215" s="1112" t="s">
        <v>96</v>
      </c>
      <c r="D1215" s="1112">
        <v>96</v>
      </c>
      <c r="E1215" s="1105">
        <v>300</v>
      </c>
      <c r="F1215" s="1105">
        <v>810</v>
      </c>
      <c r="G1215" s="1115">
        <f>PRODUCT(D1215,E1215)</f>
        <v>28800</v>
      </c>
      <c r="H1215" s="1115">
        <f t="shared" ref="H1215:H1235" si="127">PRODUCT(D1215,F1215)</f>
        <v>77760</v>
      </c>
      <c r="I1215" s="1115">
        <f>SUM(G1215:H1215)</f>
        <v>106560</v>
      </c>
    </row>
    <row r="1216" spans="1:9" s="725" customFormat="1" ht="14.4" hidden="1" outlineLevel="2" x14ac:dyDescent="0.25">
      <c r="A1216" s="1110" t="s">
        <v>3161</v>
      </c>
      <c r="B1216" s="1320" t="s">
        <v>1980</v>
      </c>
      <c r="C1216" s="1112" t="s">
        <v>96</v>
      </c>
      <c r="D1216" s="1112">
        <v>96</v>
      </c>
      <c r="E1216" s="1105">
        <v>0</v>
      </c>
      <c r="F1216" s="1105">
        <v>42</v>
      </c>
      <c r="G1216" s="1115">
        <f t="shared" ref="G1216:G1235" si="128">PRODUCT(D1216,E1216)</f>
        <v>0</v>
      </c>
      <c r="H1216" s="1115">
        <f t="shared" si="127"/>
        <v>4032</v>
      </c>
      <c r="I1216" s="1115">
        <f t="shared" ref="I1216:I1235" si="129">SUM(G1216:H1216)</f>
        <v>4032</v>
      </c>
    </row>
    <row r="1217" spans="1:9" s="725" customFormat="1" ht="14.4" hidden="1" outlineLevel="2" x14ac:dyDescent="0.25">
      <c r="A1217" s="1110" t="s">
        <v>3162</v>
      </c>
      <c r="B1217" s="1111" t="s">
        <v>1981</v>
      </c>
      <c r="C1217" s="1112" t="s">
        <v>96</v>
      </c>
      <c r="D1217" s="1112">
        <v>96</v>
      </c>
      <c r="E1217" s="1105">
        <v>0</v>
      </c>
      <c r="F1217" s="1114">
        <v>181</v>
      </c>
      <c r="G1217" s="1115">
        <f t="shared" si="128"/>
        <v>0</v>
      </c>
      <c r="H1217" s="1115">
        <f t="shared" si="127"/>
        <v>17376</v>
      </c>
      <c r="I1217" s="1115">
        <f t="shared" si="129"/>
        <v>17376</v>
      </c>
    </row>
    <row r="1218" spans="1:9" s="725" customFormat="1" ht="14.4" hidden="1" outlineLevel="2" x14ac:dyDescent="0.25">
      <c r="A1218" s="1110" t="s">
        <v>3163</v>
      </c>
      <c r="B1218" s="1321" t="s">
        <v>1982</v>
      </c>
      <c r="C1218" s="1112" t="s">
        <v>96</v>
      </c>
      <c r="D1218" s="1112">
        <v>96</v>
      </c>
      <c r="E1218" s="1105">
        <v>0</v>
      </c>
      <c r="F1218" s="1105">
        <v>131</v>
      </c>
      <c r="G1218" s="1115">
        <f t="shared" si="128"/>
        <v>0</v>
      </c>
      <c r="H1218" s="1115">
        <f t="shared" si="127"/>
        <v>12576</v>
      </c>
      <c r="I1218" s="1115">
        <f t="shared" si="129"/>
        <v>12576</v>
      </c>
    </row>
    <row r="1219" spans="1:9" s="725" customFormat="1" ht="14.4" hidden="1" outlineLevel="2" x14ac:dyDescent="0.25">
      <c r="A1219" s="1110" t="s">
        <v>3164</v>
      </c>
      <c r="B1219" s="1111" t="s">
        <v>1983</v>
      </c>
      <c r="C1219" s="1112" t="s">
        <v>96</v>
      </c>
      <c r="D1219" s="1112">
        <v>96</v>
      </c>
      <c r="E1219" s="1105">
        <v>0</v>
      </c>
      <c r="F1219" s="1105">
        <v>71</v>
      </c>
      <c r="G1219" s="1115">
        <f t="shared" si="128"/>
        <v>0</v>
      </c>
      <c r="H1219" s="1115">
        <f t="shared" si="127"/>
        <v>6816</v>
      </c>
      <c r="I1219" s="1115">
        <f t="shared" si="129"/>
        <v>6816</v>
      </c>
    </row>
    <row r="1220" spans="1:9" s="725" customFormat="1" ht="14.4" hidden="1" outlineLevel="2" x14ac:dyDescent="0.25">
      <c r="A1220" s="1110" t="s">
        <v>3165</v>
      </c>
      <c r="B1220" s="1111" t="s">
        <v>1984</v>
      </c>
      <c r="C1220" s="1112" t="s">
        <v>96</v>
      </c>
      <c r="D1220" s="1112">
        <v>96</v>
      </c>
      <c r="E1220" s="1114">
        <v>0</v>
      </c>
      <c r="F1220" s="1105">
        <v>894</v>
      </c>
      <c r="G1220" s="1115">
        <f t="shared" si="128"/>
        <v>0</v>
      </c>
      <c r="H1220" s="1115">
        <f t="shared" si="127"/>
        <v>85824</v>
      </c>
      <c r="I1220" s="1115">
        <f t="shared" si="129"/>
        <v>85824</v>
      </c>
    </row>
    <row r="1221" spans="1:9" s="725" customFormat="1" ht="14.4" hidden="1" outlineLevel="2" x14ac:dyDescent="0.25">
      <c r="A1221" s="1110" t="s">
        <v>3166</v>
      </c>
      <c r="B1221" s="1111" t="s">
        <v>1985</v>
      </c>
      <c r="C1221" s="1112" t="s">
        <v>96</v>
      </c>
      <c r="D1221" s="1112">
        <v>48</v>
      </c>
      <c r="E1221" s="1105">
        <v>500</v>
      </c>
      <c r="F1221" s="1105">
        <v>1875</v>
      </c>
      <c r="G1221" s="1115">
        <f t="shared" si="128"/>
        <v>24000</v>
      </c>
      <c r="H1221" s="1115">
        <f t="shared" si="127"/>
        <v>90000</v>
      </c>
      <c r="I1221" s="1115">
        <f t="shared" si="129"/>
        <v>114000</v>
      </c>
    </row>
    <row r="1222" spans="1:9" s="725" customFormat="1" ht="14.4" hidden="1" outlineLevel="2" x14ac:dyDescent="0.25">
      <c r="A1222" s="1110" t="s">
        <v>3167</v>
      </c>
      <c r="B1222" s="1111" t="s">
        <v>1986</v>
      </c>
      <c r="C1222" s="1112" t="s">
        <v>96</v>
      </c>
      <c r="D1222" s="1112">
        <v>192</v>
      </c>
      <c r="E1222" s="1114">
        <v>0</v>
      </c>
      <c r="F1222" s="1114">
        <v>82</v>
      </c>
      <c r="G1222" s="1115">
        <f t="shared" si="128"/>
        <v>0</v>
      </c>
      <c r="H1222" s="1115">
        <f t="shared" si="127"/>
        <v>15744</v>
      </c>
      <c r="I1222" s="1115">
        <f t="shared" si="129"/>
        <v>15744</v>
      </c>
    </row>
    <row r="1223" spans="1:9" s="725" customFormat="1" ht="14.4" hidden="1" outlineLevel="2" x14ac:dyDescent="0.25">
      <c r="A1223" s="1110" t="s">
        <v>3168</v>
      </c>
      <c r="B1223" s="1320" t="s">
        <v>1987</v>
      </c>
      <c r="C1223" s="1112" t="s">
        <v>96</v>
      </c>
      <c r="D1223" s="1322">
        <v>16</v>
      </c>
      <c r="E1223" s="1114">
        <v>0</v>
      </c>
      <c r="F1223" s="1114">
        <v>200</v>
      </c>
      <c r="G1223" s="1115">
        <f t="shared" si="128"/>
        <v>0</v>
      </c>
      <c r="H1223" s="1115">
        <f t="shared" si="127"/>
        <v>3200</v>
      </c>
      <c r="I1223" s="1115">
        <f t="shared" si="129"/>
        <v>3200</v>
      </c>
    </row>
    <row r="1224" spans="1:9" s="725" customFormat="1" ht="14.4" hidden="1" outlineLevel="2" x14ac:dyDescent="0.25">
      <c r="A1224" s="1110" t="s">
        <v>3169</v>
      </c>
      <c r="B1224" s="1320" t="s">
        <v>1988</v>
      </c>
      <c r="C1224" s="1112" t="s">
        <v>96</v>
      </c>
      <c r="D1224" s="1322">
        <v>12</v>
      </c>
      <c r="E1224" s="1114">
        <v>0</v>
      </c>
      <c r="F1224" s="1114">
        <v>200</v>
      </c>
      <c r="G1224" s="1115">
        <f t="shared" si="128"/>
        <v>0</v>
      </c>
      <c r="H1224" s="1115">
        <f t="shared" si="127"/>
        <v>2400</v>
      </c>
      <c r="I1224" s="1115">
        <f t="shared" si="129"/>
        <v>2400</v>
      </c>
    </row>
    <row r="1225" spans="1:9" s="725" customFormat="1" ht="14.4" hidden="1" outlineLevel="2" x14ac:dyDescent="0.25">
      <c r="A1225" s="1110" t="s">
        <v>3170</v>
      </c>
      <c r="B1225" s="1320" t="s">
        <v>1989</v>
      </c>
      <c r="C1225" s="1112" t="s">
        <v>96</v>
      </c>
      <c r="D1225" s="1322">
        <v>12</v>
      </c>
      <c r="E1225" s="1114">
        <v>0</v>
      </c>
      <c r="F1225" s="1114">
        <v>200</v>
      </c>
      <c r="G1225" s="1115">
        <f t="shared" si="128"/>
        <v>0</v>
      </c>
      <c r="H1225" s="1115">
        <f t="shared" si="127"/>
        <v>2400</v>
      </c>
      <c r="I1225" s="1115">
        <f t="shared" si="129"/>
        <v>2400</v>
      </c>
    </row>
    <row r="1226" spans="1:9" s="725" customFormat="1" ht="14.4" hidden="1" outlineLevel="2" x14ac:dyDescent="0.25">
      <c r="A1226" s="1110" t="s">
        <v>3171</v>
      </c>
      <c r="B1226" s="1320" t="s">
        <v>1990</v>
      </c>
      <c r="C1226" s="1112" t="s">
        <v>96</v>
      </c>
      <c r="D1226" s="1322">
        <v>12</v>
      </c>
      <c r="E1226" s="1114">
        <v>0</v>
      </c>
      <c r="F1226" s="1114">
        <v>200</v>
      </c>
      <c r="G1226" s="1115">
        <f t="shared" si="128"/>
        <v>0</v>
      </c>
      <c r="H1226" s="1115">
        <f t="shared" si="127"/>
        <v>2400</v>
      </c>
      <c r="I1226" s="1115">
        <f t="shared" si="129"/>
        <v>2400</v>
      </c>
    </row>
    <row r="1227" spans="1:9" s="725" customFormat="1" ht="14.4" hidden="1" outlineLevel="2" x14ac:dyDescent="0.25">
      <c r="A1227" s="1110" t="s">
        <v>3172</v>
      </c>
      <c r="B1227" s="1320" t="s">
        <v>1991</v>
      </c>
      <c r="C1227" s="1112" t="s">
        <v>96</v>
      </c>
      <c r="D1227" s="1322">
        <v>16</v>
      </c>
      <c r="E1227" s="1114">
        <v>0</v>
      </c>
      <c r="F1227" s="1114">
        <v>200</v>
      </c>
      <c r="G1227" s="1115">
        <f t="shared" si="128"/>
        <v>0</v>
      </c>
      <c r="H1227" s="1115">
        <f t="shared" si="127"/>
        <v>3200</v>
      </c>
      <c r="I1227" s="1115">
        <f t="shared" si="129"/>
        <v>3200</v>
      </c>
    </row>
    <row r="1228" spans="1:9" s="725" customFormat="1" ht="14.4" hidden="1" outlineLevel="2" x14ac:dyDescent="0.25">
      <c r="A1228" s="1110" t="s">
        <v>3173</v>
      </c>
      <c r="B1228" s="1111" t="s">
        <v>1992</v>
      </c>
      <c r="C1228" s="1112" t="s">
        <v>96</v>
      </c>
      <c r="D1228" s="1112">
        <v>2</v>
      </c>
      <c r="E1228" s="1114">
        <v>0</v>
      </c>
      <c r="F1228" s="1114">
        <v>167</v>
      </c>
      <c r="G1228" s="1115">
        <f t="shared" si="128"/>
        <v>0</v>
      </c>
      <c r="H1228" s="1115">
        <f t="shared" si="127"/>
        <v>334</v>
      </c>
      <c r="I1228" s="1115">
        <f t="shared" si="129"/>
        <v>334</v>
      </c>
    </row>
    <row r="1229" spans="1:9" s="725" customFormat="1" ht="14.4" hidden="1" outlineLevel="2" x14ac:dyDescent="0.25">
      <c r="A1229" s="1110" t="s">
        <v>3174</v>
      </c>
      <c r="B1229" s="1323" t="s">
        <v>1993</v>
      </c>
      <c r="C1229" s="1112" t="s">
        <v>96</v>
      </c>
      <c r="D1229" s="1324">
        <v>2</v>
      </c>
      <c r="E1229" s="1114">
        <v>0</v>
      </c>
      <c r="F1229" s="1114">
        <v>160</v>
      </c>
      <c r="G1229" s="1115">
        <f t="shared" si="128"/>
        <v>0</v>
      </c>
      <c r="H1229" s="1115">
        <f t="shared" si="127"/>
        <v>320</v>
      </c>
      <c r="I1229" s="1115">
        <f t="shared" si="129"/>
        <v>320</v>
      </c>
    </row>
    <row r="1230" spans="1:9" s="725" customFormat="1" ht="14.4" hidden="1" outlineLevel="2" x14ac:dyDescent="0.25">
      <c r="A1230" s="1110" t="s">
        <v>3175</v>
      </c>
      <c r="B1230" s="1323" t="s">
        <v>1994</v>
      </c>
      <c r="C1230" s="1112" t="s">
        <v>96</v>
      </c>
      <c r="D1230" s="1324">
        <v>2</v>
      </c>
      <c r="E1230" s="1114">
        <v>0</v>
      </c>
      <c r="F1230" s="1114">
        <v>132.75</v>
      </c>
      <c r="G1230" s="1115">
        <f t="shared" si="128"/>
        <v>0</v>
      </c>
      <c r="H1230" s="1115">
        <f t="shared" si="127"/>
        <v>265.5</v>
      </c>
      <c r="I1230" s="1115">
        <f t="shared" si="129"/>
        <v>265.5</v>
      </c>
    </row>
    <row r="1231" spans="1:9" s="725" customFormat="1" ht="57.6" hidden="1" outlineLevel="2" x14ac:dyDescent="0.25">
      <c r="A1231" s="1110" t="s">
        <v>3176</v>
      </c>
      <c r="B1231" s="1323" t="s">
        <v>1995</v>
      </c>
      <c r="C1231" s="1112" t="s">
        <v>96</v>
      </c>
      <c r="D1231" s="1325">
        <v>2</v>
      </c>
      <c r="E1231" s="1105">
        <v>150</v>
      </c>
      <c r="F1231" s="1105">
        <v>262</v>
      </c>
      <c r="G1231" s="1115">
        <f t="shared" si="128"/>
        <v>300</v>
      </c>
      <c r="H1231" s="1115">
        <f t="shared" si="127"/>
        <v>524</v>
      </c>
      <c r="I1231" s="1115">
        <f t="shared" si="129"/>
        <v>824</v>
      </c>
    </row>
    <row r="1232" spans="1:9" s="725" customFormat="1" ht="14.4" hidden="1" outlineLevel="2" x14ac:dyDescent="0.25">
      <c r="A1232" s="1110" t="s">
        <v>3177</v>
      </c>
      <c r="B1232" s="1323" t="s">
        <v>1996</v>
      </c>
      <c r="C1232" s="1112" t="s">
        <v>96</v>
      </c>
      <c r="D1232" s="1325">
        <v>3</v>
      </c>
      <c r="E1232" s="1114">
        <v>0</v>
      </c>
      <c r="F1232" s="1114">
        <v>23</v>
      </c>
      <c r="G1232" s="1115">
        <f t="shared" si="128"/>
        <v>0</v>
      </c>
      <c r="H1232" s="1115">
        <f t="shared" si="127"/>
        <v>69</v>
      </c>
      <c r="I1232" s="1115">
        <f t="shared" si="129"/>
        <v>69</v>
      </c>
    </row>
    <row r="1233" spans="1:9" s="725" customFormat="1" ht="14.4" hidden="1" outlineLevel="2" x14ac:dyDescent="0.25">
      <c r="A1233" s="1110" t="s">
        <v>3178</v>
      </c>
      <c r="B1233" s="1323" t="s">
        <v>1997</v>
      </c>
      <c r="C1233" s="1112" t="s">
        <v>96</v>
      </c>
      <c r="D1233" s="1325">
        <v>1</v>
      </c>
      <c r="E1233" s="1105">
        <v>300</v>
      </c>
      <c r="F1233" s="1105">
        <v>8140</v>
      </c>
      <c r="G1233" s="1115">
        <f t="shared" si="128"/>
        <v>300</v>
      </c>
      <c r="H1233" s="1115">
        <f t="shared" si="127"/>
        <v>8140</v>
      </c>
      <c r="I1233" s="1115">
        <f t="shared" si="129"/>
        <v>8440</v>
      </c>
    </row>
    <row r="1234" spans="1:9" s="725" customFormat="1" ht="14.4" hidden="1" outlineLevel="2" x14ac:dyDescent="0.25">
      <c r="A1234" s="1110" t="s">
        <v>3179</v>
      </c>
      <c r="B1234" s="1326" t="s">
        <v>1998</v>
      </c>
      <c r="C1234" s="1112" t="s">
        <v>96</v>
      </c>
      <c r="D1234" s="1114">
        <v>276</v>
      </c>
      <c r="E1234" s="1105">
        <v>0</v>
      </c>
      <c r="F1234" s="1105">
        <v>208</v>
      </c>
      <c r="G1234" s="1115">
        <f t="shared" si="128"/>
        <v>0</v>
      </c>
      <c r="H1234" s="1115">
        <f t="shared" si="127"/>
        <v>57408</v>
      </c>
      <c r="I1234" s="1115">
        <f t="shared" si="129"/>
        <v>57408</v>
      </c>
    </row>
    <row r="1235" spans="1:9" s="725" customFormat="1" ht="14.4" hidden="1" outlineLevel="2" x14ac:dyDescent="0.25">
      <c r="A1235" s="1110" t="s">
        <v>3180</v>
      </c>
      <c r="B1235" s="1326" t="s">
        <v>1999</v>
      </c>
      <c r="C1235" s="1112" t="s">
        <v>96</v>
      </c>
      <c r="D1235" s="1114">
        <v>276</v>
      </c>
      <c r="E1235" s="1105">
        <v>0</v>
      </c>
      <c r="F1235" s="1105">
        <v>130</v>
      </c>
      <c r="G1235" s="1115">
        <f t="shared" si="128"/>
        <v>0</v>
      </c>
      <c r="H1235" s="1115">
        <f t="shared" si="127"/>
        <v>35880</v>
      </c>
      <c r="I1235" s="1115">
        <f t="shared" si="129"/>
        <v>35880</v>
      </c>
    </row>
    <row r="1236" spans="1:9" s="725" customFormat="1" ht="14.4" hidden="1" outlineLevel="1" collapsed="1" x14ac:dyDescent="0.25">
      <c r="A1236" s="1110" t="s">
        <v>3181</v>
      </c>
      <c r="B1236" s="1111" t="s">
        <v>2000</v>
      </c>
      <c r="C1236" s="1112" t="s">
        <v>497</v>
      </c>
      <c r="D1236" s="1112">
        <v>3</v>
      </c>
      <c r="E1236" s="1114"/>
      <c r="F1236" s="1114"/>
      <c r="G1236" s="1115">
        <f>SUM(G1237:G1240)</f>
        <v>37000</v>
      </c>
      <c r="H1236" s="1115">
        <f>SUM(H1237:H1240)</f>
        <v>1392084.2</v>
      </c>
      <c r="I1236" s="1115">
        <f>SUM(I1237:I1240)</f>
        <v>1429084.2</v>
      </c>
    </row>
    <row r="1237" spans="1:9" s="725" customFormat="1" ht="14.4" hidden="1" outlineLevel="2" x14ac:dyDescent="0.25">
      <c r="A1237" s="1110" t="s">
        <v>3182</v>
      </c>
      <c r="B1237" s="1327" t="s">
        <v>2001</v>
      </c>
      <c r="C1237" s="1114" t="s">
        <v>2002</v>
      </c>
      <c r="D1237" s="1114">
        <v>1</v>
      </c>
      <c r="E1237" s="1114">
        <v>10000</v>
      </c>
      <c r="F1237" s="1114">
        <v>268341</v>
      </c>
      <c r="G1237" s="1115">
        <f>PRODUCT(D1237,E1237)</f>
        <v>10000</v>
      </c>
      <c r="H1237" s="1115">
        <f t="shared" ref="H1237:H1240" si="130">PRODUCT(F1237,D1237)</f>
        <v>268341</v>
      </c>
      <c r="I1237" s="1115">
        <f t="shared" ref="I1237:I1240" si="131">SUM(G1237:H1237)</f>
        <v>278341</v>
      </c>
    </row>
    <row r="1238" spans="1:9" s="725" customFormat="1" ht="14.4" hidden="1" outlineLevel="2" x14ac:dyDescent="0.25">
      <c r="A1238" s="1110" t="s">
        <v>3183</v>
      </c>
      <c r="B1238" s="1327" t="s">
        <v>2003</v>
      </c>
      <c r="C1238" s="1114" t="s">
        <v>2002</v>
      </c>
      <c r="D1238" s="1114">
        <v>1</v>
      </c>
      <c r="E1238" s="1114">
        <v>10000</v>
      </c>
      <c r="F1238" s="1114">
        <v>405996</v>
      </c>
      <c r="G1238" s="1115">
        <f t="shared" ref="G1238:G1240" si="132">PRODUCT(D1238,E1238)</f>
        <v>10000</v>
      </c>
      <c r="H1238" s="1115">
        <f t="shared" si="130"/>
        <v>405996</v>
      </c>
      <c r="I1238" s="1115">
        <f t="shared" si="131"/>
        <v>415996</v>
      </c>
    </row>
    <row r="1239" spans="1:9" s="725" customFormat="1" ht="14.4" hidden="1" outlineLevel="2" x14ac:dyDescent="0.25">
      <c r="A1239" s="1110" t="s">
        <v>3184</v>
      </c>
      <c r="B1239" s="1327" t="s">
        <v>2004</v>
      </c>
      <c r="C1239" s="1114" t="s">
        <v>2002</v>
      </c>
      <c r="D1239" s="1114">
        <v>1</v>
      </c>
      <c r="E1239" s="1114">
        <v>17000</v>
      </c>
      <c r="F1239" s="1114">
        <v>704007</v>
      </c>
      <c r="G1239" s="1115">
        <f t="shared" si="132"/>
        <v>17000</v>
      </c>
      <c r="H1239" s="1115">
        <f t="shared" si="130"/>
        <v>704007</v>
      </c>
      <c r="I1239" s="1115">
        <f t="shared" si="131"/>
        <v>721007</v>
      </c>
    </row>
    <row r="1240" spans="1:9" s="725" customFormat="1" ht="14.4" hidden="1" outlineLevel="2" x14ac:dyDescent="0.25">
      <c r="A1240" s="1110" t="s">
        <v>3185</v>
      </c>
      <c r="B1240" s="1118" t="s">
        <v>2005</v>
      </c>
      <c r="C1240" s="1322" t="s">
        <v>96</v>
      </c>
      <c r="D1240" s="1322">
        <v>4</v>
      </c>
      <c r="E1240" s="1114">
        <v>0</v>
      </c>
      <c r="F1240" s="1105">
        <v>3435.05</v>
      </c>
      <c r="G1240" s="1115">
        <f t="shared" si="132"/>
        <v>0</v>
      </c>
      <c r="H1240" s="1115">
        <f t="shared" si="130"/>
        <v>13740.2</v>
      </c>
      <c r="I1240" s="1115">
        <f t="shared" si="131"/>
        <v>13740.2</v>
      </c>
    </row>
    <row r="1241" spans="1:9" s="725" customFormat="1" ht="14.4" hidden="1" outlineLevel="1" collapsed="1" x14ac:dyDescent="0.25">
      <c r="A1241" s="1110" t="s">
        <v>3186</v>
      </c>
      <c r="B1241" s="1116" t="s">
        <v>2006</v>
      </c>
      <c r="C1241" s="1024" t="s">
        <v>96</v>
      </c>
      <c r="D1241" s="941">
        <v>3</v>
      </c>
      <c r="E1241" s="941"/>
      <c r="F1241" s="941"/>
      <c r="G1241" s="1117">
        <f>SUM(G1242:G1253)</f>
        <v>146600</v>
      </c>
      <c r="H1241" s="1117">
        <f>SUM(H1242:H1253)</f>
        <v>417510.16200000001</v>
      </c>
      <c r="I1241" s="1115">
        <f t="shared" ref="I1241" si="133">SUM(G1241:H1241)</f>
        <v>564110.16200000001</v>
      </c>
    </row>
    <row r="1242" spans="1:9" s="725" customFormat="1" ht="14.4" hidden="1" outlineLevel="2" x14ac:dyDescent="0.25">
      <c r="A1242" s="1110" t="s">
        <v>3187</v>
      </c>
      <c r="B1242" s="1327" t="s">
        <v>2007</v>
      </c>
      <c r="C1242" s="1322" t="s">
        <v>96</v>
      </c>
      <c r="D1242" s="1322">
        <v>660</v>
      </c>
      <c r="E1242" s="1105">
        <v>150</v>
      </c>
      <c r="F1242" s="1105">
        <v>460</v>
      </c>
      <c r="G1242" s="1115">
        <f>PRODUCT(E1242,D1242)</f>
        <v>99000</v>
      </c>
      <c r="H1242" s="1115">
        <f>PRODUCT(F1242,D1242)</f>
        <v>303600</v>
      </c>
      <c r="I1242" s="1115">
        <f>SUM(G1242:H1242)</f>
        <v>402600</v>
      </c>
    </row>
    <row r="1243" spans="1:9" s="725" customFormat="1" ht="14.4" hidden="1" outlineLevel="2" x14ac:dyDescent="0.25">
      <c r="A1243" s="1110" t="s">
        <v>3188</v>
      </c>
      <c r="B1243" s="1116" t="s">
        <v>2008</v>
      </c>
      <c r="C1243" s="1024" t="s">
        <v>96</v>
      </c>
      <c r="D1243" s="941">
        <v>2</v>
      </c>
      <c r="E1243" s="1105">
        <v>250</v>
      </c>
      <c r="F1243" s="1105">
        <v>8624</v>
      </c>
      <c r="G1243" s="1115">
        <f t="shared" ref="G1243:G1253" si="134">PRODUCT(E1243,D1243)</f>
        <v>500</v>
      </c>
      <c r="H1243" s="1115">
        <f t="shared" ref="H1243:H1253" si="135">PRODUCT(F1243,D1243)</f>
        <v>17248</v>
      </c>
      <c r="I1243" s="1115">
        <f t="shared" ref="I1243:I1253" si="136">SUM(G1243:H1243)</f>
        <v>17748</v>
      </c>
    </row>
    <row r="1244" spans="1:9" s="725" customFormat="1" ht="28.8" hidden="1" outlineLevel="2" x14ac:dyDescent="0.25">
      <c r="A1244" s="1110" t="s">
        <v>3189</v>
      </c>
      <c r="B1244" s="1116" t="s">
        <v>2009</v>
      </c>
      <c r="C1244" s="1024" t="s">
        <v>96</v>
      </c>
      <c r="D1244" s="941">
        <v>2</v>
      </c>
      <c r="E1244" s="1105">
        <v>10000</v>
      </c>
      <c r="F1244" s="1105">
        <v>8697.0869999999995</v>
      </c>
      <c r="G1244" s="1115">
        <f t="shared" si="134"/>
        <v>20000</v>
      </c>
      <c r="H1244" s="1115">
        <f t="shared" si="135"/>
        <v>17394.173999999999</v>
      </c>
      <c r="I1244" s="1115">
        <f t="shared" si="136"/>
        <v>37394.173999999999</v>
      </c>
    </row>
    <row r="1245" spans="1:9" s="725" customFormat="1" ht="14.4" hidden="1" outlineLevel="2" x14ac:dyDescent="0.25">
      <c r="A1245" s="1110" t="s">
        <v>3190</v>
      </c>
      <c r="B1245" s="1116" t="s">
        <v>2010</v>
      </c>
      <c r="C1245" s="1024" t="s">
        <v>96</v>
      </c>
      <c r="D1245" s="941">
        <v>2</v>
      </c>
      <c r="E1245" s="1105">
        <v>400</v>
      </c>
      <c r="F1245" s="1105">
        <v>25591</v>
      </c>
      <c r="G1245" s="1115">
        <f t="shared" si="134"/>
        <v>800</v>
      </c>
      <c r="H1245" s="1115">
        <f t="shared" si="135"/>
        <v>51182</v>
      </c>
      <c r="I1245" s="1115">
        <f t="shared" si="136"/>
        <v>51982</v>
      </c>
    </row>
    <row r="1246" spans="1:9" s="725" customFormat="1" ht="28.8" hidden="1" outlineLevel="2" x14ac:dyDescent="0.25">
      <c r="A1246" s="1110" t="s">
        <v>3191</v>
      </c>
      <c r="B1246" s="1116" t="s">
        <v>2011</v>
      </c>
      <c r="C1246" s="1024" t="s">
        <v>96</v>
      </c>
      <c r="D1246" s="941">
        <v>2</v>
      </c>
      <c r="E1246" s="1105">
        <v>0</v>
      </c>
      <c r="F1246" s="1105">
        <v>344.75</v>
      </c>
      <c r="G1246" s="1115">
        <f t="shared" si="134"/>
        <v>0</v>
      </c>
      <c r="H1246" s="1115">
        <f t="shared" si="135"/>
        <v>689.5</v>
      </c>
      <c r="I1246" s="1115">
        <f t="shared" si="136"/>
        <v>689.5</v>
      </c>
    </row>
    <row r="1247" spans="1:9" s="725" customFormat="1" ht="28.8" hidden="1" outlineLevel="2" x14ac:dyDescent="0.25">
      <c r="A1247" s="1110" t="s">
        <v>3192</v>
      </c>
      <c r="B1247" s="1116" t="s">
        <v>2012</v>
      </c>
      <c r="C1247" s="1024" t="s">
        <v>96</v>
      </c>
      <c r="D1247" s="941">
        <v>2</v>
      </c>
      <c r="E1247" s="1105">
        <v>150</v>
      </c>
      <c r="F1247" s="1105">
        <v>379.22</v>
      </c>
      <c r="G1247" s="1115">
        <f t="shared" si="134"/>
        <v>300</v>
      </c>
      <c r="H1247" s="1115">
        <f t="shared" si="135"/>
        <v>758.44</v>
      </c>
      <c r="I1247" s="1115">
        <f t="shared" si="136"/>
        <v>1058.44</v>
      </c>
    </row>
    <row r="1248" spans="1:9" s="725" customFormat="1" ht="14.4" hidden="1" outlineLevel="2" x14ac:dyDescent="0.25">
      <c r="A1248" s="1110" t="s">
        <v>3193</v>
      </c>
      <c r="B1248" s="1116" t="s">
        <v>2013</v>
      </c>
      <c r="C1248" s="1024" t="s">
        <v>44</v>
      </c>
      <c r="D1248" s="941">
        <v>2</v>
      </c>
      <c r="E1248" s="941">
        <v>0</v>
      </c>
      <c r="F1248" s="941">
        <v>15</v>
      </c>
      <c r="G1248" s="1115">
        <f t="shared" si="134"/>
        <v>0</v>
      </c>
      <c r="H1248" s="1115">
        <f t="shared" si="135"/>
        <v>30</v>
      </c>
      <c r="I1248" s="1115">
        <f t="shared" si="136"/>
        <v>30</v>
      </c>
    </row>
    <row r="1249" spans="1:9" s="725" customFormat="1" ht="14.4" hidden="1" outlineLevel="2" x14ac:dyDescent="0.25">
      <c r="A1249" s="1110" t="s">
        <v>3194</v>
      </c>
      <c r="B1249" s="1116" t="s">
        <v>2014</v>
      </c>
      <c r="C1249" s="1024" t="s">
        <v>44</v>
      </c>
      <c r="D1249" s="941">
        <v>8</v>
      </c>
      <c r="E1249" s="941">
        <v>0</v>
      </c>
      <c r="F1249" s="941">
        <v>20</v>
      </c>
      <c r="G1249" s="1115">
        <f t="shared" si="134"/>
        <v>0</v>
      </c>
      <c r="H1249" s="1115">
        <f t="shared" si="135"/>
        <v>160</v>
      </c>
      <c r="I1249" s="1115">
        <f t="shared" si="136"/>
        <v>160</v>
      </c>
    </row>
    <row r="1250" spans="1:9" s="725" customFormat="1" ht="14.4" hidden="1" outlineLevel="2" x14ac:dyDescent="0.25">
      <c r="A1250" s="1110" t="s">
        <v>3195</v>
      </c>
      <c r="B1250" s="1116" t="s">
        <v>2015</v>
      </c>
      <c r="C1250" s="1024" t="s">
        <v>96</v>
      </c>
      <c r="D1250" s="941">
        <v>2</v>
      </c>
      <c r="E1250" s="1105">
        <v>200</v>
      </c>
      <c r="F1250" s="1105">
        <v>1044.4100000000001</v>
      </c>
      <c r="G1250" s="1115">
        <f t="shared" si="134"/>
        <v>400</v>
      </c>
      <c r="H1250" s="1115">
        <f t="shared" si="135"/>
        <v>2088.8200000000002</v>
      </c>
      <c r="I1250" s="1115">
        <f t="shared" si="136"/>
        <v>2488.8200000000002</v>
      </c>
    </row>
    <row r="1251" spans="1:9" s="725" customFormat="1" ht="14.4" hidden="1" outlineLevel="2" x14ac:dyDescent="0.25">
      <c r="A1251" s="1110" t="s">
        <v>3196</v>
      </c>
      <c r="B1251" s="1116" t="s">
        <v>2016</v>
      </c>
      <c r="C1251" s="1024" t="s">
        <v>96</v>
      </c>
      <c r="D1251" s="941">
        <v>3</v>
      </c>
      <c r="E1251" s="1105">
        <v>200</v>
      </c>
      <c r="F1251" s="1105">
        <v>742</v>
      </c>
      <c r="G1251" s="1115">
        <f t="shared" si="134"/>
        <v>600</v>
      </c>
      <c r="H1251" s="1115">
        <f t="shared" si="135"/>
        <v>2226</v>
      </c>
      <c r="I1251" s="1115">
        <f t="shared" si="136"/>
        <v>2826</v>
      </c>
    </row>
    <row r="1252" spans="1:9" s="725" customFormat="1" ht="28.8" hidden="1" outlineLevel="2" x14ac:dyDescent="0.25">
      <c r="A1252" s="1110" t="s">
        <v>3197</v>
      </c>
      <c r="B1252" s="1116" t="s">
        <v>2017</v>
      </c>
      <c r="C1252" s="1024" t="s">
        <v>96</v>
      </c>
      <c r="D1252" s="941">
        <v>2</v>
      </c>
      <c r="E1252" s="1105">
        <v>12500</v>
      </c>
      <c r="F1252" s="1105">
        <v>11002.614</v>
      </c>
      <c r="G1252" s="1115">
        <f t="shared" si="134"/>
        <v>25000</v>
      </c>
      <c r="H1252" s="1115">
        <f t="shared" si="135"/>
        <v>22005.227999999999</v>
      </c>
      <c r="I1252" s="1115">
        <f t="shared" si="136"/>
        <v>47005.228000000003</v>
      </c>
    </row>
    <row r="1253" spans="1:9" s="725" customFormat="1" ht="14.4" hidden="1" outlineLevel="2" x14ac:dyDescent="0.25">
      <c r="A1253" s="1110" t="s">
        <v>3198</v>
      </c>
      <c r="B1253" s="1116" t="s">
        <v>2018</v>
      </c>
      <c r="C1253" s="1024" t="s">
        <v>96</v>
      </c>
      <c r="D1253" s="941">
        <v>4</v>
      </c>
      <c r="E1253" s="941">
        <v>0</v>
      </c>
      <c r="F1253" s="941">
        <v>32</v>
      </c>
      <c r="G1253" s="1115">
        <f t="shared" si="134"/>
        <v>0</v>
      </c>
      <c r="H1253" s="1115">
        <f t="shared" si="135"/>
        <v>128</v>
      </c>
      <c r="I1253" s="1115">
        <f t="shared" si="136"/>
        <v>128</v>
      </c>
    </row>
    <row r="1254" spans="1:9" s="725" customFormat="1" ht="14.4" hidden="1" outlineLevel="1" collapsed="1" x14ac:dyDescent="0.25">
      <c r="A1254" s="1110" t="s">
        <v>3199</v>
      </c>
      <c r="B1254" s="1111" t="s">
        <v>2019</v>
      </c>
      <c r="C1254" s="1112" t="s">
        <v>43</v>
      </c>
      <c r="D1254" s="1113">
        <f>SUM(D1255:D1263)</f>
        <v>5787.4000000000005</v>
      </c>
      <c r="E1254" s="1114"/>
      <c r="F1254" s="1114"/>
      <c r="G1254" s="1117">
        <f>SUM(G1255:G1299)</f>
        <v>865766</v>
      </c>
      <c r="H1254" s="1117">
        <f>SUM(H1255:H1299)</f>
        <v>1435496.8140000002</v>
      </c>
      <c r="I1254" s="1115">
        <f>SUM(G1254:H1254)</f>
        <v>2301262.8140000002</v>
      </c>
    </row>
    <row r="1255" spans="1:9" s="725" customFormat="1" ht="28.8" hidden="1" outlineLevel="2" x14ac:dyDescent="0.25">
      <c r="A1255" s="1110" t="s">
        <v>2874</v>
      </c>
      <c r="B1255" s="1321" t="s">
        <v>2020</v>
      </c>
      <c r="C1255" s="1112" t="s">
        <v>43</v>
      </c>
      <c r="D1255" s="1114">
        <v>591</v>
      </c>
      <c r="E1255" s="1105">
        <v>120</v>
      </c>
      <c r="F1255" s="1105">
        <v>95.79</v>
      </c>
      <c r="G1255" s="1115">
        <f t="shared" ref="G1255:G1299" si="137">PRODUCT(E1255,D1255)</f>
        <v>70920</v>
      </c>
      <c r="H1255" s="1115">
        <f t="shared" ref="H1255:H1299" si="138">PRODUCT(F1255,D1255)</f>
        <v>56611.890000000007</v>
      </c>
      <c r="I1255" s="1115">
        <f t="shared" ref="I1255:I1299" si="139">SUM(G1255:H1255)</f>
        <v>127531.89000000001</v>
      </c>
    </row>
    <row r="1256" spans="1:9" s="725" customFormat="1" ht="28.8" hidden="1" outlineLevel="2" x14ac:dyDescent="0.25">
      <c r="A1256" s="1110" t="s">
        <v>3200</v>
      </c>
      <c r="B1256" s="1321" t="s">
        <v>2021</v>
      </c>
      <c r="C1256" s="1112" t="s">
        <v>43</v>
      </c>
      <c r="D1256" s="1114">
        <v>1407.2</v>
      </c>
      <c r="E1256" s="1105">
        <v>120</v>
      </c>
      <c r="F1256" s="1105">
        <v>119.7</v>
      </c>
      <c r="G1256" s="1115">
        <f t="shared" si="137"/>
        <v>168864</v>
      </c>
      <c r="H1256" s="1115">
        <f t="shared" si="138"/>
        <v>168441.84</v>
      </c>
      <c r="I1256" s="1115">
        <f t="shared" si="139"/>
        <v>337305.83999999997</v>
      </c>
    </row>
    <row r="1257" spans="1:9" s="725" customFormat="1" ht="28.8" hidden="1" outlineLevel="2" x14ac:dyDescent="0.25">
      <c r="A1257" s="1110" t="s">
        <v>3201</v>
      </c>
      <c r="B1257" s="1321" t="s">
        <v>2022</v>
      </c>
      <c r="C1257" s="1112" t="s">
        <v>43</v>
      </c>
      <c r="D1257" s="1114">
        <v>2584.1</v>
      </c>
      <c r="E1257" s="1105">
        <v>120</v>
      </c>
      <c r="F1257" s="1105">
        <v>169.5</v>
      </c>
      <c r="G1257" s="1115">
        <f t="shared" si="137"/>
        <v>310092</v>
      </c>
      <c r="H1257" s="1115">
        <f t="shared" si="138"/>
        <v>438004.95</v>
      </c>
      <c r="I1257" s="1115">
        <f t="shared" si="139"/>
        <v>748096.95</v>
      </c>
    </row>
    <row r="1258" spans="1:9" s="725" customFormat="1" ht="28.8" hidden="1" outlineLevel="2" x14ac:dyDescent="0.25">
      <c r="A1258" s="1110" t="s">
        <v>3202</v>
      </c>
      <c r="B1258" s="1321" t="s">
        <v>2023</v>
      </c>
      <c r="C1258" s="1112" t="s">
        <v>43</v>
      </c>
      <c r="D1258" s="1114">
        <v>128</v>
      </c>
      <c r="E1258" s="1105">
        <v>150</v>
      </c>
      <c r="F1258" s="1105">
        <v>219.59</v>
      </c>
      <c r="G1258" s="1115">
        <f t="shared" si="137"/>
        <v>19200</v>
      </c>
      <c r="H1258" s="1115">
        <f t="shared" si="138"/>
        <v>28107.52</v>
      </c>
      <c r="I1258" s="1115">
        <f t="shared" si="139"/>
        <v>47307.520000000004</v>
      </c>
    </row>
    <row r="1259" spans="1:9" s="725" customFormat="1" ht="28.8" hidden="1" outlineLevel="2" x14ac:dyDescent="0.25">
      <c r="A1259" s="1110" t="s">
        <v>3203</v>
      </c>
      <c r="B1259" s="1321" t="s">
        <v>2025</v>
      </c>
      <c r="C1259" s="1112" t="s">
        <v>43</v>
      </c>
      <c r="D1259" s="1114">
        <v>37</v>
      </c>
      <c r="E1259" s="1105">
        <v>200</v>
      </c>
      <c r="F1259" s="1105">
        <v>270.26</v>
      </c>
      <c r="G1259" s="1115">
        <f t="shared" si="137"/>
        <v>7400</v>
      </c>
      <c r="H1259" s="1115">
        <f t="shared" si="138"/>
        <v>9999.619999999999</v>
      </c>
      <c r="I1259" s="1115">
        <f t="shared" si="139"/>
        <v>17399.62</v>
      </c>
    </row>
    <row r="1260" spans="1:9" s="725" customFormat="1" ht="28.8" hidden="1" outlineLevel="2" x14ac:dyDescent="0.25">
      <c r="A1260" s="1110" t="s">
        <v>3204</v>
      </c>
      <c r="B1260" s="1321" t="s">
        <v>2027</v>
      </c>
      <c r="C1260" s="1112" t="s">
        <v>43</v>
      </c>
      <c r="D1260" s="1114">
        <v>408</v>
      </c>
      <c r="E1260" s="1105">
        <v>250</v>
      </c>
      <c r="F1260" s="1105">
        <v>318.95</v>
      </c>
      <c r="G1260" s="1115">
        <f t="shared" si="137"/>
        <v>102000</v>
      </c>
      <c r="H1260" s="1115">
        <f t="shared" si="138"/>
        <v>130131.59999999999</v>
      </c>
      <c r="I1260" s="1115">
        <f t="shared" si="139"/>
        <v>232131.59999999998</v>
      </c>
    </row>
    <row r="1261" spans="1:9" s="725" customFormat="1" ht="28.8" hidden="1" outlineLevel="2" x14ac:dyDescent="0.25">
      <c r="A1261" s="1110" t="s">
        <v>3205</v>
      </c>
      <c r="B1261" s="1321" t="s">
        <v>2029</v>
      </c>
      <c r="C1261" s="1112" t="s">
        <v>43</v>
      </c>
      <c r="D1261" s="1114">
        <v>503</v>
      </c>
      <c r="E1261" s="1105">
        <v>250</v>
      </c>
      <c r="F1261" s="1105">
        <v>432.13</v>
      </c>
      <c r="G1261" s="1115">
        <f t="shared" si="137"/>
        <v>125750</v>
      </c>
      <c r="H1261" s="1115">
        <f t="shared" si="138"/>
        <v>217361.38999999998</v>
      </c>
      <c r="I1261" s="1115">
        <f t="shared" si="139"/>
        <v>343111.39</v>
      </c>
    </row>
    <row r="1262" spans="1:9" s="725" customFormat="1" ht="28.8" hidden="1" outlineLevel="2" x14ac:dyDescent="0.25">
      <c r="A1262" s="1110" t="s">
        <v>3206</v>
      </c>
      <c r="B1262" s="1321" t="s">
        <v>2031</v>
      </c>
      <c r="C1262" s="1112" t="s">
        <v>43</v>
      </c>
      <c r="D1262" s="1114">
        <v>82.1</v>
      </c>
      <c r="E1262" s="1105">
        <v>300</v>
      </c>
      <c r="F1262" s="1105">
        <v>509.14</v>
      </c>
      <c r="G1262" s="1115">
        <f t="shared" si="137"/>
        <v>24630</v>
      </c>
      <c r="H1262" s="1115">
        <f t="shared" si="138"/>
        <v>41800.393999999993</v>
      </c>
      <c r="I1262" s="1115">
        <f t="shared" si="139"/>
        <v>66430.394</v>
      </c>
    </row>
    <row r="1263" spans="1:9" s="725" customFormat="1" ht="28.8" hidden="1" outlineLevel="2" x14ac:dyDescent="0.25">
      <c r="A1263" s="1110" t="s">
        <v>3207</v>
      </c>
      <c r="B1263" s="1321" t="s">
        <v>2033</v>
      </c>
      <c r="C1263" s="1112" t="s">
        <v>43</v>
      </c>
      <c r="D1263" s="1114">
        <v>47</v>
      </c>
      <c r="E1263" s="1105">
        <v>350</v>
      </c>
      <c r="F1263" s="1105">
        <v>622.75</v>
      </c>
      <c r="G1263" s="1115">
        <f t="shared" si="137"/>
        <v>16450</v>
      </c>
      <c r="H1263" s="1115">
        <f t="shared" si="138"/>
        <v>29269.25</v>
      </c>
      <c r="I1263" s="1115">
        <f t="shared" si="139"/>
        <v>45719.25</v>
      </c>
    </row>
    <row r="1264" spans="1:9" s="725" customFormat="1" ht="14.4" hidden="1" outlineLevel="2" x14ac:dyDescent="0.25">
      <c r="A1264" s="1110" t="s">
        <v>3208</v>
      </c>
      <c r="B1264" s="1111" t="s">
        <v>2035</v>
      </c>
      <c r="C1264" s="1112" t="s">
        <v>43</v>
      </c>
      <c r="D1264" s="1112">
        <v>1</v>
      </c>
      <c r="E1264" s="1114">
        <v>60</v>
      </c>
      <c r="F1264" s="1114">
        <v>987.36</v>
      </c>
      <c r="G1264" s="1115">
        <f t="shared" si="137"/>
        <v>60</v>
      </c>
      <c r="H1264" s="1115">
        <f t="shared" si="138"/>
        <v>987.36</v>
      </c>
      <c r="I1264" s="1115">
        <f t="shared" si="139"/>
        <v>1047.3600000000001</v>
      </c>
    </row>
    <row r="1265" spans="1:9" s="725" customFormat="1" ht="14.4" hidden="1" outlineLevel="2" x14ac:dyDescent="0.25">
      <c r="A1265" s="1110" t="s">
        <v>3209</v>
      </c>
      <c r="B1265" s="1111" t="s">
        <v>2037</v>
      </c>
      <c r="C1265" s="1112" t="s">
        <v>43</v>
      </c>
      <c r="D1265" s="1112">
        <v>340</v>
      </c>
      <c r="E1265" s="1114">
        <v>60</v>
      </c>
      <c r="F1265" s="1105">
        <v>318.95</v>
      </c>
      <c r="G1265" s="1115">
        <f t="shared" si="137"/>
        <v>20400</v>
      </c>
      <c r="H1265" s="1115">
        <f t="shared" si="138"/>
        <v>108443</v>
      </c>
      <c r="I1265" s="1115">
        <f t="shared" si="139"/>
        <v>128843</v>
      </c>
    </row>
    <row r="1266" spans="1:9" s="725" customFormat="1" ht="14.4" hidden="1" outlineLevel="2" x14ac:dyDescent="0.25">
      <c r="A1266" s="1110" t="s">
        <v>3210</v>
      </c>
      <c r="B1266" s="1111" t="s">
        <v>2039</v>
      </c>
      <c r="C1266" s="1112" t="s">
        <v>44</v>
      </c>
      <c r="D1266" s="1114">
        <v>15</v>
      </c>
      <c r="E1266" s="1114">
        <v>0</v>
      </c>
      <c r="F1266" s="1114">
        <v>96</v>
      </c>
      <c r="G1266" s="1115">
        <f t="shared" si="137"/>
        <v>0</v>
      </c>
      <c r="H1266" s="1115">
        <f t="shared" si="138"/>
        <v>1440</v>
      </c>
      <c r="I1266" s="1115">
        <f t="shared" si="139"/>
        <v>1440</v>
      </c>
    </row>
    <row r="1267" spans="1:9" s="725" customFormat="1" ht="14.4" hidden="1" outlineLevel="2" x14ac:dyDescent="0.25">
      <c r="A1267" s="1110" t="s">
        <v>3211</v>
      </c>
      <c r="B1267" s="1111" t="s">
        <v>2041</v>
      </c>
      <c r="C1267" s="1112" t="s">
        <v>44</v>
      </c>
      <c r="D1267" s="1114">
        <v>8</v>
      </c>
      <c r="E1267" s="1114">
        <v>0</v>
      </c>
      <c r="F1267" s="1114">
        <v>101</v>
      </c>
      <c r="G1267" s="1115">
        <f t="shared" si="137"/>
        <v>0</v>
      </c>
      <c r="H1267" s="1115">
        <f t="shared" si="138"/>
        <v>808</v>
      </c>
      <c r="I1267" s="1115">
        <f t="shared" si="139"/>
        <v>808</v>
      </c>
    </row>
    <row r="1268" spans="1:9" s="725" customFormat="1" ht="14.4" hidden="1" outlineLevel="2" x14ac:dyDescent="0.25">
      <c r="A1268" s="1110" t="s">
        <v>3212</v>
      </c>
      <c r="B1268" s="1111" t="s">
        <v>2043</v>
      </c>
      <c r="C1268" s="1112" t="s">
        <v>44</v>
      </c>
      <c r="D1268" s="1114">
        <v>38</v>
      </c>
      <c r="E1268" s="1114">
        <v>0</v>
      </c>
      <c r="F1268" s="1114">
        <v>84</v>
      </c>
      <c r="G1268" s="1115">
        <f t="shared" si="137"/>
        <v>0</v>
      </c>
      <c r="H1268" s="1115">
        <f t="shared" si="138"/>
        <v>3192</v>
      </c>
      <c r="I1268" s="1115">
        <f t="shared" si="139"/>
        <v>3192</v>
      </c>
    </row>
    <row r="1269" spans="1:9" s="725" customFormat="1" ht="14.4" hidden="1" outlineLevel="2" x14ac:dyDescent="0.25">
      <c r="A1269" s="1110" t="s">
        <v>3213</v>
      </c>
      <c r="B1269" s="1111" t="s">
        <v>2045</v>
      </c>
      <c r="C1269" s="1112" t="s">
        <v>44</v>
      </c>
      <c r="D1269" s="1114">
        <v>4</v>
      </c>
      <c r="E1269" s="1114">
        <v>0</v>
      </c>
      <c r="F1269" s="1114">
        <v>98.73</v>
      </c>
      <c r="G1269" s="1115">
        <f t="shared" si="137"/>
        <v>0</v>
      </c>
      <c r="H1269" s="1115">
        <f t="shared" si="138"/>
        <v>394.92</v>
      </c>
      <c r="I1269" s="1115">
        <f t="shared" si="139"/>
        <v>394.92</v>
      </c>
    </row>
    <row r="1270" spans="1:9" s="725" customFormat="1" ht="14.4" hidden="1" outlineLevel="2" x14ac:dyDescent="0.25">
      <c r="A1270" s="1110" t="s">
        <v>3214</v>
      </c>
      <c r="B1270" s="1111" t="s">
        <v>2047</v>
      </c>
      <c r="C1270" s="1112" t="s">
        <v>44</v>
      </c>
      <c r="D1270" s="1114">
        <v>54</v>
      </c>
      <c r="E1270" s="1114">
        <v>0</v>
      </c>
      <c r="F1270" s="1114">
        <v>234</v>
      </c>
      <c r="G1270" s="1115">
        <f t="shared" si="137"/>
        <v>0</v>
      </c>
      <c r="H1270" s="1115">
        <f t="shared" si="138"/>
        <v>12636</v>
      </c>
      <c r="I1270" s="1115">
        <f t="shared" si="139"/>
        <v>12636</v>
      </c>
    </row>
    <row r="1271" spans="1:9" s="725" customFormat="1" ht="14.4" hidden="1" outlineLevel="2" x14ac:dyDescent="0.25">
      <c r="A1271" s="1110" t="s">
        <v>3215</v>
      </c>
      <c r="B1271" s="1111" t="s">
        <v>2049</v>
      </c>
      <c r="C1271" s="1112" t="s">
        <v>44</v>
      </c>
      <c r="D1271" s="1114">
        <v>4</v>
      </c>
      <c r="E1271" s="1114">
        <v>0</v>
      </c>
      <c r="F1271" s="1105">
        <v>187.96</v>
      </c>
      <c r="G1271" s="1115">
        <f t="shared" si="137"/>
        <v>0</v>
      </c>
      <c r="H1271" s="1115">
        <f t="shared" si="138"/>
        <v>751.84</v>
      </c>
      <c r="I1271" s="1115">
        <f t="shared" si="139"/>
        <v>751.84</v>
      </c>
    </row>
    <row r="1272" spans="1:9" s="725" customFormat="1" ht="14.4" hidden="1" outlineLevel="2" x14ac:dyDescent="0.25">
      <c r="A1272" s="1110" t="s">
        <v>3216</v>
      </c>
      <c r="B1272" s="1111" t="s">
        <v>2051</v>
      </c>
      <c r="C1272" s="1112" t="s">
        <v>44</v>
      </c>
      <c r="D1272" s="1114">
        <v>33</v>
      </c>
      <c r="E1272" s="1114">
        <v>0</v>
      </c>
      <c r="F1272" s="1114">
        <v>298</v>
      </c>
      <c r="G1272" s="1115">
        <f t="shared" si="137"/>
        <v>0</v>
      </c>
      <c r="H1272" s="1115">
        <f t="shared" si="138"/>
        <v>9834</v>
      </c>
      <c r="I1272" s="1115">
        <f t="shared" si="139"/>
        <v>9834</v>
      </c>
    </row>
    <row r="1273" spans="1:9" s="725" customFormat="1" ht="14.4" hidden="1" outlineLevel="2" x14ac:dyDescent="0.25">
      <c r="A1273" s="1110" t="s">
        <v>3217</v>
      </c>
      <c r="B1273" s="1111" t="s">
        <v>2053</v>
      </c>
      <c r="C1273" s="1112" t="s">
        <v>44</v>
      </c>
      <c r="D1273" s="1114">
        <v>14</v>
      </c>
      <c r="E1273" s="1114">
        <v>0</v>
      </c>
      <c r="F1273" s="1114">
        <v>409.5</v>
      </c>
      <c r="G1273" s="1115">
        <f t="shared" si="137"/>
        <v>0</v>
      </c>
      <c r="H1273" s="1115">
        <f t="shared" si="138"/>
        <v>5733</v>
      </c>
      <c r="I1273" s="1115">
        <f t="shared" si="139"/>
        <v>5733</v>
      </c>
    </row>
    <row r="1274" spans="1:9" s="725" customFormat="1" ht="14.4" hidden="1" outlineLevel="2" x14ac:dyDescent="0.25">
      <c r="A1274" s="1110" t="s">
        <v>3218</v>
      </c>
      <c r="B1274" s="1111" t="s">
        <v>2055</v>
      </c>
      <c r="C1274" s="1112" t="s">
        <v>44</v>
      </c>
      <c r="D1274" s="1114">
        <v>6</v>
      </c>
      <c r="E1274" s="1114">
        <v>0</v>
      </c>
      <c r="F1274" s="1114">
        <v>28.98</v>
      </c>
      <c r="G1274" s="1115">
        <f t="shared" si="137"/>
        <v>0</v>
      </c>
      <c r="H1274" s="1115">
        <f t="shared" si="138"/>
        <v>173.88</v>
      </c>
      <c r="I1274" s="1115">
        <f t="shared" si="139"/>
        <v>173.88</v>
      </c>
    </row>
    <row r="1275" spans="1:9" s="725" customFormat="1" ht="14.4" hidden="1" outlineLevel="2" x14ac:dyDescent="0.25">
      <c r="A1275" s="1110" t="s">
        <v>3219</v>
      </c>
      <c r="B1275" s="1111" t="s">
        <v>2057</v>
      </c>
      <c r="C1275" s="1112" t="s">
        <v>96</v>
      </c>
      <c r="D1275" s="1114">
        <v>2</v>
      </c>
      <c r="E1275" s="1114">
        <v>0</v>
      </c>
      <c r="F1275" s="1114">
        <v>42</v>
      </c>
      <c r="G1275" s="1115">
        <f t="shared" si="137"/>
        <v>0</v>
      </c>
      <c r="H1275" s="1115">
        <f t="shared" si="138"/>
        <v>84</v>
      </c>
      <c r="I1275" s="1115">
        <f t="shared" si="139"/>
        <v>84</v>
      </c>
    </row>
    <row r="1276" spans="1:9" s="725" customFormat="1" ht="14.4" hidden="1" outlineLevel="2" x14ac:dyDescent="0.25">
      <c r="A1276" s="1110" t="s">
        <v>3220</v>
      </c>
      <c r="B1276" s="1111" t="s">
        <v>2059</v>
      </c>
      <c r="C1276" s="1112" t="s">
        <v>96</v>
      </c>
      <c r="D1276" s="1114">
        <v>4</v>
      </c>
      <c r="E1276" s="1114">
        <v>0</v>
      </c>
      <c r="F1276" s="1114">
        <v>38</v>
      </c>
      <c r="G1276" s="1115">
        <f t="shared" si="137"/>
        <v>0</v>
      </c>
      <c r="H1276" s="1115">
        <f t="shared" si="138"/>
        <v>152</v>
      </c>
      <c r="I1276" s="1115">
        <f t="shared" si="139"/>
        <v>152</v>
      </c>
    </row>
    <row r="1277" spans="1:9" s="725" customFormat="1" ht="14.4" hidden="1" outlineLevel="2" x14ac:dyDescent="0.25">
      <c r="A1277" s="1110" t="s">
        <v>3221</v>
      </c>
      <c r="B1277" s="1111" t="s">
        <v>2061</v>
      </c>
      <c r="C1277" s="1112" t="s">
        <v>44</v>
      </c>
      <c r="D1277" s="1114">
        <v>10</v>
      </c>
      <c r="E1277" s="1114">
        <v>0</v>
      </c>
      <c r="F1277" s="1114">
        <v>56</v>
      </c>
      <c r="G1277" s="1115">
        <f t="shared" si="137"/>
        <v>0</v>
      </c>
      <c r="H1277" s="1115">
        <f t="shared" si="138"/>
        <v>560</v>
      </c>
      <c r="I1277" s="1115">
        <f t="shared" si="139"/>
        <v>560</v>
      </c>
    </row>
    <row r="1278" spans="1:9" s="725" customFormat="1" ht="14.4" hidden="1" outlineLevel="2" x14ac:dyDescent="0.25">
      <c r="A1278" s="1110" t="s">
        <v>3222</v>
      </c>
      <c r="B1278" s="1111" t="s">
        <v>2063</v>
      </c>
      <c r="C1278" s="1112" t="s">
        <v>44</v>
      </c>
      <c r="D1278" s="1114">
        <v>13</v>
      </c>
      <c r="E1278" s="1114">
        <v>0</v>
      </c>
      <c r="F1278" s="1114">
        <v>99</v>
      </c>
      <c r="G1278" s="1115">
        <f t="shared" si="137"/>
        <v>0</v>
      </c>
      <c r="H1278" s="1115">
        <f t="shared" si="138"/>
        <v>1287</v>
      </c>
      <c r="I1278" s="1115">
        <f t="shared" si="139"/>
        <v>1287</v>
      </c>
    </row>
    <row r="1279" spans="1:9" s="725" customFormat="1" ht="14.4" hidden="1" outlineLevel="2" x14ac:dyDescent="0.25">
      <c r="A1279" s="1110" t="s">
        <v>3223</v>
      </c>
      <c r="B1279" s="1111" t="s">
        <v>2065</v>
      </c>
      <c r="C1279" s="1112" t="s">
        <v>44</v>
      </c>
      <c r="D1279" s="1114">
        <v>4</v>
      </c>
      <c r="E1279" s="1114">
        <v>0</v>
      </c>
      <c r="F1279" s="1114">
        <v>202</v>
      </c>
      <c r="G1279" s="1115">
        <f t="shared" si="137"/>
        <v>0</v>
      </c>
      <c r="H1279" s="1115">
        <f t="shared" si="138"/>
        <v>808</v>
      </c>
      <c r="I1279" s="1115">
        <f t="shared" si="139"/>
        <v>808</v>
      </c>
    </row>
    <row r="1280" spans="1:9" s="725" customFormat="1" ht="14.4" hidden="1" outlineLevel="2" x14ac:dyDescent="0.25">
      <c r="A1280" s="1110" t="s">
        <v>3224</v>
      </c>
      <c r="B1280" s="1111" t="s">
        <v>2067</v>
      </c>
      <c r="C1280" s="1112" t="s">
        <v>44</v>
      </c>
      <c r="D1280" s="1114">
        <v>6</v>
      </c>
      <c r="E1280" s="1114">
        <v>0</v>
      </c>
      <c r="F1280" s="1114">
        <v>138</v>
      </c>
      <c r="G1280" s="1115">
        <f t="shared" si="137"/>
        <v>0</v>
      </c>
      <c r="H1280" s="1115">
        <f t="shared" si="138"/>
        <v>828</v>
      </c>
      <c r="I1280" s="1115">
        <f t="shared" si="139"/>
        <v>828</v>
      </c>
    </row>
    <row r="1281" spans="1:9" s="725" customFormat="1" ht="14.4" hidden="1" outlineLevel="2" x14ac:dyDescent="0.25">
      <c r="A1281" s="1110" t="s">
        <v>3225</v>
      </c>
      <c r="B1281" s="1111" t="s">
        <v>2069</v>
      </c>
      <c r="C1281" s="1112" t="s">
        <v>44</v>
      </c>
      <c r="D1281" s="1114">
        <v>2</v>
      </c>
      <c r="E1281" s="1114">
        <v>0</v>
      </c>
      <c r="F1281" s="1114">
        <v>295</v>
      </c>
      <c r="G1281" s="1115">
        <f t="shared" si="137"/>
        <v>0</v>
      </c>
      <c r="H1281" s="1115">
        <f t="shared" si="138"/>
        <v>590</v>
      </c>
      <c r="I1281" s="1115">
        <f t="shared" si="139"/>
        <v>590</v>
      </c>
    </row>
    <row r="1282" spans="1:9" s="725" customFormat="1" ht="14.4" hidden="1" outlineLevel="2" x14ac:dyDescent="0.25">
      <c r="A1282" s="1110" t="s">
        <v>3226</v>
      </c>
      <c r="B1282" s="1111" t="s">
        <v>2071</v>
      </c>
      <c r="C1282" s="1112" t="s">
        <v>44</v>
      </c>
      <c r="D1282" s="1114">
        <v>1</v>
      </c>
      <c r="E1282" s="1114">
        <v>0</v>
      </c>
      <c r="F1282" s="1114">
        <v>148</v>
      </c>
      <c r="G1282" s="1115">
        <f t="shared" si="137"/>
        <v>0</v>
      </c>
      <c r="H1282" s="1115">
        <f t="shared" si="138"/>
        <v>148</v>
      </c>
      <c r="I1282" s="1115">
        <f t="shared" si="139"/>
        <v>148</v>
      </c>
    </row>
    <row r="1283" spans="1:9" s="725" customFormat="1" ht="14.4" hidden="1" outlineLevel="2" x14ac:dyDescent="0.25">
      <c r="A1283" s="1110" t="s">
        <v>3227</v>
      </c>
      <c r="B1283" s="1111" t="s">
        <v>1981</v>
      </c>
      <c r="C1283" s="1112" t="s">
        <v>44</v>
      </c>
      <c r="D1283" s="1114">
        <v>1</v>
      </c>
      <c r="E1283" s="1114">
        <v>0</v>
      </c>
      <c r="F1283" s="1114">
        <v>181</v>
      </c>
      <c r="G1283" s="1115">
        <f t="shared" si="137"/>
        <v>0</v>
      </c>
      <c r="H1283" s="1115">
        <f t="shared" si="138"/>
        <v>181</v>
      </c>
      <c r="I1283" s="1115">
        <f t="shared" si="139"/>
        <v>181</v>
      </c>
    </row>
    <row r="1284" spans="1:9" s="725" customFormat="1" ht="14.4" hidden="1" outlineLevel="2" x14ac:dyDescent="0.25">
      <c r="A1284" s="1110" t="s">
        <v>3228</v>
      </c>
      <c r="B1284" s="1111" t="s">
        <v>2074</v>
      </c>
      <c r="C1284" s="1112" t="s">
        <v>44</v>
      </c>
      <c r="D1284" s="1114">
        <v>7</v>
      </c>
      <c r="E1284" s="1114">
        <v>0</v>
      </c>
      <c r="F1284" s="1114">
        <v>315</v>
      </c>
      <c r="G1284" s="1115">
        <f t="shared" si="137"/>
        <v>0</v>
      </c>
      <c r="H1284" s="1115">
        <f t="shared" si="138"/>
        <v>2205</v>
      </c>
      <c r="I1284" s="1115">
        <f t="shared" si="139"/>
        <v>2205</v>
      </c>
    </row>
    <row r="1285" spans="1:9" s="725" customFormat="1" ht="14.4" hidden="1" outlineLevel="2" x14ac:dyDescent="0.25">
      <c r="A1285" s="1110" t="s">
        <v>3229</v>
      </c>
      <c r="B1285" s="1111" t="s">
        <v>2076</v>
      </c>
      <c r="C1285" s="1112" t="s">
        <v>44</v>
      </c>
      <c r="D1285" s="1114">
        <v>5</v>
      </c>
      <c r="E1285" s="1114">
        <v>0</v>
      </c>
      <c r="F1285" s="1114">
        <v>420</v>
      </c>
      <c r="G1285" s="1115">
        <f t="shared" si="137"/>
        <v>0</v>
      </c>
      <c r="H1285" s="1115">
        <f t="shared" si="138"/>
        <v>2100</v>
      </c>
      <c r="I1285" s="1115">
        <f t="shared" si="139"/>
        <v>2100</v>
      </c>
    </row>
    <row r="1286" spans="1:9" s="725" customFormat="1" ht="14.4" hidden="1" outlineLevel="2" x14ac:dyDescent="0.25">
      <c r="A1286" s="1110" t="s">
        <v>3230</v>
      </c>
      <c r="B1286" s="1111" t="s">
        <v>2078</v>
      </c>
      <c r="C1286" s="1112" t="s">
        <v>44</v>
      </c>
      <c r="D1286" s="1114">
        <v>6</v>
      </c>
      <c r="E1286" s="1114">
        <v>0</v>
      </c>
      <c r="F1286" s="1114">
        <v>591.46</v>
      </c>
      <c r="G1286" s="1115">
        <f t="shared" si="137"/>
        <v>0</v>
      </c>
      <c r="H1286" s="1115">
        <f t="shared" si="138"/>
        <v>3548.76</v>
      </c>
      <c r="I1286" s="1115">
        <f t="shared" si="139"/>
        <v>3548.76</v>
      </c>
    </row>
    <row r="1287" spans="1:9" s="725" customFormat="1" ht="14.4" hidden="1" outlineLevel="2" x14ac:dyDescent="0.25">
      <c r="A1287" s="1110" t="s">
        <v>3231</v>
      </c>
      <c r="B1287" s="1320" t="s">
        <v>2080</v>
      </c>
      <c r="C1287" s="1322" t="s">
        <v>96</v>
      </c>
      <c r="D1287" s="1322">
        <v>2688</v>
      </c>
      <c r="E1287" s="1114">
        <v>0</v>
      </c>
      <c r="F1287" s="1114">
        <v>15</v>
      </c>
      <c r="G1287" s="1115">
        <f t="shared" si="137"/>
        <v>0</v>
      </c>
      <c r="H1287" s="1115">
        <f t="shared" si="138"/>
        <v>40320</v>
      </c>
      <c r="I1287" s="1115">
        <f t="shared" si="139"/>
        <v>40320</v>
      </c>
    </row>
    <row r="1288" spans="1:9" s="725" customFormat="1" ht="14.4" hidden="1" outlineLevel="2" x14ac:dyDescent="0.25">
      <c r="A1288" s="1110" t="s">
        <v>3232</v>
      </c>
      <c r="B1288" s="1320" t="s">
        <v>2082</v>
      </c>
      <c r="C1288" s="1112" t="s">
        <v>96</v>
      </c>
      <c r="D1288" s="1112">
        <v>196</v>
      </c>
      <c r="E1288" s="1114">
        <v>0</v>
      </c>
      <c r="F1288" s="1114">
        <v>19</v>
      </c>
      <c r="G1288" s="1115">
        <f t="shared" si="137"/>
        <v>0</v>
      </c>
      <c r="H1288" s="1115">
        <f t="shared" si="138"/>
        <v>3724</v>
      </c>
      <c r="I1288" s="1115">
        <f t="shared" si="139"/>
        <v>3724</v>
      </c>
    </row>
    <row r="1289" spans="1:9" s="725" customFormat="1" ht="14.4" hidden="1" outlineLevel="2" x14ac:dyDescent="0.25">
      <c r="A1289" s="1110" t="s">
        <v>3233</v>
      </c>
      <c r="B1289" s="1320" t="s">
        <v>2084</v>
      </c>
      <c r="C1289" s="1112" t="s">
        <v>96</v>
      </c>
      <c r="D1289" s="1112">
        <v>148</v>
      </c>
      <c r="E1289" s="1114">
        <v>0</v>
      </c>
      <c r="F1289" s="1114">
        <v>30</v>
      </c>
      <c r="G1289" s="1115">
        <f t="shared" si="137"/>
        <v>0</v>
      </c>
      <c r="H1289" s="1115">
        <f t="shared" si="138"/>
        <v>4440</v>
      </c>
      <c r="I1289" s="1115">
        <f t="shared" si="139"/>
        <v>4440</v>
      </c>
    </row>
    <row r="1290" spans="1:9" s="725" customFormat="1" ht="14.4" hidden="1" outlineLevel="2" x14ac:dyDescent="0.25">
      <c r="A1290" s="1110" t="s">
        <v>3234</v>
      </c>
      <c r="B1290" s="1320" t="s">
        <v>2086</v>
      </c>
      <c r="C1290" s="1112" t="s">
        <v>96</v>
      </c>
      <c r="D1290" s="1112">
        <v>4</v>
      </c>
      <c r="E1290" s="1114">
        <v>0</v>
      </c>
      <c r="F1290" s="1114">
        <v>35</v>
      </c>
      <c r="G1290" s="1115">
        <f t="shared" si="137"/>
        <v>0</v>
      </c>
      <c r="H1290" s="1115">
        <f t="shared" si="138"/>
        <v>140</v>
      </c>
      <c r="I1290" s="1115">
        <f t="shared" si="139"/>
        <v>140</v>
      </c>
    </row>
    <row r="1291" spans="1:9" s="725" customFormat="1" ht="14.4" hidden="1" outlineLevel="2" x14ac:dyDescent="0.25">
      <c r="A1291" s="1110" t="s">
        <v>3235</v>
      </c>
      <c r="B1291" s="1320" t="s">
        <v>1980</v>
      </c>
      <c r="C1291" s="1112" t="s">
        <v>96</v>
      </c>
      <c r="D1291" s="1112">
        <v>8</v>
      </c>
      <c r="E1291" s="1114">
        <v>0</v>
      </c>
      <c r="F1291" s="1114">
        <v>42</v>
      </c>
      <c r="G1291" s="1115">
        <f t="shared" si="137"/>
        <v>0</v>
      </c>
      <c r="H1291" s="1115">
        <f t="shared" si="138"/>
        <v>336</v>
      </c>
      <c r="I1291" s="1115">
        <f t="shared" si="139"/>
        <v>336</v>
      </c>
    </row>
    <row r="1292" spans="1:9" s="725" customFormat="1" ht="28.8" hidden="1" outlineLevel="2" x14ac:dyDescent="0.25">
      <c r="A1292" s="1110" t="s">
        <v>3236</v>
      </c>
      <c r="B1292" s="1111" t="s">
        <v>2089</v>
      </c>
      <c r="C1292" s="1112" t="s">
        <v>44</v>
      </c>
      <c r="D1292" s="1112">
        <v>2</v>
      </c>
      <c r="E1292" s="1114">
        <v>0</v>
      </c>
      <c r="F1292" s="1114">
        <v>11880</v>
      </c>
      <c r="G1292" s="1115">
        <f t="shared" si="137"/>
        <v>0</v>
      </c>
      <c r="H1292" s="1115">
        <f t="shared" si="138"/>
        <v>23760</v>
      </c>
      <c r="I1292" s="1115">
        <f t="shared" si="139"/>
        <v>23760</v>
      </c>
    </row>
    <row r="1293" spans="1:9" s="725" customFormat="1" ht="14.4" hidden="1" outlineLevel="2" x14ac:dyDescent="0.25">
      <c r="A1293" s="1110" t="s">
        <v>3237</v>
      </c>
      <c r="B1293" s="1111" t="s">
        <v>2091</v>
      </c>
      <c r="C1293" s="1112" t="s">
        <v>44</v>
      </c>
      <c r="D1293" s="1112">
        <v>1</v>
      </c>
      <c r="E1293" s="1114">
        <v>0</v>
      </c>
      <c r="F1293" s="1114">
        <v>23</v>
      </c>
      <c r="G1293" s="1115">
        <f t="shared" si="137"/>
        <v>0</v>
      </c>
      <c r="H1293" s="1115">
        <f t="shared" si="138"/>
        <v>23</v>
      </c>
      <c r="I1293" s="1115">
        <f t="shared" si="139"/>
        <v>23</v>
      </c>
    </row>
    <row r="1294" spans="1:9" s="725" customFormat="1" ht="14.4" hidden="1" outlineLevel="2" x14ac:dyDescent="0.25">
      <c r="A1294" s="1110" t="s">
        <v>3238</v>
      </c>
      <c r="B1294" s="1327" t="s">
        <v>2093</v>
      </c>
      <c r="C1294" s="1112" t="s">
        <v>44</v>
      </c>
      <c r="D1294" s="1112">
        <v>320</v>
      </c>
      <c r="E1294" s="1114">
        <v>0</v>
      </c>
      <c r="F1294" s="1114">
        <v>128</v>
      </c>
      <c r="G1294" s="1115">
        <f t="shared" si="137"/>
        <v>0</v>
      </c>
      <c r="H1294" s="1115">
        <f t="shared" si="138"/>
        <v>40960</v>
      </c>
      <c r="I1294" s="1115">
        <f t="shared" si="139"/>
        <v>40960</v>
      </c>
    </row>
    <row r="1295" spans="1:9" s="725" customFormat="1" ht="14.4" hidden="1" outlineLevel="2" x14ac:dyDescent="0.25">
      <c r="A1295" s="1110" t="s">
        <v>3239</v>
      </c>
      <c r="B1295" s="1327" t="s">
        <v>2095</v>
      </c>
      <c r="C1295" s="1112" t="s">
        <v>44</v>
      </c>
      <c r="D1295" s="1112">
        <v>640</v>
      </c>
      <c r="E1295" s="1114">
        <v>0</v>
      </c>
      <c r="F1295" s="1114">
        <v>2.9</v>
      </c>
      <c r="G1295" s="1115">
        <f t="shared" si="137"/>
        <v>0</v>
      </c>
      <c r="H1295" s="1115">
        <f t="shared" si="138"/>
        <v>1856</v>
      </c>
      <c r="I1295" s="1115">
        <f t="shared" si="139"/>
        <v>1856</v>
      </c>
    </row>
    <row r="1296" spans="1:9" s="725" customFormat="1" ht="14.4" hidden="1" outlineLevel="2" x14ac:dyDescent="0.25">
      <c r="A1296" s="1110" t="s">
        <v>3240</v>
      </c>
      <c r="B1296" s="1327" t="s">
        <v>1888</v>
      </c>
      <c r="C1296" s="1112" t="s">
        <v>44</v>
      </c>
      <c r="D1296" s="1112">
        <v>320</v>
      </c>
      <c r="E1296" s="1114">
        <v>0</v>
      </c>
      <c r="F1296" s="1114">
        <v>60.23</v>
      </c>
      <c r="G1296" s="1115">
        <f t="shared" si="137"/>
        <v>0</v>
      </c>
      <c r="H1296" s="1115">
        <f t="shared" si="138"/>
        <v>19273.599999999999</v>
      </c>
      <c r="I1296" s="1115">
        <f t="shared" si="139"/>
        <v>19273.599999999999</v>
      </c>
    </row>
    <row r="1297" spans="1:9" s="725" customFormat="1" ht="14.4" hidden="1" outlineLevel="2" x14ac:dyDescent="0.25">
      <c r="A1297" s="1110" t="s">
        <v>3241</v>
      </c>
      <c r="B1297" s="1327" t="s">
        <v>2098</v>
      </c>
      <c r="C1297" s="1112" t="s">
        <v>44</v>
      </c>
      <c r="D1297" s="1112">
        <v>10</v>
      </c>
      <c r="E1297" s="1114">
        <v>0</v>
      </c>
      <c r="F1297" s="1114">
        <v>506</v>
      </c>
      <c r="G1297" s="1115">
        <f t="shared" si="137"/>
        <v>0</v>
      </c>
      <c r="H1297" s="1115">
        <f t="shared" si="138"/>
        <v>5060</v>
      </c>
      <c r="I1297" s="1115">
        <f t="shared" si="139"/>
        <v>5060</v>
      </c>
    </row>
    <row r="1298" spans="1:9" s="725" customFormat="1" ht="14.4" hidden="1" outlineLevel="2" x14ac:dyDescent="0.25">
      <c r="A1298" s="1110" t="s">
        <v>3242</v>
      </c>
      <c r="B1298" s="1120" t="s">
        <v>1319</v>
      </c>
      <c r="C1298" s="1121" t="s">
        <v>79</v>
      </c>
      <c r="D1298" s="1121">
        <v>150</v>
      </c>
      <c r="E1298" s="1114">
        <v>0</v>
      </c>
      <c r="F1298" s="1114">
        <v>113.4</v>
      </c>
      <c r="G1298" s="1115">
        <f t="shared" si="137"/>
        <v>0</v>
      </c>
      <c r="H1298" s="1115">
        <f t="shared" si="138"/>
        <v>17010</v>
      </c>
      <c r="I1298" s="1115">
        <f t="shared" si="139"/>
        <v>17010</v>
      </c>
    </row>
    <row r="1299" spans="1:9" s="725" customFormat="1" ht="14.4" hidden="1" outlineLevel="2" x14ac:dyDescent="0.25">
      <c r="A1299" s="1110" t="s">
        <v>3243</v>
      </c>
      <c r="B1299" s="1120" t="s">
        <v>1321</v>
      </c>
      <c r="C1299" s="1121" t="s">
        <v>79</v>
      </c>
      <c r="D1299" s="1121">
        <v>3</v>
      </c>
      <c r="E1299" s="1114">
        <v>0</v>
      </c>
      <c r="F1299" s="1114">
        <v>660</v>
      </c>
      <c r="G1299" s="1115">
        <f t="shared" si="137"/>
        <v>0</v>
      </c>
      <c r="H1299" s="1115">
        <f t="shared" si="138"/>
        <v>1980</v>
      </c>
      <c r="I1299" s="1115">
        <f t="shared" si="139"/>
        <v>1980</v>
      </c>
    </row>
    <row r="1300" spans="1:9" s="725" customFormat="1" ht="14.4" hidden="1" outlineLevel="1" collapsed="1" x14ac:dyDescent="0.25">
      <c r="A1300" s="1110" t="s">
        <v>3244</v>
      </c>
      <c r="B1300" s="1111" t="s">
        <v>2101</v>
      </c>
      <c r="C1300" s="1112" t="s">
        <v>43</v>
      </c>
      <c r="D1300" s="1112">
        <f>SUM(D1301:D1302)</f>
        <v>20</v>
      </c>
      <c r="E1300" s="1114"/>
      <c r="F1300" s="1114"/>
      <c r="G1300" s="1117">
        <f>SUM(G1301:G1302)</f>
        <v>3500</v>
      </c>
      <c r="H1300" s="1117">
        <f>SUM(H1301:H1302)</f>
        <v>990</v>
      </c>
      <c r="I1300" s="1115">
        <f>SUM(G1300:H1300)</f>
        <v>4490</v>
      </c>
    </row>
    <row r="1301" spans="1:9" s="725" customFormat="1" ht="14.4" hidden="1" outlineLevel="2" x14ac:dyDescent="0.25">
      <c r="A1301" s="1110" t="s">
        <v>3245</v>
      </c>
      <c r="B1301" s="1321" t="s">
        <v>2102</v>
      </c>
      <c r="C1301" s="1112" t="s">
        <v>43</v>
      </c>
      <c r="D1301" s="1112">
        <v>10</v>
      </c>
      <c r="E1301" s="1105">
        <v>200</v>
      </c>
      <c r="F1301" s="1105">
        <v>70</v>
      </c>
      <c r="G1301" s="1115">
        <f>PRODUCT(E1301,D1301)</f>
        <v>2000</v>
      </c>
      <c r="H1301" s="1115">
        <f t="shared" ref="H1301:H1302" si="140">PRODUCT(F1301,D1301)</f>
        <v>700</v>
      </c>
      <c r="I1301" s="1115">
        <f>SUM(G1301:H1301)</f>
        <v>2700</v>
      </c>
    </row>
    <row r="1302" spans="1:9" s="725" customFormat="1" ht="14.4" hidden="1" outlineLevel="2" x14ac:dyDescent="0.25">
      <c r="A1302" s="1110" t="s">
        <v>3246</v>
      </c>
      <c r="B1302" s="1321" t="s">
        <v>2103</v>
      </c>
      <c r="C1302" s="1112" t="s">
        <v>43</v>
      </c>
      <c r="D1302" s="1112">
        <v>10</v>
      </c>
      <c r="E1302" s="1105">
        <v>150</v>
      </c>
      <c r="F1302" s="1105">
        <v>29</v>
      </c>
      <c r="G1302" s="1115">
        <f t="shared" ref="G1302" si="141">PRODUCT(E1302,D1302)</f>
        <v>1500</v>
      </c>
      <c r="H1302" s="1115">
        <f t="shared" si="140"/>
        <v>290</v>
      </c>
      <c r="I1302" s="1115">
        <f t="shared" ref="I1302:I1303" si="142">SUM(G1302:H1302)</f>
        <v>1790</v>
      </c>
    </row>
    <row r="1303" spans="1:9" s="755" customFormat="1" ht="14.4" hidden="1" outlineLevel="1" collapsed="1" x14ac:dyDescent="0.25">
      <c r="A1303" s="1110" t="s">
        <v>3247</v>
      </c>
      <c r="B1303" s="1118" t="s">
        <v>1322</v>
      </c>
      <c r="C1303" s="1112"/>
      <c r="D1303" s="1112"/>
      <c r="E1303" s="1114"/>
      <c r="F1303" s="1114"/>
      <c r="G1303" s="1115">
        <f>G1304+G1310+G1316</f>
        <v>83400</v>
      </c>
      <c r="H1303" s="1115">
        <f>H1304+H1310+H1316</f>
        <v>83665.702711864404</v>
      </c>
      <c r="I1303" s="1115">
        <f t="shared" si="142"/>
        <v>167065.7027118644</v>
      </c>
    </row>
    <row r="1304" spans="1:9" s="725" customFormat="1" ht="14.4" hidden="1" outlineLevel="2" x14ac:dyDescent="0.25">
      <c r="A1304" s="1110" t="s">
        <v>3248</v>
      </c>
      <c r="B1304" s="1118" t="s">
        <v>2104</v>
      </c>
      <c r="C1304" s="1328" t="s">
        <v>44</v>
      </c>
      <c r="D1304" s="1328">
        <v>200</v>
      </c>
      <c r="E1304" s="1105">
        <v>0</v>
      </c>
      <c r="F1304" s="1105">
        <v>0</v>
      </c>
      <c r="G1304" s="1102">
        <v>0</v>
      </c>
      <c r="H1304" s="1102">
        <f>SUM(H1305:H1309)</f>
        <v>41224.16271186441</v>
      </c>
      <c r="I1304" s="1102">
        <f t="shared" ref="I1304:I1317" si="143">G1304+H1304</f>
        <v>41224.16271186441</v>
      </c>
    </row>
    <row r="1305" spans="1:9" s="725" customFormat="1" ht="14.4" hidden="1" outlineLevel="2" collapsed="1" x14ac:dyDescent="0.25">
      <c r="A1305" s="1110" t="s">
        <v>3249</v>
      </c>
      <c r="B1305" s="1111" t="s">
        <v>1309</v>
      </c>
      <c r="C1305" s="1112" t="s">
        <v>44</v>
      </c>
      <c r="D1305" s="1112">
        <v>400</v>
      </c>
      <c r="E1305" s="1114">
        <v>0</v>
      </c>
      <c r="F1305" s="1114">
        <v>14</v>
      </c>
      <c r="G1305" s="1115">
        <f>PRODUCT(E1305,D1305)</f>
        <v>0</v>
      </c>
      <c r="H1305" s="1115">
        <f>PRODUCT(F1305,D1305)</f>
        <v>5600</v>
      </c>
      <c r="I1305" s="1115">
        <f>SUM(G1305:H1305)</f>
        <v>5600</v>
      </c>
    </row>
    <row r="1306" spans="1:9" s="725" customFormat="1" ht="14.4" hidden="1" outlineLevel="3" x14ac:dyDescent="0.25">
      <c r="A1306" s="1110" t="s">
        <v>3250</v>
      </c>
      <c r="B1306" s="1104" t="s">
        <v>1335</v>
      </c>
      <c r="C1306" s="1026" t="s">
        <v>96</v>
      </c>
      <c r="D1306" s="305">
        <v>400</v>
      </c>
      <c r="E1306" s="1105">
        <v>0</v>
      </c>
      <c r="F1306" s="305">
        <v>51.864406779661017</v>
      </c>
      <c r="G1306" s="1102">
        <f t="shared" ref="G1306:G1338" si="144">D1306*E1306</f>
        <v>0</v>
      </c>
      <c r="H1306" s="1102">
        <f t="shared" ref="H1306:H1315" si="145">D1306*F1306</f>
        <v>20745.762711864409</v>
      </c>
      <c r="I1306" s="1102">
        <f t="shared" si="143"/>
        <v>20745.762711864409</v>
      </c>
    </row>
    <row r="1307" spans="1:9" s="725" customFormat="1" ht="14.4" hidden="1" outlineLevel="3" x14ac:dyDescent="0.25">
      <c r="A1307" s="1110" t="s">
        <v>3251</v>
      </c>
      <c r="B1307" s="1101" t="s">
        <v>681</v>
      </c>
      <c r="C1307" s="1026" t="s">
        <v>1110</v>
      </c>
      <c r="D1307" s="1277">
        <v>0.23200000000000001</v>
      </c>
      <c r="E1307" s="1105">
        <v>0</v>
      </c>
      <c r="F1307" s="1105">
        <v>40200</v>
      </c>
      <c r="G1307" s="1102">
        <f t="shared" si="144"/>
        <v>0</v>
      </c>
      <c r="H1307" s="1102">
        <f t="shared" si="145"/>
        <v>9326.4</v>
      </c>
      <c r="I1307" s="1102">
        <f t="shared" si="143"/>
        <v>9326.4</v>
      </c>
    </row>
    <row r="1308" spans="1:9" s="725" customFormat="1" ht="14.4" hidden="1" outlineLevel="3" x14ac:dyDescent="0.25">
      <c r="A1308" s="1110" t="s">
        <v>3252</v>
      </c>
      <c r="B1308" s="1101" t="s">
        <v>1338</v>
      </c>
      <c r="C1308" s="1026" t="s">
        <v>96</v>
      </c>
      <c r="D1308" s="1277">
        <v>800</v>
      </c>
      <c r="E1308" s="1105">
        <v>0</v>
      </c>
      <c r="F1308" s="1105">
        <v>5.62</v>
      </c>
      <c r="G1308" s="1102">
        <f t="shared" si="144"/>
        <v>0</v>
      </c>
      <c r="H1308" s="1102">
        <f t="shared" si="145"/>
        <v>4496</v>
      </c>
      <c r="I1308" s="1102">
        <f t="shared" si="143"/>
        <v>4496</v>
      </c>
    </row>
    <row r="1309" spans="1:9" s="725" customFormat="1" ht="14.4" hidden="1" outlineLevel="3" x14ac:dyDescent="0.25">
      <c r="A1309" s="1110" t="s">
        <v>3253</v>
      </c>
      <c r="B1309" s="1278" t="s">
        <v>1340</v>
      </c>
      <c r="C1309" s="1279" t="s">
        <v>96</v>
      </c>
      <c r="D1309" s="1279">
        <v>800</v>
      </c>
      <c r="E1309" s="1105">
        <v>0</v>
      </c>
      <c r="F1309" s="1280">
        <v>1.32</v>
      </c>
      <c r="G1309" s="1102">
        <f t="shared" si="144"/>
        <v>0</v>
      </c>
      <c r="H1309" s="1102">
        <f t="shared" si="145"/>
        <v>1056</v>
      </c>
      <c r="I1309" s="1102">
        <f t="shared" si="143"/>
        <v>1056</v>
      </c>
    </row>
    <row r="1310" spans="1:9" s="755" customFormat="1" ht="28.8" hidden="1" outlineLevel="2" collapsed="1" x14ac:dyDescent="0.25">
      <c r="A1310" s="1110" t="s">
        <v>3254</v>
      </c>
      <c r="B1310" s="1104" t="s">
        <v>2111</v>
      </c>
      <c r="C1310" s="1119" t="s">
        <v>44</v>
      </c>
      <c r="D1310" s="1119">
        <v>65</v>
      </c>
      <c r="E1310" s="1105">
        <v>400</v>
      </c>
      <c r="F1310" s="1105">
        <v>0</v>
      </c>
      <c r="G1310" s="1102">
        <f t="shared" si="144"/>
        <v>26000</v>
      </c>
      <c r="H1310" s="1102">
        <f>SUM(H1311:H1315)</f>
        <v>25226.500000000004</v>
      </c>
      <c r="I1310" s="1102">
        <f t="shared" si="143"/>
        <v>51226.5</v>
      </c>
    </row>
    <row r="1311" spans="1:9" s="725" customFormat="1" ht="14.4" hidden="1" outlineLevel="3" x14ac:dyDescent="0.25">
      <c r="A1311" s="1110" t="s">
        <v>3255</v>
      </c>
      <c r="B1311" s="1104" t="s">
        <v>1343</v>
      </c>
      <c r="C1311" s="1026" t="s">
        <v>281</v>
      </c>
      <c r="D1311" s="1119">
        <v>9</v>
      </c>
      <c r="E1311" s="1105">
        <v>0</v>
      </c>
      <c r="F1311" s="1105">
        <v>195.9</v>
      </c>
      <c r="G1311" s="1102">
        <f t="shared" si="144"/>
        <v>0</v>
      </c>
      <c r="H1311" s="1102">
        <f t="shared" si="145"/>
        <v>1763.1000000000001</v>
      </c>
      <c r="I1311" s="1102">
        <f t="shared" si="143"/>
        <v>1763.1000000000001</v>
      </c>
    </row>
    <row r="1312" spans="1:9" s="725" customFormat="1" ht="14.4" hidden="1" outlineLevel="3" x14ac:dyDescent="0.25">
      <c r="A1312" s="1110" t="s">
        <v>3256</v>
      </c>
      <c r="B1312" s="1104" t="s">
        <v>1345</v>
      </c>
      <c r="C1312" s="1026" t="s">
        <v>281</v>
      </c>
      <c r="D1312" s="1119">
        <v>4</v>
      </c>
      <c r="E1312" s="1105">
        <v>0</v>
      </c>
      <c r="F1312" s="1105">
        <v>265.5</v>
      </c>
      <c r="G1312" s="1102">
        <f t="shared" si="144"/>
        <v>0</v>
      </c>
      <c r="H1312" s="1102">
        <f t="shared" si="145"/>
        <v>1062</v>
      </c>
      <c r="I1312" s="1102">
        <f t="shared" si="143"/>
        <v>1062</v>
      </c>
    </row>
    <row r="1313" spans="1:9" s="725" customFormat="1" ht="14.4" hidden="1" outlineLevel="3" x14ac:dyDescent="0.25">
      <c r="A1313" s="1110" t="s">
        <v>3257</v>
      </c>
      <c r="B1313" s="1104" t="s">
        <v>1347</v>
      </c>
      <c r="C1313" s="1026" t="s">
        <v>1110</v>
      </c>
      <c r="D1313" s="1119">
        <v>0.28000000000000003</v>
      </c>
      <c r="E1313" s="1105">
        <v>0</v>
      </c>
      <c r="F1313" s="1105">
        <v>46000</v>
      </c>
      <c r="G1313" s="1102">
        <f t="shared" si="144"/>
        <v>0</v>
      </c>
      <c r="H1313" s="1102">
        <f t="shared" si="145"/>
        <v>12880.000000000002</v>
      </c>
      <c r="I1313" s="1102">
        <f t="shared" si="143"/>
        <v>12880.000000000002</v>
      </c>
    </row>
    <row r="1314" spans="1:9" s="725" customFormat="1" ht="14.4" hidden="1" outlineLevel="3" x14ac:dyDescent="0.25">
      <c r="A1314" s="1110" t="s">
        <v>3258</v>
      </c>
      <c r="B1314" s="1104" t="s">
        <v>1349</v>
      </c>
      <c r="C1314" s="1026" t="s">
        <v>1110</v>
      </c>
      <c r="D1314" s="1119">
        <v>0.12</v>
      </c>
      <c r="E1314" s="1105">
        <v>0</v>
      </c>
      <c r="F1314" s="1105">
        <v>46000</v>
      </c>
      <c r="G1314" s="1102">
        <f t="shared" si="144"/>
        <v>0</v>
      </c>
      <c r="H1314" s="1102">
        <f t="shared" si="145"/>
        <v>5520</v>
      </c>
      <c r="I1314" s="1102">
        <f t="shared" si="143"/>
        <v>5520</v>
      </c>
    </row>
    <row r="1315" spans="1:9" s="725" customFormat="1" ht="14.4" hidden="1" outlineLevel="3" x14ac:dyDescent="0.25">
      <c r="A1315" s="1110" t="s">
        <v>3259</v>
      </c>
      <c r="B1315" s="1104" t="s">
        <v>1351</v>
      </c>
      <c r="C1315" s="1026" t="s">
        <v>96</v>
      </c>
      <c r="D1315" s="1119">
        <v>260</v>
      </c>
      <c r="E1315" s="1105">
        <v>0</v>
      </c>
      <c r="F1315" s="1105">
        <v>15.39</v>
      </c>
      <c r="G1315" s="1102">
        <f t="shared" si="144"/>
        <v>0</v>
      </c>
      <c r="H1315" s="1102">
        <f t="shared" si="145"/>
        <v>4001.4</v>
      </c>
      <c r="I1315" s="1102">
        <f t="shared" si="143"/>
        <v>4001.4</v>
      </c>
    </row>
    <row r="1316" spans="1:9" s="755" customFormat="1" ht="14.4" hidden="1" outlineLevel="2" collapsed="1" x14ac:dyDescent="0.25">
      <c r="A1316" s="1110" t="s">
        <v>3260</v>
      </c>
      <c r="B1316" s="1104" t="s">
        <v>2118</v>
      </c>
      <c r="C1316" s="1026" t="s">
        <v>96</v>
      </c>
      <c r="D1316" s="1119">
        <v>164</v>
      </c>
      <c r="E1316" s="1105">
        <v>350</v>
      </c>
      <c r="F1316" s="1105"/>
      <c r="G1316" s="1102">
        <f t="shared" si="144"/>
        <v>57400</v>
      </c>
      <c r="H1316" s="1102">
        <f>SUM(H1317:H1318)</f>
        <v>17215.039999999997</v>
      </c>
      <c r="I1316" s="1102">
        <f t="shared" si="143"/>
        <v>74615.039999999994</v>
      </c>
    </row>
    <row r="1317" spans="1:9" s="725" customFormat="1" ht="28.8" hidden="1" outlineLevel="3" x14ac:dyDescent="0.25">
      <c r="A1317" s="1110" t="s">
        <v>3261</v>
      </c>
      <c r="B1317" s="1329" t="s">
        <v>1332</v>
      </c>
      <c r="C1317" s="1026" t="s">
        <v>1110</v>
      </c>
      <c r="D1317" s="1119">
        <v>0.33263999999999999</v>
      </c>
      <c r="E1317" s="1105">
        <v>0</v>
      </c>
      <c r="F1317" s="1105">
        <v>46000</v>
      </c>
      <c r="G1317" s="1102">
        <f t="shared" si="144"/>
        <v>0</v>
      </c>
      <c r="H1317" s="1102">
        <f t="shared" ref="H1317" si="146">D1317*F1317</f>
        <v>15301.439999999999</v>
      </c>
      <c r="I1317" s="1102">
        <f t="shared" si="143"/>
        <v>15301.439999999999</v>
      </c>
    </row>
    <row r="1318" spans="1:9" s="725" customFormat="1" ht="28.8" hidden="1" outlineLevel="3" x14ac:dyDescent="0.25">
      <c r="A1318" s="1110" t="s">
        <v>3262</v>
      </c>
      <c r="B1318" s="1330" t="s">
        <v>1327</v>
      </c>
      <c r="C1318" s="1026" t="s">
        <v>1110</v>
      </c>
      <c r="D1318" s="1099">
        <v>4.1599999999999998E-2</v>
      </c>
      <c r="E1318" s="1100">
        <v>0</v>
      </c>
      <c r="F1318" s="1331">
        <v>46000</v>
      </c>
      <c r="G1318" s="1096">
        <f t="shared" ref="G1318" si="147">PRODUCT(E1318,D1318)</f>
        <v>0</v>
      </c>
      <c r="H1318" s="1096">
        <f t="shared" ref="H1318" si="148">PRODUCT(F1318,D1318)</f>
        <v>1913.6</v>
      </c>
      <c r="I1318" s="1096">
        <f t="shared" ref="I1318" si="149">SUM(G1318:H1318)</f>
        <v>1913.6</v>
      </c>
    </row>
    <row r="1319" spans="1:9" s="725" customFormat="1" ht="14.4" hidden="1" outlineLevel="1" collapsed="1" x14ac:dyDescent="0.25">
      <c r="A1319" s="1110" t="s">
        <v>3263</v>
      </c>
      <c r="B1319" s="1111" t="s">
        <v>2121</v>
      </c>
      <c r="C1319" s="1112" t="s">
        <v>43</v>
      </c>
      <c r="D1319" s="1112">
        <f>SUM(D1320:D1336)</f>
        <v>4656.4000000000005</v>
      </c>
      <c r="E1319" s="1114">
        <v>30</v>
      </c>
      <c r="F1319" s="1114"/>
      <c r="G1319" s="1115">
        <f>PRODUCT(D1319:E1319)</f>
        <v>139692.00000000003</v>
      </c>
      <c r="H1319" s="1115">
        <f>SUM(H1320:H1338)</f>
        <v>311550.984</v>
      </c>
      <c r="I1319" s="1115">
        <f>SUM(G1319:H1319)</f>
        <v>451242.98400000005</v>
      </c>
    </row>
    <row r="1320" spans="1:9" s="725" customFormat="1" ht="14.4" hidden="1" outlineLevel="2" x14ac:dyDescent="0.25">
      <c r="A1320" s="1110" t="s">
        <v>3264</v>
      </c>
      <c r="B1320" s="1111" t="s">
        <v>2122</v>
      </c>
      <c r="C1320" s="1112" t="s">
        <v>43</v>
      </c>
      <c r="D1320" s="1112">
        <v>104.8</v>
      </c>
      <c r="E1320" s="1114">
        <v>0</v>
      </c>
      <c r="F1320" s="1114">
        <v>30</v>
      </c>
      <c r="G1320" s="1102">
        <f t="shared" si="144"/>
        <v>0</v>
      </c>
      <c r="H1320" s="1115">
        <f t="shared" ref="H1320:H1341" si="150">PRODUCT(F1320,D1320)</f>
        <v>3144</v>
      </c>
      <c r="I1320" s="1115">
        <f t="shared" ref="I1320:I1343" si="151">SUM(G1320:H1320)</f>
        <v>3144</v>
      </c>
    </row>
    <row r="1321" spans="1:9" s="725" customFormat="1" ht="14.4" hidden="1" outlineLevel="2" x14ac:dyDescent="0.25">
      <c r="A1321" s="1110" t="s">
        <v>3265</v>
      </c>
      <c r="B1321" s="1111" t="s">
        <v>2123</v>
      </c>
      <c r="C1321" s="1112" t="s">
        <v>43</v>
      </c>
      <c r="D1321" s="1112">
        <v>39.9</v>
      </c>
      <c r="E1321" s="1114">
        <v>0</v>
      </c>
      <c r="F1321" s="1105">
        <v>69.23</v>
      </c>
      <c r="G1321" s="1102">
        <f t="shared" si="144"/>
        <v>0</v>
      </c>
      <c r="H1321" s="1115">
        <f t="shared" si="150"/>
        <v>2762.277</v>
      </c>
      <c r="I1321" s="1115">
        <f t="shared" si="151"/>
        <v>2762.277</v>
      </c>
    </row>
    <row r="1322" spans="1:9" s="725" customFormat="1" ht="14.4" hidden="1" outlineLevel="2" x14ac:dyDescent="0.25">
      <c r="A1322" s="1110" t="s">
        <v>3266</v>
      </c>
      <c r="B1322" s="1111" t="s">
        <v>2124</v>
      </c>
      <c r="C1322" s="1112" t="s">
        <v>43</v>
      </c>
      <c r="D1322" s="1112">
        <v>157.80000000000001</v>
      </c>
      <c r="E1322" s="1114">
        <v>0</v>
      </c>
      <c r="F1322" s="1105">
        <v>77.349999999999994</v>
      </c>
      <c r="G1322" s="1102">
        <f t="shared" si="144"/>
        <v>0</v>
      </c>
      <c r="H1322" s="1115">
        <f t="shared" si="150"/>
        <v>12205.83</v>
      </c>
      <c r="I1322" s="1115">
        <f t="shared" si="151"/>
        <v>12205.83</v>
      </c>
    </row>
    <row r="1323" spans="1:9" s="725" customFormat="1" ht="14.4" hidden="1" outlineLevel="2" x14ac:dyDescent="0.25">
      <c r="A1323" s="1110" t="s">
        <v>3267</v>
      </c>
      <c r="B1323" s="1111" t="s">
        <v>2125</v>
      </c>
      <c r="C1323" s="1112" t="s">
        <v>43</v>
      </c>
      <c r="D1323" s="1112">
        <v>286.89999999999998</v>
      </c>
      <c r="E1323" s="1114">
        <v>0</v>
      </c>
      <c r="F1323" s="1105">
        <v>86.45</v>
      </c>
      <c r="G1323" s="1102">
        <f t="shared" si="144"/>
        <v>0</v>
      </c>
      <c r="H1323" s="1115">
        <f t="shared" si="150"/>
        <v>24802.504999999997</v>
      </c>
      <c r="I1323" s="1115">
        <f t="shared" si="151"/>
        <v>24802.504999999997</v>
      </c>
    </row>
    <row r="1324" spans="1:9" s="725" customFormat="1" ht="14.4" hidden="1" outlineLevel="2" x14ac:dyDescent="0.25">
      <c r="A1324" s="1110" t="s">
        <v>3268</v>
      </c>
      <c r="B1324" s="1111" t="s">
        <v>2126</v>
      </c>
      <c r="C1324" s="1112" t="s">
        <v>43</v>
      </c>
      <c r="D1324" s="1112">
        <v>108.4</v>
      </c>
      <c r="E1324" s="1114">
        <v>0</v>
      </c>
      <c r="F1324" s="1105">
        <v>91.65</v>
      </c>
      <c r="G1324" s="1102">
        <f t="shared" si="144"/>
        <v>0</v>
      </c>
      <c r="H1324" s="1115">
        <f t="shared" si="150"/>
        <v>9934.86</v>
      </c>
      <c r="I1324" s="1115">
        <f t="shared" si="151"/>
        <v>9934.86</v>
      </c>
    </row>
    <row r="1325" spans="1:9" s="725" customFormat="1" ht="14.4" hidden="1" outlineLevel="2" x14ac:dyDescent="0.25">
      <c r="A1325" s="1110" t="s">
        <v>3269</v>
      </c>
      <c r="B1325" s="1111" t="s">
        <v>2128</v>
      </c>
      <c r="C1325" s="1112" t="s">
        <v>43</v>
      </c>
      <c r="D1325" s="1112">
        <v>36.9</v>
      </c>
      <c r="E1325" s="1114">
        <v>0</v>
      </c>
      <c r="F1325" s="1105">
        <v>109.76</v>
      </c>
      <c r="G1325" s="1102">
        <f t="shared" si="144"/>
        <v>0</v>
      </c>
      <c r="H1325" s="1115">
        <f t="shared" si="150"/>
        <v>4050.1440000000002</v>
      </c>
      <c r="I1325" s="1115">
        <f t="shared" si="151"/>
        <v>4050.1440000000002</v>
      </c>
    </row>
    <row r="1326" spans="1:9" s="725" customFormat="1" ht="14.4" hidden="1" outlineLevel="2" x14ac:dyDescent="0.25">
      <c r="A1326" s="1110" t="s">
        <v>3270</v>
      </c>
      <c r="B1326" s="1111" t="s">
        <v>2130</v>
      </c>
      <c r="C1326" s="1112" t="s">
        <v>43</v>
      </c>
      <c r="D1326" s="1112">
        <v>209.9</v>
      </c>
      <c r="E1326" s="1114">
        <v>0</v>
      </c>
      <c r="F1326" s="1105">
        <v>97.5</v>
      </c>
      <c r="G1326" s="1102">
        <f t="shared" si="144"/>
        <v>0</v>
      </c>
      <c r="H1326" s="1115">
        <f t="shared" si="150"/>
        <v>20465.25</v>
      </c>
      <c r="I1326" s="1115">
        <f t="shared" si="151"/>
        <v>20465.25</v>
      </c>
    </row>
    <row r="1327" spans="1:9" s="725" customFormat="1" ht="14.4" hidden="1" outlineLevel="2" x14ac:dyDescent="0.25">
      <c r="A1327" s="1110" t="s">
        <v>3271</v>
      </c>
      <c r="B1327" s="1111" t="s">
        <v>2132</v>
      </c>
      <c r="C1327" s="1112" t="s">
        <v>43</v>
      </c>
      <c r="D1327" s="1112">
        <v>51.4</v>
      </c>
      <c r="E1327" s="1114">
        <v>0</v>
      </c>
      <c r="F1327" s="1105">
        <v>111.15</v>
      </c>
      <c r="G1327" s="1102">
        <f t="shared" si="144"/>
        <v>0</v>
      </c>
      <c r="H1327" s="1115">
        <f t="shared" si="150"/>
        <v>5713.1100000000006</v>
      </c>
      <c r="I1327" s="1115">
        <f t="shared" si="151"/>
        <v>5713.1100000000006</v>
      </c>
    </row>
    <row r="1328" spans="1:9" s="725" customFormat="1" ht="14.4" hidden="1" outlineLevel="2" x14ac:dyDescent="0.25">
      <c r="A1328" s="1110" t="s">
        <v>3272</v>
      </c>
      <c r="B1328" s="1111" t="s">
        <v>2134</v>
      </c>
      <c r="C1328" s="1112" t="s">
        <v>43</v>
      </c>
      <c r="D1328" s="1112">
        <v>78.7</v>
      </c>
      <c r="E1328" s="1114">
        <v>0</v>
      </c>
      <c r="F1328" s="1105">
        <v>128.69999999999999</v>
      </c>
      <c r="G1328" s="1102">
        <f t="shared" si="144"/>
        <v>0</v>
      </c>
      <c r="H1328" s="1115">
        <f t="shared" si="150"/>
        <v>10128.689999999999</v>
      </c>
      <c r="I1328" s="1115">
        <f t="shared" si="151"/>
        <v>10128.689999999999</v>
      </c>
    </row>
    <row r="1329" spans="1:9" s="725" customFormat="1" ht="14.4" hidden="1" outlineLevel="2" x14ac:dyDescent="0.25">
      <c r="A1329" s="1110" t="s">
        <v>3273</v>
      </c>
      <c r="B1329" s="1111" t="s">
        <v>2136</v>
      </c>
      <c r="C1329" s="1112" t="s">
        <v>43</v>
      </c>
      <c r="D1329" s="1112">
        <v>46.7</v>
      </c>
      <c r="E1329" s="1114">
        <v>0</v>
      </c>
      <c r="F1329" s="1105">
        <v>172.9</v>
      </c>
      <c r="G1329" s="1102">
        <f t="shared" si="144"/>
        <v>0</v>
      </c>
      <c r="H1329" s="1115">
        <f t="shared" si="150"/>
        <v>8074.4300000000012</v>
      </c>
      <c r="I1329" s="1115">
        <f t="shared" si="151"/>
        <v>8074.4300000000012</v>
      </c>
    </row>
    <row r="1330" spans="1:9" s="725" customFormat="1" ht="14.4" hidden="1" outlineLevel="2" x14ac:dyDescent="0.25">
      <c r="A1330" s="1110" t="s">
        <v>3274</v>
      </c>
      <c r="B1330" s="1111" t="s">
        <v>2138</v>
      </c>
      <c r="C1330" s="1112" t="s">
        <v>43</v>
      </c>
      <c r="D1330" s="1112">
        <v>12.9</v>
      </c>
      <c r="E1330" s="1114">
        <v>0</v>
      </c>
      <c r="F1330" s="1105">
        <v>16.899999999999999</v>
      </c>
      <c r="G1330" s="1102">
        <f t="shared" si="144"/>
        <v>0</v>
      </c>
      <c r="H1330" s="1115">
        <f t="shared" si="150"/>
        <v>218.01</v>
      </c>
      <c r="I1330" s="1115">
        <f t="shared" si="151"/>
        <v>218.01</v>
      </c>
    </row>
    <row r="1331" spans="1:9" s="725" customFormat="1" ht="14.4" hidden="1" outlineLevel="2" x14ac:dyDescent="0.25">
      <c r="A1331" s="1110" t="s">
        <v>3275</v>
      </c>
      <c r="B1331" s="1111" t="s">
        <v>2140</v>
      </c>
      <c r="C1331" s="1112" t="s">
        <v>43</v>
      </c>
      <c r="D1331" s="1112">
        <v>1028.3</v>
      </c>
      <c r="E1331" s="1114">
        <v>0</v>
      </c>
      <c r="F1331" s="1105">
        <v>31.5</v>
      </c>
      <c r="G1331" s="1102">
        <f t="shared" si="144"/>
        <v>0</v>
      </c>
      <c r="H1331" s="1115">
        <f t="shared" si="150"/>
        <v>32391.449999999997</v>
      </c>
      <c r="I1331" s="1115">
        <f t="shared" si="151"/>
        <v>32391.449999999997</v>
      </c>
    </row>
    <row r="1332" spans="1:9" s="725" customFormat="1" ht="14.4" hidden="1" outlineLevel="2" x14ac:dyDescent="0.25">
      <c r="A1332" s="1110" t="s">
        <v>3276</v>
      </c>
      <c r="B1332" s="1111" t="s">
        <v>2142</v>
      </c>
      <c r="C1332" s="1112" t="s">
        <v>43</v>
      </c>
      <c r="D1332" s="1112">
        <v>1178.2</v>
      </c>
      <c r="E1332" s="1114">
        <v>0</v>
      </c>
      <c r="F1332" s="1105">
        <v>26.04</v>
      </c>
      <c r="G1332" s="1102">
        <f t="shared" si="144"/>
        <v>0</v>
      </c>
      <c r="H1332" s="1115">
        <f t="shared" si="150"/>
        <v>30680.328000000001</v>
      </c>
      <c r="I1332" s="1115">
        <f t="shared" si="151"/>
        <v>30680.328000000001</v>
      </c>
    </row>
    <row r="1333" spans="1:9" s="725" customFormat="1" ht="14.4" hidden="1" outlineLevel="2" x14ac:dyDescent="0.25">
      <c r="A1333" s="1110" t="s">
        <v>3277</v>
      </c>
      <c r="B1333" s="1111" t="s">
        <v>2144</v>
      </c>
      <c r="C1333" s="1112" t="s">
        <v>43</v>
      </c>
      <c r="D1333" s="1112">
        <v>189</v>
      </c>
      <c r="E1333" s="1114">
        <v>0</v>
      </c>
      <c r="F1333" s="1105">
        <v>58.38</v>
      </c>
      <c r="G1333" s="1102">
        <f t="shared" si="144"/>
        <v>0</v>
      </c>
      <c r="H1333" s="1115">
        <f t="shared" si="150"/>
        <v>11033.82</v>
      </c>
      <c r="I1333" s="1115">
        <f t="shared" si="151"/>
        <v>11033.82</v>
      </c>
    </row>
    <row r="1334" spans="1:9" s="725" customFormat="1" ht="14.4" hidden="1" outlineLevel="2" x14ac:dyDescent="0.25">
      <c r="A1334" s="1110" t="s">
        <v>3278</v>
      </c>
      <c r="B1334" s="1111" t="s">
        <v>2146</v>
      </c>
      <c r="C1334" s="1112" t="s">
        <v>43</v>
      </c>
      <c r="D1334" s="1112">
        <v>9.8000000000000007</v>
      </c>
      <c r="E1334" s="1114">
        <v>0</v>
      </c>
      <c r="F1334" s="1105">
        <v>11.03</v>
      </c>
      <c r="G1334" s="1102">
        <f t="shared" si="144"/>
        <v>0</v>
      </c>
      <c r="H1334" s="1115">
        <f t="shared" si="150"/>
        <v>108.09400000000001</v>
      </c>
      <c r="I1334" s="1115">
        <f t="shared" si="151"/>
        <v>108.09400000000001</v>
      </c>
    </row>
    <row r="1335" spans="1:9" s="725" customFormat="1" ht="14.4" hidden="1" outlineLevel="2" x14ac:dyDescent="0.25">
      <c r="A1335" s="1110" t="s">
        <v>3279</v>
      </c>
      <c r="B1335" s="1111" t="s">
        <v>2148</v>
      </c>
      <c r="C1335" s="1112" t="s">
        <v>43</v>
      </c>
      <c r="D1335" s="1112">
        <v>1020.6</v>
      </c>
      <c r="E1335" s="1114">
        <v>0</v>
      </c>
      <c r="F1335" s="1105">
        <v>23.09</v>
      </c>
      <c r="G1335" s="1102">
        <f t="shared" si="144"/>
        <v>0</v>
      </c>
      <c r="H1335" s="1115">
        <f t="shared" si="150"/>
        <v>23565.653999999999</v>
      </c>
      <c r="I1335" s="1115">
        <f t="shared" si="151"/>
        <v>23565.653999999999</v>
      </c>
    </row>
    <row r="1336" spans="1:9" s="725" customFormat="1" ht="14.4" hidden="1" outlineLevel="2" x14ac:dyDescent="0.25">
      <c r="A1336" s="1110" t="s">
        <v>3280</v>
      </c>
      <c r="B1336" s="1111" t="s">
        <v>2150</v>
      </c>
      <c r="C1336" s="1112" t="s">
        <v>43</v>
      </c>
      <c r="D1336" s="1112">
        <v>96.2</v>
      </c>
      <c r="E1336" s="1114">
        <v>0</v>
      </c>
      <c r="F1336" s="1105">
        <v>70.86</v>
      </c>
      <c r="G1336" s="1102">
        <f t="shared" si="144"/>
        <v>0</v>
      </c>
      <c r="H1336" s="1115">
        <f t="shared" si="150"/>
        <v>6816.732</v>
      </c>
      <c r="I1336" s="1115">
        <f t="shared" si="151"/>
        <v>6816.732</v>
      </c>
    </row>
    <row r="1337" spans="1:9" s="725" customFormat="1" ht="14.4" hidden="1" outlineLevel="2" x14ac:dyDescent="0.25">
      <c r="A1337" s="1110" t="s">
        <v>3281</v>
      </c>
      <c r="B1337" s="1111" t="s">
        <v>2152</v>
      </c>
      <c r="C1337" s="1112" t="s">
        <v>96</v>
      </c>
      <c r="D1337" s="1112">
        <v>6</v>
      </c>
      <c r="E1337" s="1114">
        <v>0</v>
      </c>
      <c r="F1337" s="1105">
        <v>2268</v>
      </c>
      <c r="G1337" s="1102">
        <f t="shared" si="144"/>
        <v>0</v>
      </c>
      <c r="H1337" s="1115">
        <f t="shared" si="150"/>
        <v>13608</v>
      </c>
      <c r="I1337" s="1115">
        <f t="shared" si="151"/>
        <v>13608</v>
      </c>
    </row>
    <row r="1338" spans="1:9" s="725" customFormat="1" ht="14.4" hidden="1" outlineLevel="2" x14ac:dyDescent="0.25">
      <c r="A1338" s="1110" t="s">
        <v>3282</v>
      </c>
      <c r="B1338" s="1321" t="s">
        <v>2154</v>
      </c>
      <c r="C1338" s="1112" t="s">
        <v>96</v>
      </c>
      <c r="D1338" s="1112">
        <v>220</v>
      </c>
      <c r="E1338" s="1114">
        <v>0</v>
      </c>
      <c r="F1338" s="1105">
        <v>417.49</v>
      </c>
      <c r="G1338" s="1102">
        <f t="shared" si="144"/>
        <v>0</v>
      </c>
      <c r="H1338" s="1115">
        <f t="shared" si="150"/>
        <v>91847.8</v>
      </c>
      <c r="I1338" s="1115">
        <f t="shared" si="151"/>
        <v>91847.8</v>
      </c>
    </row>
    <row r="1339" spans="1:9" s="725" customFormat="1" ht="14.4" hidden="1" outlineLevel="1" collapsed="1" x14ac:dyDescent="0.25">
      <c r="A1339" s="1110" t="s">
        <v>3283</v>
      </c>
      <c r="B1339" s="1111" t="s">
        <v>2155</v>
      </c>
      <c r="C1339" s="1112" t="s">
        <v>74</v>
      </c>
      <c r="D1339" s="1112">
        <v>401.58</v>
      </c>
      <c r="E1339" s="1114">
        <v>40</v>
      </c>
      <c r="F1339" s="1114"/>
      <c r="G1339" s="1115">
        <f>PRODUCT(D1339:E1339)</f>
        <v>16063.199999999999</v>
      </c>
      <c r="H1339" s="1115">
        <f>SUM(H1340:H1341)</f>
        <v>18911.334599999998</v>
      </c>
      <c r="I1339" s="1115">
        <f>SUM(G1339:H1339)</f>
        <v>34974.534599999999</v>
      </c>
    </row>
    <row r="1340" spans="1:9" s="725" customFormat="1" ht="14.4" hidden="1" outlineLevel="2" x14ac:dyDescent="0.25">
      <c r="A1340" s="1110" t="s">
        <v>3284</v>
      </c>
      <c r="B1340" s="1104" t="s">
        <v>1391</v>
      </c>
      <c r="C1340" s="1119" t="s">
        <v>74</v>
      </c>
      <c r="D1340" s="1119">
        <v>401.58</v>
      </c>
      <c r="E1340" s="1114">
        <v>0</v>
      </c>
      <c r="F1340" s="1105">
        <v>44.5</v>
      </c>
      <c r="G1340" s="1115">
        <f>PRODUCT(D1340:E1340)</f>
        <v>0</v>
      </c>
      <c r="H1340" s="1115">
        <f t="shared" si="150"/>
        <v>17870.309999999998</v>
      </c>
      <c r="I1340" s="1115">
        <f t="shared" si="151"/>
        <v>17870.309999999998</v>
      </c>
    </row>
    <row r="1341" spans="1:9" s="725" customFormat="1" ht="14.4" hidden="1" outlineLevel="2" x14ac:dyDescent="0.25">
      <c r="A1341" s="1110" t="s">
        <v>3285</v>
      </c>
      <c r="B1341" s="1104" t="s">
        <v>2156</v>
      </c>
      <c r="C1341" s="1026" t="s">
        <v>1110</v>
      </c>
      <c r="D1341" s="1109">
        <v>1.848E-2</v>
      </c>
      <c r="E1341" s="1114">
        <v>0</v>
      </c>
      <c r="F1341" s="1105">
        <v>56332.5</v>
      </c>
      <c r="G1341" s="1115">
        <v>0</v>
      </c>
      <c r="H1341" s="1115">
        <f t="shared" si="150"/>
        <v>1041.0246</v>
      </c>
      <c r="I1341" s="1115">
        <f t="shared" si="151"/>
        <v>1041.0246</v>
      </c>
    </row>
    <row r="1342" spans="1:9" s="725" customFormat="1" ht="14.4" hidden="1" outlineLevel="1" collapsed="1" x14ac:dyDescent="0.25">
      <c r="A1342" s="1110" t="s">
        <v>3286</v>
      </c>
      <c r="B1342" s="1120" t="s">
        <v>1611</v>
      </c>
      <c r="C1342" s="1121" t="s">
        <v>96</v>
      </c>
      <c r="D1342" s="1121">
        <v>1205</v>
      </c>
      <c r="E1342" s="1114">
        <v>70</v>
      </c>
      <c r="F1342" s="1114"/>
      <c r="G1342" s="1115">
        <f>PRODUCT(E1342,D1342)</f>
        <v>84350</v>
      </c>
      <c r="H1342" s="1122">
        <f>SUM(H1343)</f>
        <v>75000</v>
      </c>
      <c r="I1342" s="1115">
        <f>SUM(G1342:H1342)</f>
        <v>159350</v>
      </c>
    </row>
    <row r="1343" spans="1:9" s="725" customFormat="1" ht="14.4" hidden="1" outlineLevel="2" x14ac:dyDescent="0.25">
      <c r="A1343" s="1110" t="s">
        <v>3287</v>
      </c>
      <c r="B1343" s="1101" t="s">
        <v>1621</v>
      </c>
      <c r="C1343" s="1125" t="s">
        <v>96</v>
      </c>
      <c r="D1343" s="1125">
        <v>40</v>
      </c>
      <c r="E1343" s="1126">
        <v>0</v>
      </c>
      <c r="F1343" s="1105">
        <v>1875</v>
      </c>
      <c r="G1343" s="1115">
        <v>0</v>
      </c>
      <c r="H1343" s="1115">
        <f>PRODUCT(F1343,D1343)</f>
        <v>75000</v>
      </c>
      <c r="I1343" s="1115">
        <f t="shared" si="151"/>
        <v>75000</v>
      </c>
    </row>
    <row r="1344" spans="1:9" s="725" customFormat="1" ht="14.4" hidden="1" outlineLevel="1" collapsed="1" x14ac:dyDescent="0.25">
      <c r="A1344" s="1110" t="s">
        <v>3288</v>
      </c>
      <c r="B1344" s="1120" t="s">
        <v>1622</v>
      </c>
      <c r="C1344" s="1121" t="s">
        <v>96</v>
      </c>
      <c r="D1344" s="1121">
        <f>SUM(D1345,)</f>
        <v>1203</v>
      </c>
      <c r="E1344" s="1114"/>
      <c r="F1344" s="1114"/>
      <c r="G1344" s="1115">
        <f>SUM(G1345:G1346)</f>
        <v>180450</v>
      </c>
      <c r="H1344" s="1115">
        <f>SUM(H1345:H1346)</f>
        <v>109464</v>
      </c>
      <c r="I1344" s="1115">
        <f>SUM(G1344:H1344)</f>
        <v>289914</v>
      </c>
    </row>
    <row r="1345" spans="1:9" s="725" customFormat="1" ht="14.4" hidden="1" outlineLevel="2" x14ac:dyDescent="0.25">
      <c r="A1345" s="1110" t="s">
        <v>3289</v>
      </c>
      <c r="B1345" s="1101" t="s">
        <v>1624</v>
      </c>
      <c r="C1345" s="1121" t="s">
        <v>96</v>
      </c>
      <c r="D1345" s="1121">
        <v>1203</v>
      </c>
      <c r="E1345" s="1114">
        <v>150</v>
      </c>
      <c r="F1345" s="1114">
        <v>0</v>
      </c>
      <c r="G1345" s="1115">
        <f t="shared" ref="G1345" si="152">PRODUCT(E1345,D1345)</f>
        <v>180450</v>
      </c>
      <c r="H1345" s="1115">
        <f t="shared" ref="H1345:H1346" si="153">PRODUCT(F1345,D1345)</f>
        <v>0</v>
      </c>
      <c r="I1345" s="1115">
        <f>SUM(G1345:H1345)</f>
        <v>180450</v>
      </c>
    </row>
    <row r="1346" spans="1:9" s="725" customFormat="1" ht="14.4" hidden="1" outlineLevel="2" x14ac:dyDescent="0.25">
      <c r="A1346" s="1110" t="s">
        <v>3290</v>
      </c>
      <c r="B1346" s="1101" t="s">
        <v>2157</v>
      </c>
      <c r="C1346" s="1121" t="s">
        <v>96</v>
      </c>
      <c r="D1346" s="1121">
        <v>24</v>
      </c>
      <c r="E1346" s="1114">
        <v>0</v>
      </c>
      <c r="F1346" s="1105">
        <v>4561</v>
      </c>
      <c r="G1346" s="1115">
        <v>0</v>
      </c>
      <c r="H1346" s="1115">
        <f t="shared" si="153"/>
        <v>109464</v>
      </c>
      <c r="I1346" s="1115">
        <f t="shared" ref="I1346" si="154">SUM(G1346:H1346)</f>
        <v>109464</v>
      </c>
    </row>
    <row r="1347" spans="1:9" s="725" customFormat="1" ht="14.4" hidden="1" outlineLevel="1" collapsed="1" x14ac:dyDescent="0.25">
      <c r="A1347" s="1110" t="s">
        <v>3291</v>
      </c>
      <c r="B1347" s="1120" t="s">
        <v>1352</v>
      </c>
      <c r="C1347" s="1121" t="s">
        <v>96</v>
      </c>
      <c r="D1347" s="1114">
        <f>SUM(D1348,D1349,D1350)</f>
        <v>120</v>
      </c>
      <c r="E1347" s="1114">
        <v>400</v>
      </c>
      <c r="F1347" s="1114"/>
      <c r="G1347" s="1115">
        <f>PRODUCT(D1347:E1347)+G1351</f>
        <v>168000</v>
      </c>
      <c r="H1347" s="1115">
        <f>SUM(H1348:H1351)</f>
        <v>195146.87999999998</v>
      </c>
      <c r="I1347" s="1115">
        <f>SUM(G1347:H1347)</f>
        <v>363146.88</v>
      </c>
    </row>
    <row r="1348" spans="1:9" s="725" customFormat="1" ht="14.4" hidden="1" outlineLevel="2" x14ac:dyDescent="0.25">
      <c r="A1348" s="1110" t="s">
        <v>3292</v>
      </c>
      <c r="B1348" s="1332" t="s">
        <v>2158</v>
      </c>
      <c r="C1348" s="1114" t="s">
        <v>96</v>
      </c>
      <c r="D1348" s="1114">
        <v>56</v>
      </c>
      <c r="E1348" s="1114">
        <v>0</v>
      </c>
      <c r="F1348" s="1105">
        <v>1331.76</v>
      </c>
      <c r="G1348" s="1115">
        <v>0</v>
      </c>
      <c r="H1348" s="1115">
        <f t="shared" ref="H1348:H1350" si="155">PRODUCT(F1348,D1348)</f>
        <v>74578.559999999998</v>
      </c>
      <c r="I1348" s="1115">
        <f>SUM(G1348:H1348)</f>
        <v>74578.559999999998</v>
      </c>
    </row>
    <row r="1349" spans="1:9" s="725" customFormat="1" ht="14.4" hidden="1" outlineLevel="2" x14ac:dyDescent="0.25">
      <c r="A1349" s="1110" t="s">
        <v>3293</v>
      </c>
      <c r="B1349" s="1332" t="s">
        <v>2159</v>
      </c>
      <c r="C1349" s="1114" t="s">
        <v>96</v>
      </c>
      <c r="D1349" s="1114">
        <v>56</v>
      </c>
      <c r="E1349" s="1114">
        <v>0</v>
      </c>
      <c r="F1349" s="1105">
        <v>1681.32</v>
      </c>
      <c r="G1349" s="1115">
        <v>0</v>
      </c>
      <c r="H1349" s="1115">
        <f t="shared" si="155"/>
        <v>94153.919999999998</v>
      </c>
      <c r="I1349" s="1115">
        <f t="shared" ref="I1349:I1350" si="156">SUM(G1349:H1349)</f>
        <v>94153.919999999998</v>
      </c>
    </row>
    <row r="1350" spans="1:9" s="725" customFormat="1" ht="14.4" hidden="1" outlineLevel="2" x14ac:dyDescent="0.25">
      <c r="A1350" s="1110" t="s">
        <v>3294</v>
      </c>
      <c r="B1350" s="1332" t="s">
        <v>2160</v>
      </c>
      <c r="C1350" s="1114" t="s">
        <v>96</v>
      </c>
      <c r="D1350" s="1114">
        <v>8</v>
      </c>
      <c r="E1350" s="1114">
        <v>0</v>
      </c>
      <c r="F1350" s="1105">
        <v>3301.8</v>
      </c>
      <c r="G1350" s="1115">
        <v>0</v>
      </c>
      <c r="H1350" s="1115">
        <f t="shared" si="155"/>
        <v>26414.400000000001</v>
      </c>
      <c r="I1350" s="1115">
        <f t="shared" si="156"/>
        <v>26414.400000000001</v>
      </c>
    </row>
    <row r="1351" spans="1:9" s="725" customFormat="1" ht="14.4" hidden="1" outlineLevel="2" x14ac:dyDescent="0.25">
      <c r="A1351" s="1110" t="s">
        <v>3295</v>
      </c>
      <c r="B1351" s="1101" t="s">
        <v>2161</v>
      </c>
      <c r="C1351" s="1333" t="s">
        <v>96</v>
      </c>
      <c r="D1351" s="1333">
        <v>480</v>
      </c>
      <c r="E1351" s="1334">
        <v>250</v>
      </c>
      <c r="F1351" s="1334">
        <v>0</v>
      </c>
      <c r="G1351" s="1335">
        <f t="shared" ref="G1351" si="157">D1351*E1351</f>
        <v>120000</v>
      </c>
      <c r="H1351" s="1335">
        <f>D1351*F1351</f>
        <v>0</v>
      </c>
      <c r="I1351" s="1335">
        <f>G1351+H1351</f>
        <v>120000</v>
      </c>
    </row>
    <row r="1352" spans="1:9" s="725" customFormat="1" ht="14.4" hidden="1" outlineLevel="1" collapsed="1" x14ac:dyDescent="0.25">
      <c r="A1352" s="1110" t="s">
        <v>3296</v>
      </c>
      <c r="B1352" s="1120" t="s">
        <v>1546</v>
      </c>
      <c r="C1352" s="1121" t="s">
        <v>96</v>
      </c>
      <c r="D1352" s="1121"/>
      <c r="E1352" s="1114"/>
      <c r="F1352" s="1114"/>
      <c r="G1352" s="1115">
        <f>SUM(G1353:G1380)</f>
        <v>309850</v>
      </c>
      <c r="H1352" s="1115">
        <f>SUM(H1353:H1380)</f>
        <v>1206618.3900000001</v>
      </c>
      <c r="I1352" s="1115">
        <f>SUM(G1352:H1352)</f>
        <v>1516468.3900000001</v>
      </c>
    </row>
    <row r="1353" spans="1:9" s="725" customFormat="1" ht="13.5" hidden="1" customHeight="1" outlineLevel="3" x14ac:dyDescent="0.25">
      <c r="A1353" s="1110" t="s">
        <v>3297</v>
      </c>
      <c r="B1353" s="1321" t="s">
        <v>2162</v>
      </c>
      <c r="C1353" s="1322" t="s">
        <v>96</v>
      </c>
      <c r="D1353" s="1322">
        <v>655</v>
      </c>
      <c r="E1353" s="1114">
        <v>200</v>
      </c>
      <c r="F1353" s="1105">
        <v>137.11000000000001</v>
      </c>
      <c r="G1353" s="1115">
        <f t="shared" ref="G1353:G1369" si="158">PRODUCT(E1353,D1353)</f>
        <v>131000</v>
      </c>
      <c r="H1353" s="1115">
        <f t="shared" ref="H1353:H1369" si="159">PRODUCT(F1353,D1353)</f>
        <v>89807.05</v>
      </c>
      <c r="I1353" s="1115">
        <f t="shared" ref="I1353:I1369" si="160">SUM(G1353:H1353)</f>
        <v>220807.05</v>
      </c>
    </row>
    <row r="1354" spans="1:9" s="725" customFormat="1" ht="14.4" hidden="1" outlineLevel="3" x14ac:dyDescent="0.25">
      <c r="A1354" s="1110" t="s">
        <v>3298</v>
      </c>
      <c r="B1354" s="1321" t="s">
        <v>2163</v>
      </c>
      <c r="C1354" s="1322" t="s">
        <v>96</v>
      </c>
      <c r="D1354" s="1322">
        <v>40</v>
      </c>
      <c r="E1354" s="1114">
        <v>0</v>
      </c>
      <c r="F1354" s="1100">
        <v>122</v>
      </c>
      <c r="G1354" s="1115">
        <f t="shared" si="158"/>
        <v>0</v>
      </c>
      <c r="H1354" s="1115">
        <f t="shared" si="159"/>
        <v>4880</v>
      </c>
      <c r="I1354" s="1115">
        <f t="shared" si="160"/>
        <v>4880</v>
      </c>
    </row>
    <row r="1355" spans="1:9" s="725" customFormat="1" ht="28.8" hidden="1" outlineLevel="3" x14ac:dyDescent="0.25">
      <c r="A1355" s="1110" t="s">
        <v>3299</v>
      </c>
      <c r="B1355" s="1336" t="s">
        <v>2164</v>
      </c>
      <c r="C1355" s="1322" t="s">
        <v>96</v>
      </c>
      <c r="D1355" s="1322">
        <v>42</v>
      </c>
      <c r="E1355" s="1114">
        <v>200</v>
      </c>
      <c r="F1355" s="1114">
        <v>205.43</v>
      </c>
      <c r="G1355" s="1115">
        <f t="shared" si="158"/>
        <v>8400</v>
      </c>
      <c r="H1355" s="1115">
        <f t="shared" si="159"/>
        <v>8628.06</v>
      </c>
      <c r="I1355" s="1115">
        <f t="shared" si="160"/>
        <v>17028.059999999998</v>
      </c>
    </row>
    <row r="1356" spans="1:9" s="725" customFormat="1" ht="14.4" hidden="1" outlineLevel="3" x14ac:dyDescent="0.25">
      <c r="A1356" s="1110" t="s">
        <v>3300</v>
      </c>
      <c r="B1356" s="1321" t="s">
        <v>2165</v>
      </c>
      <c r="C1356" s="1322" t="s">
        <v>96</v>
      </c>
      <c r="D1356" s="1322">
        <v>42</v>
      </c>
      <c r="E1356" s="1114">
        <v>0</v>
      </c>
      <c r="F1356" s="1114">
        <v>139</v>
      </c>
      <c r="G1356" s="1115">
        <f t="shared" si="158"/>
        <v>0</v>
      </c>
      <c r="H1356" s="1115">
        <f t="shared" si="159"/>
        <v>5838</v>
      </c>
      <c r="I1356" s="1115">
        <f t="shared" si="160"/>
        <v>5838</v>
      </c>
    </row>
    <row r="1357" spans="1:9" s="725" customFormat="1" ht="14.4" hidden="1" outlineLevel="3" x14ac:dyDescent="0.25">
      <c r="A1357" s="1110" t="s">
        <v>3301</v>
      </c>
      <c r="B1357" s="1321" t="s">
        <v>2167</v>
      </c>
      <c r="C1357" s="1322" t="s">
        <v>96</v>
      </c>
      <c r="D1357" s="1322">
        <v>68</v>
      </c>
      <c r="E1357" s="1114">
        <v>200</v>
      </c>
      <c r="F1357" s="1105">
        <v>388.96</v>
      </c>
      <c r="G1357" s="1115">
        <f t="shared" si="158"/>
        <v>13600</v>
      </c>
      <c r="H1357" s="1115">
        <f t="shared" si="159"/>
        <v>26449.279999999999</v>
      </c>
      <c r="I1357" s="1115">
        <f t="shared" si="160"/>
        <v>40049.279999999999</v>
      </c>
    </row>
    <row r="1358" spans="1:9" s="725" customFormat="1" ht="14.4" hidden="1" outlineLevel="3" x14ac:dyDescent="0.25">
      <c r="A1358" s="1110" t="s">
        <v>3302</v>
      </c>
      <c r="B1358" s="1321" t="s">
        <v>2169</v>
      </c>
      <c r="C1358" s="1322" t="s">
        <v>96</v>
      </c>
      <c r="D1358" s="1322">
        <v>68</v>
      </c>
      <c r="E1358" s="1114">
        <v>0</v>
      </c>
      <c r="F1358" s="1105">
        <v>171</v>
      </c>
      <c r="G1358" s="1115">
        <f t="shared" si="158"/>
        <v>0</v>
      </c>
      <c r="H1358" s="1115">
        <f t="shared" si="159"/>
        <v>11628</v>
      </c>
      <c r="I1358" s="1115">
        <f t="shared" si="160"/>
        <v>11628</v>
      </c>
    </row>
    <row r="1359" spans="1:9" s="725" customFormat="1" ht="14.4" hidden="1" outlineLevel="3" x14ac:dyDescent="0.25">
      <c r="A1359" s="1110" t="s">
        <v>3303</v>
      </c>
      <c r="B1359" s="1327" t="s">
        <v>2171</v>
      </c>
      <c r="C1359" s="1322" t="s">
        <v>96</v>
      </c>
      <c r="D1359" s="1322">
        <v>4</v>
      </c>
      <c r="E1359" s="1114">
        <v>200</v>
      </c>
      <c r="F1359" s="1114">
        <v>2481</v>
      </c>
      <c r="G1359" s="1115">
        <f t="shared" si="158"/>
        <v>800</v>
      </c>
      <c r="H1359" s="1115">
        <f t="shared" si="159"/>
        <v>9924</v>
      </c>
      <c r="I1359" s="1115">
        <f t="shared" si="160"/>
        <v>10724</v>
      </c>
    </row>
    <row r="1360" spans="1:9" s="725" customFormat="1" ht="14.4" hidden="1" outlineLevel="3" x14ac:dyDescent="0.25">
      <c r="A1360" s="1110" t="s">
        <v>3304</v>
      </c>
      <c r="B1360" s="1337" t="s">
        <v>2173</v>
      </c>
      <c r="C1360" s="1322" t="s">
        <v>96</v>
      </c>
      <c r="D1360" s="1322">
        <v>8</v>
      </c>
      <c r="E1360" s="1114">
        <v>0</v>
      </c>
      <c r="F1360" s="1114">
        <v>310.81</v>
      </c>
      <c r="G1360" s="1115">
        <f t="shared" si="158"/>
        <v>0</v>
      </c>
      <c r="H1360" s="1115">
        <f t="shared" si="159"/>
        <v>2486.48</v>
      </c>
      <c r="I1360" s="1115">
        <f t="shared" si="160"/>
        <v>2486.48</v>
      </c>
    </row>
    <row r="1361" spans="1:9" s="725" customFormat="1" ht="14.4" hidden="1" outlineLevel="3" x14ac:dyDescent="0.25">
      <c r="A1361" s="1110" t="s">
        <v>3305</v>
      </c>
      <c r="B1361" s="1327" t="s">
        <v>2175</v>
      </c>
      <c r="C1361" s="1112" t="s">
        <v>96</v>
      </c>
      <c r="D1361" s="1322">
        <v>8</v>
      </c>
      <c r="E1361" s="1114">
        <v>0</v>
      </c>
      <c r="F1361" s="1114">
        <v>10</v>
      </c>
      <c r="G1361" s="1115">
        <f t="shared" si="158"/>
        <v>0</v>
      </c>
      <c r="H1361" s="1115">
        <f t="shared" si="159"/>
        <v>80</v>
      </c>
      <c r="I1361" s="1115">
        <f t="shared" si="160"/>
        <v>80</v>
      </c>
    </row>
    <row r="1362" spans="1:9" s="725" customFormat="1" ht="28.8" hidden="1" outlineLevel="3" x14ac:dyDescent="0.25">
      <c r="A1362" s="1110" t="s">
        <v>3306</v>
      </c>
      <c r="B1362" s="1338" t="s">
        <v>2177</v>
      </c>
      <c r="C1362" s="1112" t="s">
        <v>96</v>
      </c>
      <c r="D1362" s="1112">
        <v>364</v>
      </c>
      <c r="E1362" s="1105">
        <v>200</v>
      </c>
      <c r="F1362" s="1105">
        <v>593</v>
      </c>
      <c r="G1362" s="1115">
        <f t="shared" si="158"/>
        <v>72800</v>
      </c>
      <c r="H1362" s="1115">
        <f t="shared" si="159"/>
        <v>215852</v>
      </c>
      <c r="I1362" s="1115">
        <f t="shared" si="160"/>
        <v>288652</v>
      </c>
    </row>
    <row r="1363" spans="1:9" s="725" customFormat="1" ht="14.4" hidden="1" outlineLevel="3" x14ac:dyDescent="0.25">
      <c r="A1363" s="1110" t="s">
        <v>3307</v>
      </c>
      <c r="B1363" s="1338" t="s">
        <v>2179</v>
      </c>
      <c r="C1363" s="1112" t="s">
        <v>96</v>
      </c>
      <c r="D1363" s="1112">
        <v>300</v>
      </c>
      <c r="E1363" s="1105">
        <v>200</v>
      </c>
      <c r="F1363" s="1105">
        <v>1344</v>
      </c>
      <c r="G1363" s="1115">
        <f t="shared" si="158"/>
        <v>60000</v>
      </c>
      <c r="H1363" s="1115">
        <f t="shared" si="159"/>
        <v>403200</v>
      </c>
      <c r="I1363" s="1115">
        <f t="shared" si="160"/>
        <v>463200</v>
      </c>
    </row>
    <row r="1364" spans="1:9" s="725" customFormat="1" ht="14.4" hidden="1" outlineLevel="3" x14ac:dyDescent="0.25">
      <c r="A1364" s="1110" t="s">
        <v>3308</v>
      </c>
      <c r="B1364" s="1321" t="s">
        <v>2163</v>
      </c>
      <c r="C1364" s="1322" t="s">
        <v>96</v>
      </c>
      <c r="D1364" s="1322">
        <v>3</v>
      </c>
      <c r="E1364" s="1114">
        <v>0</v>
      </c>
      <c r="F1364" s="1100">
        <v>122</v>
      </c>
      <c r="G1364" s="1115">
        <f t="shared" si="158"/>
        <v>0</v>
      </c>
      <c r="H1364" s="1115">
        <f t="shared" si="159"/>
        <v>366</v>
      </c>
      <c r="I1364" s="1115">
        <f t="shared" si="160"/>
        <v>366</v>
      </c>
    </row>
    <row r="1365" spans="1:9" s="725" customFormat="1" ht="14.4" hidden="1" outlineLevel="3" x14ac:dyDescent="0.25">
      <c r="A1365" s="1110" t="s">
        <v>3309</v>
      </c>
      <c r="B1365" s="1338" t="s">
        <v>2182</v>
      </c>
      <c r="C1365" s="1112" t="s">
        <v>96</v>
      </c>
      <c r="D1365" s="1112">
        <v>28</v>
      </c>
      <c r="E1365" s="1105">
        <v>200</v>
      </c>
      <c r="F1365" s="1105">
        <v>7881.4</v>
      </c>
      <c r="G1365" s="1115">
        <f t="shared" si="158"/>
        <v>5600</v>
      </c>
      <c r="H1365" s="1115">
        <f t="shared" si="159"/>
        <v>220679.19999999998</v>
      </c>
      <c r="I1365" s="1115">
        <f t="shared" si="160"/>
        <v>226279.19999999998</v>
      </c>
    </row>
    <row r="1366" spans="1:9" s="725" customFormat="1" ht="14.4" hidden="1" outlineLevel="3" x14ac:dyDescent="0.25">
      <c r="A1366" s="1110" t="s">
        <v>3310</v>
      </c>
      <c r="B1366" s="1111" t="s">
        <v>2184</v>
      </c>
      <c r="C1366" s="1112" t="s">
        <v>96</v>
      </c>
      <c r="D1366" s="1112">
        <v>28</v>
      </c>
      <c r="E1366" s="1105">
        <v>150</v>
      </c>
      <c r="F1366" s="1105">
        <v>203</v>
      </c>
      <c r="G1366" s="1115">
        <f t="shared" si="158"/>
        <v>4200</v>
      </c>
      <c r="H1366" s="1115">
        <f t="shared" si="159"/>
        <v>5684</v>
      </c>
      <c r="I1366" s="1115">
        <f t="shared" si="160"/>
        <v>9884</v>
      </c>
    </row>
    <row r="1367" spans="1:9" s="725" customFormat="1" ht="14.4" hidden="1" outlineLevel="3" x14ac:dyDescent="0.25">
      <c r="A1367" s="1110" t="s">
        <v>3311</v>
      </c>
      <c r="B1367" s="1327" t="s">
        <v>2186</v>
      </c>
      <c r="C1367" s="1322" t="s">
        <v>96</v>
      </c>
      <c r="D1367" s="1322">
        <v>19</v>
      </c>
      <c r="E1367" s="1114">
        <v>150</v>
      </c>
      <c r="F1367" s="1105">
        <v>410</v>
      </c>
      <c r="G1367" s="1115">
        <f t="shared" si="158"/>
        <v>2850</v>
      </c>
      <c r="H1367" s="1115">
        <f t="shared" si="159"/>
        <v>7790</v>
      </c>
      <c r="I1367" s="1115">
        <f t="shared" si="160"/>
        <v>10640</v>
      </c>
    </row>
    <row r="1368" spans="1:9" s="725" customFormat="1" ht="14.4" hidden="1" outlineLevel="3" x14ac:dyDescent="0.25">
      <c r="A1368" s="1110" t="s">
        <v>3312</v>
      </c>
      <c r="B1368" s="1327" t="s">
        <v>2188</v>
      </c>
      <c r="C1368" s="1322" t="s">
        <v>96</v>
      </c>
      <c r="D1368" s="1322">
        <v>19</v>
      </c>
      <c r="E1368" s="1114">
        <v>200</v>
      </c>
      <c r="F1368" s="1114">
        <v>66.959999999999994</v>
      </c>
      <c r="G1368" s="1115">
        <f t="shared" si="158"/>
        <v>3800</v>
      </c>
      <c r="H1368" s="1115">
        <f t="shared" si="159"/>
        <v>1272.2399999999998</v>
      </c>
      <c r="I1368" s="1115">
        <f t="shared" si="160"/>
        <v>5072.24</v>
      </c>
    </row>
    <row r="1369" spans="1:9" s="725" customFormat="1" ht="14.4" hidden="1" outlineLevel="3" x14ac:dyDescent="0.25">
      <c r="A1369" s="1110" t="s">
        <v>3313</v>
      </c>
      <c r="B1369" s="1321" t="s">
        <v>2190</v>
      </c>
      <c r="C1369" s="1322" t="s">
        <v>96</v>
      </c>
      <c r="D1369" s="1112">
        <v>19</v>
      </c>
      <c r="E1369" s="1114">
        <v>0</v>
      </c>
      <c r="F1369" s="1100">
        <v>13.46</v>
      </c>
      <c r="G1369" s="1115">
        <f t="shared" si="158"/>
        <v>0</v>
      </c>
      <c r="H1369" s="1115">
        <f t="shared" si="159"/>
        <v>255.74</v>
      </c>
      <c r="I1369" s="1115">
        <f t="shared" si="160"/>
        <v>255.74</v>
      </c>
    </row>
    <row r="1370" spans="1:9" s="725" customFormat="1" ht="28.8" hidden="1" outlineLevel="3" x14ac:dyDescent="0.25">
      <c r="A1370" s="1110" t="s">
        <v>3314</v>
      </c>
      <c r="B1370" s="1118" t="s">
        <v>2192</v>
      </c>
      <c r="C1370" s="1024" t="s">
        <v>96</v>
      </c>
      <c r="D1370" s="941">
        <v>8</v>
      </c>
      <c r="E1370" s="941">
        <v>200</v>
      </c>
      <c r="F1370" s="1105">
        <v>5983.58</v>
      </c>
      <c r="G1370" s="1115">
        <f>PRODUCT(E1370,D1370)</f>
        <v>1600</v>
      </c>
      <c r="H1370" s="1115">
        <f>PRODUCT(F1370,D1370)</f>
        <v>47868.639999999999</v>
      </c>
      <c r="I1370" s="1115">
        <f>SUM(G1370:H1370)</f>
        <v>49468.639999999999</v>
      </c>
    </row>
    <row r="1371" spans="1:9" s="725" customFormat="1" ht="28.8" hidden="1" outlineLevel="3" x14ac:dyDescent="0.25">
      <c r="A1371" s="1110" t="s">
        <v>3315</v>
      </c>
      <c r="B1371" s="1118" t="s">
        <v>2194</v>
      </c>
      <c r="C1371" s="1112" t="s">
        <v>96</v>
      </c>
      <c r="D1371" s="1322">
        <v>14</v>
      </c>
      <c r="E1371" s="1114">
        <v>200</v>
      </c>
      <c r="F1371" s="1334">
        <v>4021.62</v>
      </c>
      <c r="G1371" s="1115">
        <f t="shared" ref="G1371:G1380" si="161">PRODUCT(E1371,D1371)</f>
        <v>2800</v>
      </c>
      <c r="H1371" s="1115">
        <f t="shared" ref="H1371:H1372" si="162">PRODUCT(F1371,D1371)</f>
        <v>56302.68</v>
      </c>
      <c r="I1371" s="1115">
        <f t="shared" ref="I1371:I1372" si="163">SUM(G1371:H1371)</f>
        <v>59102.68</v>
      </c>
    </row>
    <row r="1372" spans="1:9" s="725" customFormat="1" ht="28.8" hidden="1" outlineLevel="3" x14ac:dyDescent="0.25">
      <c r="A1372" s="1110" t="s">
        <v>3316</v>
      </c>
      <c r="B1372" s="1118" t="s">
        <v>2196</v>
      </c>
      <c r="C1372" s="1112" t="s">
        <v>96</v>
      </c>
      <c r="D1372" s="1322">
        <v>10</v>
      </c>
      <c r="E1372" s="1114">
        <v>200</v>
      </c>
      <c r="F1372" s="1334">
        <v>3650.62</v>
      </c>
      <c r="G1372" s="1115">
        <f t="shared" si="161"/>
        <v>2000</v>
      </c>
      <c r="H1372" s="1115">
        <f t="shared" si="162"/>
        <v>36506.199999999997</v>
      </c>
      <c r="I1372" s="1115">
        <f t="shared" si="163"/>
        <v>38506.199999999997</v>
      </c>
    </row>
    <row r="1373" spans="1:9" s="725" customFormat="1" ht="14.4" hidden="1" outlineLevel="3" x14ac:dyDescent="0.25">
      <c r="A1373" s="1110" t="s">
        <v>3317</v>
      </c>
      <c r="B1373" s="1337" t="s">
        <v>2198</v>
      </c>
      <c r="C1373" s="1112" t="s">
        <v>96</v>
      </c>
      <c r="D1373" s="1322">
        <v>24</v>
      </c>
      <c r="E1373" s="1114">
        <v>0</v>
      </c>
      <c r="F1373" s="1105">
        <v>437.67</v>
      </c>
      <c r="G1373" s="1115">
        <f t="shared" si="161"/>
        <v>0</v>
      </c>
      <c r="H1373" s="1115">
        <f>PRODUCT(F1373,D1373)</f>
        <v>10504.08</v>
      </c>
      <c r="I1373" s="1115">
        <f>SUM(G1373:H1373)</f>
        <v>10504.08</v>
      </c>
    </row>
    <row r="1374" spans="1:9" s="725" customFormat="1" ht="14.4" hidden="1" outlineLevel="3" x14ac:dyDescent="0.25">
      <c r="A1374" s="1110" t="s">
        <v>3318</v>
      </c>
      <c r="B1374" s="1337" t="s">
        <v>2200</v>
      </c>
      <c r="C1374" s="1112" t="s">
        <v>96</v>
      </c>
      <c r="D1374" s="1322">
        <v>36</v>
      </c>
      <c r="E1374" s="1114">
        <v>0</v>
      </c>
      <c r="F1374" s="1105">
        <v>606.78</v>
      </c>
      <c r="G1374" s="1115">
        <f t="shared" si="161"/>
        <v>0</v>
      </c>
      <c r="H1374" s="1115">
        <f>PRODUCT(F1374,D1374)</f>
        <v>21844.079999999998</v>
      </c>
      <c r="I1374" s="1115">
        <f>SUM(G1374:H1374)</f>
        <v>21844.079999999998</v>
      </c>
    </row>
    <row r="1375" spans="1:9" s="725" customFormat="1" ht="14.4" hidden="1" outlineLevel="3" x14ac:dyDescent="0.25">
      <c r="A1375" s="1110" t="s">
        <v>3319</v>
      </c>
      <c r="B1375" s="1337" t="s">
        <v>2202</v>
      </c>
      <c r="C1375" s="1112" t="s">
        <v>96</v>
      </c>
      <c r="D1375" s="1322">
        <v>20</v>
      </c>
      <c r="E1375" s="1114">
        <v>0</v>
      </c>
      <c r="F1375" s="1105">
        <v>773.73</v>
      </c>
      <c r="G1375" s="1115">
        <f t="shared" si="161"/>
        <v>0</v>
      </c>
      <c r="H1375" s="1115">
        <f>PRODUCT(F1375,D1375)</f>
        <v>15474.6</v>
      </c>
      <c r="I1375" s="1115">
        <f>SUM(G1375:H1375)</f>
        <v>15474.6</v>
      </c>
    </row>
    <row r="1376" spans="1:9" s="725" customFormat="1" ht="14.4" hidden="1" outlineLevel="3" x14ac:dyDescent="0.25">
      <c r="A1376" s="1110" t="s">
        <v>3320</v>
      </c>
      <c r="B1376" s="1116" t="s">
        <v>2204</v>
      </c>
      <c r="C1376" s="1112" t="s">
        <v>96</v>
      </c>
      <c r="D1376" s="1322">
        <v>48</v>
      </c>
      <c r="E1376" s="1114">
        <v>0</v>
      </c>
      <c r="F1376" s="1114">
        <v>18.96</v>
      </c>
      <c r="G1376" s="1115">
        <f t="shared" si="161"/>
        <v>0</v>
      </c>
      <c r="H1376" s="1115">
        <f t="shared" ref="H1376:H1378" si="164">PRODUCT(F1376,D1376)</f>
        <v>910.08</v>
      </c>
      <c r="I1376" s="1115">
        <f t="shared" ref="I1376:I1378" si="165">SUM(G1376:H1376)</f>
        <v>910.08</v>
      </c>
    </row>
    <row r="1377" spans="1:9" s="725" customFormat="1" ht="14.4" hidden="1" outlineLevel="3" x14ac:dyDescent="0.25">
      <c r="A1377" s="1110" t="s">
        <v>3321</v>
      </c>
      <c r="B1377" s="1116" t="s">
        <v>2206</v>
      </c>
      <c r="C1377" s="1112" t="s">
        <v>96</v>
      </c>
      <c r="D1377" s="1322">
        <v>72</v>
      </c>
      <c r="E1377" s="1114">
        <v>0</v>
      </c>
      <c r="F1377" s="1114">
        <v>14.76</v>
      </c>
      <c r="G1377" s="1115">
        <f t="shared" si="161"/>
        <v>0</v>
      </c>
      <c r="H1377" s="1115">
        <f t="shared" si="164"/>
        <v>1062.72</v>
      </c>
      <c r="I1377" s="1115">
        <f t="shared" si="165"/>
        <v>1062.72</v>
      </c>
    </row>
    <row r="1378" spans="1:9" s="725" customFormat="1" ht="14.4" hidden="1" outlineLevel="3" x14ac:dyDescent="0.25">
      <c r="A1378" s="1110" t="s">
        <v>3322</v>
      </c>
      <c r="B1378" s="1116" t="s">
        <v>2208</v>
      </c>
      <c r="C1378" s="1112" t="s">
        <v>96</v>
      </c>
      <c r="D1378" s="1322">
        <v>40</v>
      </c>
      <c r="E1378" s="1114">
        <v>0</v>
      </c>
      <c r="F1378" s="1114">
        <v>12</v>
      </c>
      <c r="G1378" s="1115">
        <f t="shared" si="161"/>
        <v>0</v>
      </c>
      <c r="H1378" s="1115">
        <f t="shared" si="164"/>
        <v>480</v>
      </c>
      <c r="I1378" s="1115">
        <f t="shared" si="165"/>
        <v>480</v>
      </c>
    </row>
    <row r="1379" spans="1:9" s="725" customFormat="1" ht="14.4" hidden="1" outlineLevel="3" x14ac:dyDescent="0.25">
      <c r="A1379" s="1110" t="s">
        <v>3323</v>
      </c>
      <c r="B1379" s="1118" t="s">
        <v>2210</v>
      </c>
      <c r="C1379" s="1112" t="s">
        <v>96</v>
      </c>
      <c r="D1379" s="1322">
        <v>2</v>
      </c>
      <c r="E1379" s="1114">
        <v>200</v>
      </c>
      <c r="F1379" s="1334">
        <v>247</v>
      </c>
      <c r="G1379" s="1115">
        <f t="shared" si="161"/>
        <v>400</v>
      </c>
      <c r="H1379" s="1115">
        <f>PRODUCT(F1379,D1379)</f>
        <v>494</v>
      </c>
      <c r="I1379" s="1115">
        <f>SUM(G1379:H1379)</f>
        <v>894</v>
      </c>
    </row>
    <row r="1380" spans="1:9" s="725" customFormat="1" ht="14.4" hidden="1" outlineLevel="2" x14ac:dyDescent="0.25">
      <c r="A1380" s="1110" t="s">
        <v>3324</v>
      </c>
      <c r="B1380" s="1321" t="s">
        <v>2212</v>
      </c>
      <c r="C1380" s="1112" t="s">
        <v>96</v>
      </c>
      <c r="D1380" s="1121">
        <v>2</v>
      </c>
      <c r="E1380" s="1114">
        <v>0</v>
      </c>
      <c r="F1380" s="1121">
        <v>175.63</v>
      </c>
      <c r="G1380" s="1115">
        <f t="shared" si="161"/>
        <v>0</v>
      </c>
      <c r="H1380" s="1115">
        <f>PRODUCT(F1380,D1380)</f>
        <v>351.26</v>
      </c>
      <c r="I1380" s="1115">
        <f>SUM(G1380:H1380)</f>
        <v>351.26</v>
      </c>
    </row>
    <row r="1381" spans="1:9" s="725" customFormat="1" ht="14.4" hidden="1" outlineLevel="1" collapsed="1" x14ac:dyDescent="0.25">
      <c r="A1381" s="1110" t="s">
        <v>1793</v>
      </c>
      <c r="B1381" s="1111" t="s">
        <v>2213</v>
      </c>
      <c r="C1381" s="1112" t="s">
        <v>96</v>
      </c>
      <c r="D1381" s="1112">
        <v>4</v>
      </c>
      <c r="E1381" s="1114"/>
      <c r="F1381" s="1114"/>
      <c r="G1381" s="1115">
        <f>SUM(G1382:G1387)</f>
        <v>800</v>
      </c>
      <c r="H1381" s="1115">
        <f>SUM(H1382:H1387)</f>
        <v>21588.120000000003</v>
      </c>
      <c r="I1381" s="1115">
        <f>SUM(G1381:H1381)</f>
        <v>22388.120000000003</v>
      </c>
    </row>
    <row r="1382" spans="1:9" s="725" customFormat="1" ht="14.4" hidden="1" outlineLevel="2" x14ac:dyDescent="0.25">
      <c r="A1382" s="1110" t="s">
        <v>1795</v>
      </c>
      <c r="B1382" s="1111" t="s">
        <v>2214</v>
      </c>
      <c r="C1382" s="1112" t="s">
        <v>96</v>
      </c>
      <c r="D1382" s="1112">
        <v>2</v>
      </c>
      <c r="E1382" s="1114">
        <v>0</v>
      </c>
      <c r="F1382" s="1105">
        <v>6124</v>
      </c>
      <c r="G1382" s="1115">
        <f t="shared" ref="G1382:G1387" si="166">PRODUCT(E1382,D1382)</f>
        <v>0</v>
      </c>
      <c r="H1382" s="1115">
        <f t="shared" ref="H1382:H1387" si="167">PRODUCT(F1382,D1382)</f>
        <v>12248</v>
      </c>
      <c r="I1382" s="1115">
        <f>SUM(G1382:H1382)</f>
        <v>12248</v>
      </c>
    </row>
    <row r="1383" spans="1:9" s="725" customFormat="1" ht="14.4" hidden="1" outlineLevel="2" x14ac:dyDescent="0.25">
      <c r="A1383" s="1110" t="s">
        <v>1796</v>
      </c>
      <c r="B1383" s="1111" t="s">
        <v>2215</v>
      </c>
      <c r="C1383" s="1112" t="s">
        <v>96</v>
      </c>
      <c r="D1383" s="1112">
        <v>4</v>
      </c>
      <c r="E1383" s="1114">
        <v>0</v>
      </c>
      <c r="F1383" s="1114">
        <v>61</v>
      </c>
      <c r="G1383" s="1115">
        <f t="shared" si="166"/>
        <v>0</v>
      </c>
      <c r="H1383" s="1115">
        <f t="shared" si="167"/>
        <v>244</v>
      </c>
      <c r="I1383" s="1115">
        <f t="shared" ref="I1383:I1387" si="168">SUM(G1383:H1383)</f>
        <v>244</v>
      </c>
    </row>
    <row r="1384" spans="1:9" s="725" customFormat="1" ht="14.4" hidden="1" outlineLevel="2" x14ac:dyDescent="0.25">
      <c r="A1384" s="1110" t="s">
        <v>1797</v>
      </c>
      <c r="B1384" s="1321" t="s">
        <v>2162</v>
      </c>
      <c r="C1384" s="1112" t="s">
        <v>96</v>
      </c>
      <c r="D1384" s="1112">
        <v>2</v>
      </c>
      <c r="E1384" s="1114">
        <v>200</v>
      </c>
      <c r="F1384" s="1105">
        <v>141.06</v>
      </c>
      <c r="G1384" s="1115">
        <f t="shared" si="166"/>
        <v>400</v>
      </c>
      <c r="H1384" s="1115">
        <f t="shared" si="167"/>
        <v>282.12</v>
      </c>
      <c r="I1384" s="1115">
        <f t="shared" si="168"/>
        <v>682.12</v>
      </c>
    </row>
    <row r="1385" spans="1:9" s="725" customFormat="1" ht="28.8" hidden="1" outlineLevel="2" x14ac:dyDescent="0.25">
      <c r="A1385" s="1110" t="s">
        <v>3325</v>
      </c>
      <c r="B1385" s="1336" t="s">
        <v>2216</v>
      </c>
      <c r="C1385" s="1112" t="s">
        <v>96</v>
      </c>
      <c r="D1385" s="1112">
        <v>2</v>
      </c>
      <c r="E1385" s="1114">
        <v>200</v>
      </c>
      <c r="F1385" s="1114">
        <v>482</v>
      </c>
      <c r="G1385" s="1115">
        <f t="shared" si="166"/>
        <v>400</v>
      </c>
      <c r="H1385" s="1115">
        <f t="shared" si="167"/>
        <v>964</v>
      </c>
      <c r="I1385" s="1115">
        <f t="shared" si="168"/>
        <v>1364</v>
      </c>
    </row>
    <row r="1386" spans="1:9" s="725" customFormat="1" ht="14.4" hidden="1" outlineLevel="2" x14ac:dyDescent="0.25">
      <c r="A1386" s="1110" t="s">
        <v>3326</v>
      </c>
      <c r="B1386" s="1111" t="s">
        <v>2217</v>
      </c>
      <c r="C1386" s="1112" t="s">
        <v>96</v>
      </c>
      <c r="D1386" s="1112">
        <v>4</v>
      </c>
      <c r="E1386" s="1114">
        <v>0</v>
      </c>
      <c r="F1386" s="1114">
        <v>1350</v>
      </c>
      <c r="G1386" s="1115">
        <f t="shared" si="166"/>
        <v>0</v>
      </c>
      <c r="H1386" s="1115">
        <f t="shared" si="167"/>
        <v>5400</v>
      </c>
      <c r="I1386" s="1115">
        <f t="shared" si="168"/>
        <v>5400</v>
      </c>
    </row>
    <row r="1387" spans="1:9" s="725" customFormat="1" ht="14.4" hidden="1" outlineLevel="2" x14ac:dyDescent="0.25">
      <c r="A1387" s="1110" t="s">
        <v>3327</v>
      </c>
      <c r="B1387" s="1339" t="s">
        <v>2218</v>
      </c>
      <c r="C1387" s="1340" t="s">
        <v>96</v>
      </c>
      <c r="D1387" s="1340">
        <v>2</v>
      </c>
      <c r="E1387" s="1341">
        <v>0</v>
      </c>
      <c r="F1387" s="1341">
        <v>1225</v>
      </c>
      <c r="G1387" s="1342">
        <f t="shared" si="166"/>
        <v>0</v>
      </c>
      <c r="H1387" s="1342">
        <f t="shared" si="167"/>
        <v>2450</v>
      </c>
      <c r="I1387" s="1342">
        <f t="shared" si="168"/>
        <v>2450</v>
      </c>
    </row>
    <row r="1388" spans="1:9" collapsed="1" x14ac:dyDescent="0.3">
      <c r="A1388" s="1033" t="s">
        <v>847</v>
      </c>
      <c r="B1388" s="1013" t="s">
        <v>1977</v>
      </c>
      <c r="C1388" s="1014"/>
      <c r="D1388" s="1014"/>
      <c r="E1388" s="1015"/>
      <c r="F1388" s="1015"/>
      <c r="G1388" s="1040">
        <f>G1389+G1398+G1412+G1435+G1440+G1446+G1449+G1451+G1454+G1456+G1465+G1467+G1469+G1477</f>
        <v>582235</v>
      </c>
      <c r="H1388" s="1040">
        <f t="shared" ref="H1388:I1388" si="169">H1389+H1398+H1412+H1435+H1440+H1446+H1449+H1451+H1454+H1456+H1465+H1467+H1469+H1477</f>
        <v>821005.72540677967</v>
      </c>
      <c r="I1388" s="1040">
        <f t="shared" si="169"/>
        <v>1403240.7254067794</v>
      </c>
    </row>
    <row r="1389" spans="1:9" s="705" customFormat="1" ht="14.4" hidden="1" outlineLevel="1" collapsed="1" x14ac:dyDescent="0.25">
      <c r="A1389" s="1123" t="s">
        <v>3328</v>
      </c>
      <c r="B1389" s="1124" t="s">
        <v>1852</v>
      </c>
      <c r="C1389" s="1125" t="s">
        <v>44</v>
      </c>
      <c r="D1389" s="1125">
        <v>5</v>
      </c>
      <c r="E1389" s="1126"/>
      <c r="F1389" s="1126"/>
      <c r="G1389" s="1127">
        <f>SUM(G1390:G1397)</f>
        <v>15000</v>
      </c>
      <c r="H1389" s="1127">
        <f>SUM(H1390:H1397)</f>
        <v>29904.3</v>
      </c>
      <c r="I1389" s="1127">
        <f>SUM(I1390:I1397)</f>
        <v>44904.3</v>
      </c>
    </row>
    <row r="1390" spans="1:9" s="705" customFormat="1" ht="14.4" hidden="1" outlineLevel="2" x14ac:dyDescent="0.25">
      <c r="A1390" s="1123" t="s">
        <v>3329</v>
      </c>
      <c r="B1390" s="1124" t="s">
        <v>1853</v>
      </c>
      <c r="C1390" s="1125" t="s">
        <v>44</v>
      </c>
      <c r="D1390" s="1125">
        <v>5</v>
      </c>
      <c r="E1390" s="1126">
        <v>1000</v>
      </c>
      <c r="F1390" s="1126">
        <v>3837.86</v>
      </c>
      <c r="G1390" s="1127">
        <f t="shared" ref="G1390:G1397" si="170">PRODUCT(E1390,D1390)</f>
        <v>5000</v>
      </c>
      <c r="H1390" s="1127">
        <f t="shared" ref="H1390:H1397" si="171">PRODUCT(F1390,D1390)</f>
        <v>19189.3</v>
      </c>
      <c r="I1390" s="1127">
        <f t="shared" ref="I1390:I1435" si="172">SUM(G1390:H1390)</f>
        <v>24189.3</v>
      </c>
    </row>
    <row r="1391" spans="1:9" s="705" customFormat="1" ht="14.4" hidden="1" outlineLevel="2" x14ac:dyDescent="0.25">
      <c r="A1391" s="1123" t="s">
        <v>3330</v>
      </c>
      <c r="B1391" s="1124" t="s">
        <v>1854</v>
      </c>
      <c r="C1391" s="1125" t="s">
        <v>1855</v>
      </c>
      <c r="D1391" s="1125">
        <v>40</v>
      </c>
      <c r="E1391" s="1126">
        <v>250</v>
      </c>
      <c r="F1391" s="1126">
        <v>133</v>
      </c>
      <c r="G1391" s="1127">
        <f t="shared" si="170"/>
        <v>10000</v>
      </c>
      <c r="H1391" s="1127">
        <f t="shared" si="171"/>
        <v>5320</v>
      </c>
      <c r="I1391" s="1127">
        <f t="shared" si="172"/>
        <v>15320</v>
      </c>
    </row>
    <row r="1392" spans="1:9" s="705" customFormat="1" ht="14.4" hidden="1" outlineLevel="2" x14ac:dyDescent="0.25">
      <c r="A1392" s="1123" t="s">
        <v>3331</v>
      </c>
      <c r="B1392" s="1124" t="s">
        <v>1856</v>
      </c>
      <c r="C1392" s="1125" t="s">
        <v>44</v>
      </c>
      <c r="D1392" s="1125">
        <v>5</v>
      </c>
      <c r="E1392" s="1126">
        <v>0</v>
      </c>
      <c r="F1392" s="1126">
        <v>257</v>
      </c>
      <c r="G1392" s="1127">
        <f t="shared" si="170"/>
        <v>0</v>
      </c>
      <c r="H1392" s="1127">
        <f t="shared" si="171"/>
        <v>1285</v>
      </c>
      <c r="I1392" s="1127">
        <f t="shared" si="172"/>
        <v>1285</v>
      </c>
    </row>
    <row r="1393" spans="1:9" s="705" customFormat="1" ht="14.4" hidden="1" outlineLevel="2" x14ac:dyDescent="0.25">
      <c r="A1393" s="1123" t="s">
        <v>3332</v>
      </c>
      <c r="B1393" s="1124" t="s">
        <v>1857</v>
      </c>
      <c r="C1393" s="1125" t="s">
        <v>44</v>
      </c>
      <c r="D1393" s="1125">
        <v>20</v>
      </c>
      <c r="E1393" s="1126">
        <v>0</v>
      </c>
      <c r="F1393" s="1126">
        <v>17</v>
      </c>
      <c r="G1393" s="1127">
        <f t="shared" si="170"/>
        <v>0</v>
      </c>
      <c r="H1393" s="1127">
        <f t="shared" si="171"/>
        <v>340</v>
      </c>
      <c r="I1393" s="1127">
        <f t="shared" si="172"/>
        <v>340</v>
      </c>
    </row>
    <row r="1394" spans="1:9" s="705" customFormat="1" ht="14.4" hidden="1" outlineLevel="2" x14ac:dyDescent="0.25">
      <c r="A1394" s="1123" t="s">
        <v>3333</v>
      </c>
      <c r="B1394" s="1124" t="s">
        <v>1858</v>
      </c>
      <c r="C1394" s="1125" t="s">
        <v>44</v>
      </c>
      <c r="D1394" s="1125">
        <v>5</v>
      </c>
      <c r="E1394" s="1126">
        <v>0</v>
      </c>
      <c r="F1394" s="1126">
        <v>212</v>
      </c>
      <c r="G1394" s="1127">
        <f t="shared" si="170"/>
        <v>0</v>
      </c>
      <c r="H1394" s="1127">
        <f t="shared" si="171"/>
        <v>1060</v>
      </c>
      <c r="I1394" s="1127">
        <f t="shared" si="172"/>
        <v>1060</v>
      </c>
    </row>
    <row r="1395" spans="1:9" s="705" customFormat="1" ht="14.4" hidden="1" outlineLevel="2" x14ac:dyDescent="0.25">
      <c r="A1395" s="1123" t="s">
        <v>3334</v>
      </c>
      <c r="B1395" s="1124" t="s">
        <v>1859</v>
      </c>
      <c r="C1395" s="1125" t="s">
        <v>44</v>
      </c>
      <c r="D1395" s="1125">
        <v>5</v>
      </c>
      <c r="E1395" s="1126">
        <v>0</v>
      </c>
      <c r="F1395" s="1126">
        <v>201</v>
      </c>
      <c r="G1395" s="1127">
        <f t="shared" si="170"/>
        <v>0</v>
      </c>
      <c r="H1395" s="1127">
        <f t="shared" si="171"/>
        <v>1005</v>
      </c>
      <c r="I1395" s="1127">
        <f t="shared" si="172"/>
        <v>1005</v>
      </c>
    </row>
    <row r="1396" spans="1:9" s="705" customFormat="1" ht="14.4" hidden="1" outlineLevel="2" x14ac:dyDescent="0.25">
      <c r="A1396" s="1123" t="s">
        <v>3335</v>
      </c>
      <c r="B1396" s="1124" t="s">
        <v>1860</v>
      </c>
      <c r="C1396" s="1125" t="s">
        <v>44</v>
      </c>
      <c r="D1396" s="1125">
        <v>40</v>
      </c>
      <c r="E1396" s="1126">
        <v>0</v>
      </c>
      <c r="F1396" s="1126">
        <v>41</v>
      </c>
      <c r="G1396" s="1127">
        <f t="shared" si="170"/>
        <v>0</v>
      </c>
      <c r="H1396" s="1127">
        <f t="shared" si="171"/>
        <v>1640</v>
      </c>
      <c r="I1396" s="1127">
        <f t="shared" si="172"/>
        <v>1640</v>
      </c>
    </row>
    <row r="1397" spans="1:9" s="705" customFormat="1" ht="14.4" hidden="1" outlineLevel="2" x14ac:dyDescent="0.25">
      <c r="A1397" s="1123" t="s">
        <v>3336</v>
      </c>
      <c r="B1397" s="1124" t="s">
        <v>1861</v>
      </c>
      <c r="C1397" s="1125" t="s">
        <v>44</v>
      </c>
      <c r="D1397" s="1125">
        <v>5</v>
      </c>
      <c r="E1397" s="1126">
        <v>0</v>
      </c>
      <c r="F1397" s="1126">
        <v>13</v>
      </c>
      <c r="G1397" s="1127">
        <f t="shared" si="170"/>
        <v>0</v>
      </c>
      <c r="H1397" s="1127">
        <f t="shared" si="171"/>
        <v>65</v>
      </c>
      <c r="I1397" s="1127">
        <f t="shared" si="172"/>
        <v>65</v>
      </c>
    </row>
    <row r="1398" spans="1:9" s="705" customFormat="1" ht="14.4" hidden="1" outlineLevel="1" collapsed="1" x14ac:dyDescent="0.25">
      <c r="A1398" s="1123" t="s">
        <v>3337</v>
      </c>
      <c r="B1398" s="1124" t="s">
        <v>1862</v>
      </c>
      <c r="C1398" s="1125" t="s">
        <v>1855</v>
      </c>
      <c r="D1398" s="1125">
        <f>SUM(D1399:D1399)</f>
        <v>16.3</v>
      </c>
      <c r="E1398" s="1126"/>
      <c r="F1398" s="1126"/>
      <c r="G1398" s="1127">
        <f>SUM(G1399:G1411)</f>
        <v>7650</v>
      </c>
      <c r="H1398" s="1127">
        <f>SUM(H1399:H1411)</f>
        <v>25888.060000000005</v>
      </c>
      <c r="I1398" s="1127">
        <f>SUM(I1399:I1411)</f>
        <v>33538.060000000005</v>
      </c>
    </row>
    <row r="1399" spans="1:9" s="705" customFormat="1" ht="14.4" hidden="1" outlineLevel="2" x14ac:dyDescent="0.25">
      <c r="A1399" s="1123" t="s">
        <v>3338</v>
      </c>
      <c r="B1399" s="1124" t="s">
        <v>1864</v>
      </c>
      <c r="C1399" s="1125" t="s">
        <v>43</v>
      </c>
      <c r="D1399" s="1125">
        <v>16.3</v>
      </c>
      <c r="E1399" s="1126">
        <v>300</v>
      </c>
      <c r="F1399" s="1334">
        <v>192</v>
      </c>
      <c r="G1399" s="1127">
        <f t="shared" ref="G1399:G1411" si="173">PRODUCT(E1399,D1399)</f>
        <v>4890</v>
      </c>
      <c r="H1399" s="1127">
        <f t="shared" ref="H1399:H1411" si="174">PRODUCT(F1399,D1399)</f>
        <v>3129.6000000000004</v>
      </c>
      <c r="I1399" s="1127">
        <f t="shared" si="172"/>
        <v>8019.6</v>
      </c>
    </row>
    <row r="1400" spans="1:9" s="705" customFormat="1" ht="14.4" hidden="1" outlineLevel="2" x14ac:dyDescent="0.25">
      <c r="A1400" s="1123" t="s">
        <v>3339</v>
      </c>
      <c r="B1400" s="1124" t="s">
        <v>1866</v>
      </c>
      <c r="C1400" s="1125" t="s">
        <v>43</v>
      </c>
      <c r="D1400" s="1125">
        <v>9.1999999999999993</v>
      </c>
      <c r="E1400" s="1126">
        <v>300</v>
      </c>
      <c r="F1400" s="1334">
        <v>631.4</v>
      </c>
      <c r="G1400" s="1127">
        <f t="shared" si="173"/>
        <v>2760</v>
      </c>
      <c r="H1400" s="1127">
        <f t="shared" si="174"/>
        <v>5808.8799999999992</v>
      </c>
      <c r="I1400" s="1127">
        <f t="shared" si="172"/>
        <v>8568.8799999999992</v>
      </c>
    </row>
    <row r="1401" spans="1:9" s="705" customFormat="1" ht="14.4" hidden="1" outlineLevel="2" x14ac:dyDescent="0.25">
      <c r="A1401" s="1123" t="s">
        <v>3340</v>
      </c>
      <c r="B1401" s="1124" t="s">
        <v>1868</v>
      </c>
      <c r="C1401" s="1125" t="s">
        <v>44</v>
      </c>
      <c r="D1401" s="1125">
        <v>2</v>
      </c>
      <c r="E1401" s="1126">
        <v>0</v>
      </c>
      <c r="F1401" s="1126">
        <v>455</v>
      </c>
      <c r="G1401" s="1127">
        <f>PRODUCT(E1401,D1401)</f>
        <v>0</v>
      </c>
      <c r="H1401" s="1127">
        <f>PRODUCT(F1401,D1401)</f>
        <v>910</v>
      </c>
      <c r="I1401" s="1127">
        <f>SUM(G1401:H1401)</f>
        <v>910</v>
      </c>
    </row>
    <row r="1402" spans="1:9" s="705" customFormat="1" ht="14.4" hidden="1" outlineLevel="2" x14ac:dyDescent="0.25">
      <c r="A1402" s="1123" t="s">
        <v>3341</v>
      </c>
      <c r="B1402" s="1343" t="s">
        <v>1870</v>
      </c>
      <c r="C1402" s="1125" t="s">
        <v>44</v>
      </c>
      <c r="D1402" s="1125">
        <v>5</v>
      </c>
      <c r="E1402" s="1126">
        <v>0</v>
      </c>
      <c r="F1402" s="1334">
        <v>296</v>
      </c>
      <c r="G1402" s="1127">
        <f>PRODUCT(E1402,D1402)</f>
        <v>0</v>
      </c>
      <c r="H1402" s="1127">
        <f>PRODUCT(F1402,D1402)</f>
        <v>1480</v>
      </c>
      <c r="I1402" s="1127">
        <f>SUM(G1402:H1402)</f>
        <v>1480</v>
      </c>
    </row>
    <row r="1403" spans="1:9" s="705" customFormat="1" ht="14.4" hidden="1" outlineLevel="2" x14ac:dyDescent="0.25">
      <c r="A1403" s="1123" t="s">
        <v>3342</v>
      </c>
      <c r="B1403" s="1124" t="s">
        <v>1872</v>
      </c>
      <c r="C1403" s="1125" t="s">
        <v>44</v>
      </c>
      <c r="D1403" s="1125">
        <v>1</v>
      </c>
      <c r="E1403" s="1126">
        <v>0</v>
      </c>
      <c r="F1403" s="1126">
        <v>1430.28</v>
      </c>
      <c r="G1403" s="1127">
        <f t="shared" si="173"/>
        <v>0</v>
      </c>
      <c r="H1403" s="1127">
        <f t="shared" si="174"/>
        <v>1430.28</v>
      </c>
      <c r="I1403" s="1127">
        <f t="shared" si="172"/>
        <v>1430.28</v>
      </c>
    </row>
    <row r="1404" spans="1:9" s="705" customFormat="1" ht="14.4" hidden="1" outlineLevel="2" x14ac:dyDescent="0.25">
      <c r="A1404" s="1123" t="s">
        <v>3343</v>
      </c>
      <c r="B1404" s="1124" t="s">
        <v>1874</v>
      </c>
      <c r="C1404" s="1125" t="s">
        <v>44</v>
      </c>
      <c r="D1404" s="1125">
        <v>2</v>
      </c>
      <c r="E1404" s="1126">
        <v>0</v>
      </c>
      <c r="F1404" s="1126">
        <v>2489.2800000000002</v>
      </c>
      <c r="G1404" s="1127">
        <f t="shared" si="173"/>
        <v>0</v>
      </c>
      <c r="H1404" s="1127">
        <f t="shared" si="174"/>
        <v>4978.5600000000004</v>
      </c>
      <c r="I1404" s="1127">
        <f t="shared" si="172"/>
        <v>4978.5600000000004</v>
      </c>
    </row>
    <row r="1405" spans="1:9" s="705" customFormat="1" ht="14.4" hidden="1" outlineLevel="2" x14ac:dyDescent="0.25">
      <c r="A1405" s="1123" t="s">
        <v>3344</v>
      </c>
      <c r="B1405" s="1124" t="s">
        <v>1876</v>
      </c>
      <c r="C1405" s="1125" t="s">
        <v>44</v>
      </c>
      <c r="D1405" s="1125">
        <v>2</v>
      </c>
      <c r="E1405" s="1126">
        <v>0</v>
      </c>
      <c r="F1405" s="1126">
        <v>902.85</v>
      </c>
      <c r="G1405" s="1127">
        <f t="shared" si="173"/>
        <v>0</v>
      </c>
      <c r="H1405" s="1127">
        <f t="shared" si="174"/>
        <v>1805.7</v>
      </c>
      <c r="I1405" s="1127">
        <f t="shared" si="172"/>
        <v>1805.7</v>
      </c>
    </row>
    <row r="1406" spans="1:9" s="705" customFormat="1" ht="14.4" hidden="1" outlineLevel="2" x14ac:dyDescent="0.25">
      <c r="A1406" s="1123" t="s">
        <v>3345</v>
      </c>
      <c r="B1406" s="1124" t="s">
        <v>1878</v>
      </c>
      <c r="C1406" s="1125" t="s">
        <v>44</v>
      </c>
      <c r="D1406" s="1125">
        <v>1</v>
      </c>
      <c r="E1406" s="1126">
        <v>0</v>
      </c>
      <c r="F1406" s="1126">
        <v>1003</v>
      </c>
      <c r="G1406" s="1127">
        <f t="shared" si="173"/>
        <v>0</v>
      </c>
      <c r="H1406" s="1127">
        <f t="shared" si="174"/>
        <v>1003</v>
      </c>
      <c r="I1406" s="1127">
        <f t="shared" si="172"/>
        <v>1003</v>
      </c>
    </row>
    <row r="1407" spans="1:9" s="705" customFormat="1" ht="14.4" hidden="1" outlineLevel="2" x14ac:dyDescent="0.25">
      <c r="A1407" s="1123" t="s">
        <v>3346</v>
      </c>
      <c r="B1407" s="1101" t="s">
        <v>1880</v>
      </c>
      <c r="C1407" s="1125" t="s">
        <v>44</v>
      </c>
      <c r="D1407" s="1125">
        <v>2</v>
      </c>
      <c r="E1407" s="1126">
        <v>0</v>
      </c>
      <c r="F1407" s="1126">
        <v>951</v>
      </c>
      <c r="G1407" s="1127">
        <f t="shared" si="173"/>
        <v>0</v>
      </c>
      <c r="H1407" s="1127">
        <f t="shared" si="174"/>
        <v>1902</v>
      </c>
      <c r="I1407" s="1127">
        <f t="shared" si="172"/>
        <v>1902</v>
      </c>
    </row>
    <row r="1408" spans="1:9" s="705" customFormat="1" ht="14.4" hidden="1" outlineLevel="2" x14ac:dyDescent="0.25">
      <c r="A1408" s="1123" t="s">
        <v>3347</v>
      </c>
      <c r="B1408" s="1124" t="s">
        <v>1882</v>
      </c>
      <c r="C1408" s="1125" t="s">
        <v>44</v>
      </c>
      <c r="D1408" s="1125">
        <v>2</v>
      </c>
      <c r="E1408" s="1126">
        <v>0</v>
      </c>
      <c r="F1408" s="1126">
        <v>951.86</v>
      </c>
      <c r="G1408" s="1127">
        <f t="shared" si="173"/>
        <v>0</v>
      </c>
      <c r="H1408" s="1127">
        <f t="shared" si="174"/>
        <v>1903.72</v>
      </c>
      <c r="I1408" s="1127">
        <f t="shared" si="172"/>
        <v>1903.72</v>
      </c>
    </row>
    <row r="1409" spans="1:9" s="705" customFormat="1" ht="14.4" hidden="1" outlineLevel="2" x14ac:dyDescent="0.25">
      <c r="A1409" s="1123" t="s">
        <v>3348</v>
      </c>
      <c r="B1409" s="1124" t="s">
        <v>1884</v>
      </c>
      <c r="C1409" s="1125" t="s">
        <v>44</v>
      </c>
      <c r="D1409" s="1125">
        <f>PRODUCT(D1408)</f>
        <v>2</v>
      </c>
      <c r="E1409" s="1126">
        <v>0</v>
      </c>
      <c r="F1409" s="1126">
        <v>27.12</v>
      </c>
      <c r="G1409" s="1127">
        <f t="shared" si="173"/>
        <v>0</v>
      </c>
      <c r="H1409" s="1127">
        <f t="shared" si="174"/>
        <v>54.24</v>
      </c>
      <c r="I1409" s="1127">
        <f t="shared" si="172"/>
        <v>54.24</v>
      </c>
    </row>
    <row r="1410" spans="1:9" s="705" customFormat="1" ht="14.4" hidden="1" outlineLevel="2" x14ac:dyDescent="0.25">
      <c r="A1410" s="1123" t="s">
        <v>3349</v>
      </c>
      <c r="B1410" s="1124" t="s">
        <v>1886</v>
      </c>
      <c r="C1410" s="1125" t="s">
        <v>44</v>
      </c>
      <c r="D1410" s="1125">
        <v>1</v>
      </c>
      <c r="E1410" s="1126">
        <v>0</v>
      </c>
      <c r="F1410" s="1126">
        <v>518.4</v>
      </c>
      <c r="G1410" s="1127">
        <f t="shared" si="173"/>
        <v>0</v>
      </c>
      <c r="H1410" s="1127">
        <f t="shared" si="174"/>
        <v>518.4</v>
      </c>
      <c r="I1410" s="1127">
        <f t="shared" si="172"/>
        <v>518.4</v>
      </c>
    </row>
    <row r="1411" spans="1:9" s="705" customFormat="1" ht="14.4" hidden="1" outlineLevel="2" x14ac:dyDescent="0.25">
      <c r="A1411" s="1123" t="s">
        <v>3350</v>
      </c>
      <c r="B1411" s="1124" t="s">
        <v>1888</v>
      </c>
      <c r="C1411" s="1125" t="s">
        <v>44</v>
      </c>
      <c r="D1411" s="1125">
        <v>16</v>
      </c>
      <c r="E1411" s="1126">
        <v>0</v>
      </c>
      <c r="F1411" s="1126">
        <v>60.23</v>
      </c>
      <c r="G1411" s="1127">
        <f t="shared" si="173"/>
        <v>0</v>
      </c>
      <c r="H1411" s="1127">
        <f t="shared" si="174"/>
        <v>963.68</v>
      </c>
      <c r="I1411" s="1127">
        <f t="shared" si="172"/>
        <v>963.68</v>
      </c>
    </row>
    <row r="1412" spans="1:9" s="705" customFormat="1" ht="14.4" hidden="1" outlineLevel="1" collapsed="1" x14ac:dyDescent="0.25">
      <c r="A1412" s="1123" t="s">
        <v>3351</v>
      </c>
      <c r="B1412" s="1124" t="s">
        <v>1889</v>
      </c>
      <c r="C1412" s="1125" t="s">
        <v>318</v>
      </c>
      <c r="D1412" s="1125">
        <f>SUM(D1413:D1414)</f>
        <v>1355.7</v>
      </c>
      <c r="E1412" s="1126"/>
      <c r="F1412" s="1126"/>
      <c r="G1412" s="1127">
        <f>SUM(G1413:G1434)</f>
        <v>406710</v>
      </c>
      <c r="H1412" s="1127">
        <f>SUM(H1413:H1434)</f>
        <v>465878.97100000002</v>
      </c>
      <c r="I1412" s="1127">
        <f>SUM(I1413:I1434)</f>
        <v>872588.97100000002</v>
      </c>
    </row>
    <row r="1413" spans="1:9" s="705" customFormat="1" ht="14.4" hidden="1" outlineLevel="2" x14ac:dyDescent="0.25">
      <c r="A1413" s="1123" t="s">
        <v>3352</v>
      </c>
      <c r="B1413" s="1124" t="s">
        <v>1890</v>
      </c>
      <c r="C1413" s="1125" t="s">
        <v>43</v>
      </c>
      <c r="D1413" s="1125">
        <v>14.4</v>
      </c>
      <c r="E1413" s="1126">
        <v>300</v>
      </c>
      <c r="F1413" s="1334">
        <v>80.709999999999994</v>
      </c>
      <c r="G1413" s="1127">
        <f t="shared" ref="G1413:G1450" si="175">PRODUCT(E1413,D1413)</f>
        <v>4320</v>
      </c>
      <c r="H1413" s="1127">
        <f t="shared" ref="H1413:H1434" si="176">PRODUCT(F1413,D1413)</f>
        <v>1162.2239999999999</v>
      </c>
      <c r="I1413" s="1127">
        <f t="shared" si="172"/>
        <v>5482.2240000000002</v>
      </c>
    </row>
    <row r="1414" spans="1:9" s="705" customFormat="1" ht="14.4" hidden="1" outlineLevel="2" x14ac:dyDescent="0.25">
      <c r="A1414" s="1123" t="s">
        <v>3353</v>
      </c>
      <c r="B1414" s="1124" t="s">
        <v>1891</v>
      </c>
      <c r="C1414" s="1125" t="s">
        <v>43</v>
      </c>
      <c r="D1414" s="1125">
        <v>1341.3</v>
      </c>
      <c r="E1414" s="1126">
        <v>300</v>
      </c>
      <c r="F1414" s="1334">
        <v>197.29</v>
      </c>
      <c r="G1414" s="1127">
        <f t="shared" si="175"/>
        <v>402390</v>
      </c>
      <c r="H1414" s="1127">
        <f t="shared" si="176"/>
        <v>264625.07699999999</v>
      </c>
      <c r="I1414" s="1127">
        <f t="shared" si="172"/>
        <v>667015.07700000005</v>
      </c>
    </row>
    <row r="1415" spans="1:9" s="705" customFormat="1" ht="14.4" hidden="1" outlineLevel="2" x14ac:dyDescent="0.25">
      <c r="A1415" s="1123" t="s">
        <v>3354</v>
      </c>
      <c r="B1415" s="1124" t="s">
        <v>1892</v>
      </c>
      <c r="C1415" s="1125" t="s">
        <v>44</v>
      </c>
      <c r="D1415" s="1125">
        <v>1103</v>
      </c>
      <c r="E1415" s="1126">
        <v>0</v>
      </c>
      <c r="F1415" s="1126">
        <v>59</v>
      </c>
      <c r="G1415" s="1127">
        <f t="shared" si="175"/>
        <v>0</v>
      </c>
      <c r="H1415" s="1127">
        <f t="shared" si="176"/>
        <v>65077</v>
      </c>
      <c r="I1415" s="1127">
        <f t="shared" si="172"/>
        <v>65077</v>
      </c>
    </row>
    <row r="1416" spans="1:9" s="705" customFormat="1" ht="14.4" hidden="1" outlineLevel="2" x14ac:dyDescent="0.25">
      <c r="A1416" s="1123" t="s">
        <v>3355</v>
      </c>
      <c r="B1416" s="1124" t="s">
        <v>1893</v>
      </c>
      <c r="C1416" s="1125" t="s">
        <v>44</v>
      </c>
      <c r="D1416" s="1125">
        <v>1103</v>
      </c>
      <c r="E1416" s="1126">
        <v>0</v>
      </c>
      <c r="F1416" s="1126">
        <v>17</v>
      </c>
      <c r="G1416" s="1127">
        <f t="shared" si="175"/>
        <v>0</v>
      </c>
      <c r="H1416" s="1127">
        <f t="shared" si="176"/>
        <v>18751</v>
      </c>
      <c r="I1416" s="1127">
        <f t="shared" si="172"/>
        <v>18751</v>
      </c>
    </row>
    <row r="1417" spans="1:9" s="705" customFormat="1" ht="14.4" hidden="1" outlineLevel="2" x14ac:dyDescent="0.25">
      <c r="A1417" s="1123" t="s">
        <v>3356</v>
      </c>
      <c r="B1417" s="1124" t="s">
        <v>1892</v>
      </c>
      <c r="C1417" s="1125" t="s">
        <v>44</v>
      </c>
      <c r="D1417" s="1125">
        <v>176</v>
      </c>
      <c r="E1417" s="1126">
        <v>0</v>
      </c>
      <c r="F1417" s="1126">
        <v>59</v>
      </c>
      <c r="G1417" s="1127">
        <f t="shared" si="175"/>
        <v>0</v>
      </c>
      <c r="H1417" s="1127">
        <f t="shared" si="176"/>
        <v>10384</v>
      </c>
      <c r="I1417" s="1127">
        <f t="shared" si="172"/>
        <v>10384</v>
      </c>
    </row>
    <row r="1418" spans="1:9" s="705" customFormat="1" ht="14.4" hidden="1" outlineLevel="2" x14ac:dyDescent="0.25">
      <c r="A1418" s="1123" t="s">
        <v>3357</v>
      </c>
      <c r="B1418" s="1124" t="s">
        <v>1894</v>
      </c>
      <c r="C1418" s="1125" t="s">
        <v>44</v>
      </c>
      <c r="D1418" s="1125">
        <v>88</v>
      </c>
      <c r="E1418" s="1126">
        <v>0</v>
      </c>
      <c r="F1418" s="1126">
        <v>194.52</v>
      </c>
      <c r="G1418" s="1127">
        <f t="shared" si="175"/>
        <v>0</v>
      </c>
      <c r="H1418" s="1127">
        <f t="shared" si="176"/>
        <v>17117.760000000002</v>
      </c>
      <c r="I1418" s="1127">
        <f t="shared" si="172"/>
        <v>17117.760000000002</v>
      </c>
    </row>
    <row r="1419" spans="1:9" s="705" customFormat="1" ht="14.4" hidden="1" outlineLevel="2" x14ac:dyDescent="0.25">
      <c r="A1419" s="1123" t="s">
        <v>3358</v>
      </c>
      <c r="B1419" s="1124" t="s">
        <v>1896</v>
      </c>
      <c r="C1419" s="1125" t="s">
        <v>44</v>
      </c>
      <c r="D1419" s="1125">
        <v>176</v>
      </c>
      <c r="E1419" s="1126">
        <v>0</v>
      </c>
      <c r="F1419" s="1126">
        <v>42.12</v>
      </c>
      <c r="G1419" s="1127">
        <f t="shared" si="175"/>
        <v>0</v>
      </c>
      <c r="H1419" s="1127">
        <f t="shared" si="176"/>
        <v>7413.12</v>
      </c>
      <c r="I1419" s="1127">
        <f t="shared" si="172"/>
        <v>7413.12</v>
      </c>
    </row>
    <row r="1420" spans="1:9" s="705" customFormat="1" ht="14.4" hidden="1" outlineLevel="2" x14ac:dyDescent="0.25">
      <c r="A1420" s="1123" t="s">
        <v>3359</v>
      </c>
      <c r="B1420" s="1124" t="s">
        <v>1898</v>
      </c>
      <c r="C1420" s="1125" t="s">
        <v>44</v>
      </c>
      <c r="D1420" s="1125">
        <v>35</v>
      </c>
      <c r="E1420" s="1126">
        <v>0</v>
      </c>
      <c r="F1420" s="1334">
        <v>63.05</v>
      </c>
      <c r="G1420" s="1127">
        <f t="shared" si="175"/>
        <v>0</v>
      </c>
      <c r="H1420" s="1127">
        <f t="shared" si="176"/>
        <v>2206.75</v>
      </c>
      <c r="I1420" s="1127">
        <f t="shared" si="172"/>
        <v>2206.75</v>
      </c>
    </row>
    <row r="1421" spans="1:9" s="705" customFormat="1" ht="14.4" hidden="1" outlineLevel="2" x14ac:dyDescent="0.25">
      <c r="A1421" s="1123" t="s">
        <v>3360</v>
      </c>
      <c r="B1421" s="1124" t="s">
        <v>1900</v>
      </c>
      <c r="C1421" s="1125" t="s">
        <v>44</v>
      </c>
      <c r="D1421" s="1125">
        <v>24</v>
      </c>
      <c r="E1421" s="1126">
        <v>0</v>
      </c>
      <c r="F1421" s="1334">
        <v>52.88</v>
      </c>
      <c r="G1421" s="1127">
        <f t="shared" si="175"/>
        <v>0</v>
      </c>
      <c r="H1421" s="1127">
        <f t="shared" si="176"/>
        <v>1269.1200000000001</v>
      </c>
      <c r="I1421" s="1127">
        <f t="shared" si="172"/>
        <v>1269.1200000000001</v>
      </c>
    </row>
    <row r="1422" spans="1:9" s="705" customFormat="1" ht="14.4" hidden="1" outlineLevel="2" x14ac:dyDescent="0.25">
      <c r="A1422" s="1123" t="s">
        <v>3361</v>
      </c>
      <c r="B1422" s="1124" t="s">
        <v>1902</v>
      </c>
      <c r="C1422" s="1125" t="s">
        <v>44</v>
      </c>
      <c r="D1422" s="1125">
        <v>5</v>
      </c>
      <c r="E1422" s="1126">
        <v>0</v>
      </c>
      <c r="F1422" s="1126">
        <v>16</v>
      </c>
      <c r="G1422" s="1127">
        <f t="shared" si="175"/>
        <v>0</v>
      </c>
      <c r="H1422" s="1127">
        <f t="shared" si="176"/>
        <v>80</v>
      </c>
      <c r="I1422" s="1127">
        <f t="shared" si="172"/>
        <v>80</v>
      </c>
    </row>
    <row r="1423" spans="1:9" s="705" customFormat="1" ht="14.4" hidden="1" outlineLevel="2" x14ac:dyDescent="0.25">
      <c r="A1423" s="1123" t="s">
        <v>3362</v>
      </c>
      <c r="B1423" s="1124" t="s">
        <v>1904</v>
      </c>
      <c r="C1423" s="1125" t="s">
        <v>44</v>
      </c>
      <c r="D1423" s="1125">
        <v>14</v>
      </c>
      <c r="E1423" s="1126">
        <v>0</v>
      </c>
      <c r="F1423" s="1334">
        <v>91.52</v>
      </c>
      <c r="G1423" s="1127">
        <f t="shared" si="175"/>
        <v>0</v>
      </c>
      <c r="H1423" s="1127">
        <f t="shared" si="176"/>
        <v>1281.28</v>
      </c>
      <c r="I1423" s="1127">
        <f t="shared" si="172"/>
        <v>1281.28</v>
      </c>
    </row>
    <row r="1424" spans="1:9" s="705" customFormat="1" ht="14.4" hidden="1" outlineLevel="2" x14ac:dyDescent="0.25">
      <c r="A1424" s="1123" t="s">
        <v>3363</v>
      </c>
      <c r="B1424" s="1124" t="s">
        <v>1906</v>
      </c>
      <c r="C1424" s="1125" t="s">
        <v>44</v>
      </c>
      <c r="D1424" s="1125">
        <v>3</v>
      </c>
      <c r="E1424" s="1126">
        <v>0</v>
      </c>
      <c r="F1424" s="1334">
        <v>66.099999999999994</v>
      </c>
      <c r="G1424" s="1127">
        <f t="shared" si="175"/>
        <v>0</v>
      </c>
      <c r="H1424" s="1127">
        <f t="shared" si="176"/>
        <v>198.29999999999998</v>
      </c>
      <c r="I1424" s="1127">
        <f t="shared" si="172"/>
        <v>198.29999999999998</v>
      </c>
    </row>
    <row r="1425" spans="1:9" s="705" customFormat="1" ht="14.4" hidden="1" outlineLevel="2" x14ac:dyDescent="0.25">
      <c r="A1425" s="1123" t="s">
        <v>3364</v>
      </c>
      <c r="B1425" s="1124" t="s">
        <v>1908</v>
      </c>
      <c r="C1425" s="1125" t="s">
        <v>44</v>
      </c>
      <c r="D1425" s="1125">
        <v>36</v>
      </c>
      <c r="E1425" s="1126">
        <v>0</v>
      </c>
      <c r="F1425" s="1334">
        <v>101.7</v>
      </c>
      <c r="G1425" s="1127">
        <f t="shared" si="175"/>
        <v>0</v>
      </c>
      <c r="H1425" s="1127">
        <f t="shared" si="176"/>
        <v>3661.2000000000003</v>
      </c>
      <c r="I1425" s="1127">
        <f t="shared" si="172"/>
        <v>3661.2000000000003</v>
      </c>
    </row>
    <row r="1426" spans="1:9" s="705" customFormat="1" ht="14.4" hidden="1" outlineLevel="2" x14ac:dyDescent="0.25">
      <c r="A1426" s="1123" t="s">
        <v>3365</v>
      </c>
      <c r="B1426" s="1124" t="s">
        <v>1910</v>
      </c>
      <c r="C1426" s="1125" t="s">
        <v>44</v>
      </c>
      <c r="D1426" s="1125">
        <v>18</v>
      </c>
      <c r="E1426" s="1126">
        <v>0</v>
      </c>
      <c r="F1426" s="1334">
        <v>12.2</v>
      </c>
      <c r="G1426" s="1127">
        <f t="shared" si="175"/>
        <v>0</v>
      </c>
      <c r="H1426" s="1127">
        <f t="shared" si="176"/>
        <v>219.6</v>
      </c>
      <c r="I1426" s="1127">
        <f t="shared" si="172"/>
        <v>219.6</v>
      </c>
    </row>
    <row r="1427" spans="1:9" s="705" customFormat="1" ht="14.4" hidden="1" outlineLevel="2" x14ac:dyDescent="0.25">
      <c r="A1427" s="1123" t="s">
        <v>3366</v>
      </c>
      <c r="B1427" s="1124" t="s">
        <v>1912</v>
      </c>
      <c r="C1427" s="1125" t="s">
        <v>44</v>
      </c>
      <c r="D1427" s="1125">
        <v>1</v>
      </c>
      <c r="E1427" s="1126">
        <v>0</v>
      </c>
      <c r="F1427" s="1126">
        <v>110.84</v>
      </c>
      <c r="G1427" s="1127">
        <f t="shared" si="175"/>
        <v>0</v>
      </c>
      <c r="H1427" s="1127">
        <f t="shared" si="176"/>
        <v>110.84</v>
      </c>
      <c r="I1427" s="1127">
        <f t="shared" si="172"/>
        <v>110.84</v>
      </c>
    </row>
    <row r="1428" spans="1:9" s="705" customFormat="1" ht="14.4" hidden="1" outlineLevel="2" x14ac:dyDescent="0.25">
      <c r="A1428" s="1123" t="s">
        <v>3367</v>
      </c>
      <c r="B1428" s="1124" t="s">
        <v>1914</v>
      </c>
      <c r="C1428" s="1125" t="s">
        <v>44</v>
      </c>
      <c r="D1428" s="1125">
        <v>285</v>
      </c>
      <c r="E1428" s="1126">
        <v>0</v>
      </c>
      <c r="F1428" s="1334">
        <v>91.52</v>
      </c>
      <c r="G1428" s="1127">
        <f t="shared" si="175"/>
        <v>0</v>
      </c>
      <c r="H1428" s="1127">
        <f t="shared" si="176"/>
        <v>26083.199999999997</v>
      </c>
      <c r="I1428" s="1127">
        <f t="shared" si="172"/>
        <v>26083.199999999997</v>
      </c>
    </row>
    <row r="1429" spans="1:9" s="705" customFormat="1" ht="14.4" hidden="1" outlineLevel="2" x14ac:dyDescent="0.25">
      <c r="A1429" s="1123" t="s">
        <v>3368</v>
      </c>
      <c r="B1429" s="1124" t="s">
        <v>1906</v>
      </c>
      <c r="C1429" s="1125" t="s">
        <v>44</v>
      </c>
      <c r="D1429" s="1125">
        <v>308</v>
      </c>
      <c r="E1429" s="1126">
        <v>0</v>
      </c>
      <c r="F1429" s="1334">
        <v>66.099999999999994</v>
      </c>
      <c r="G1429" s="1127">
        <f t="shared" si="175"/>
        <v>0</v>
      </c>
      <c r="H1429" s="1127">
        <f t="shared" si="176"/>
        <v>20358.8</v>
      </c>
      <c r="I1429" s="1127">
        <f t="shared" si="172"/>
        <v>20358.8</v>
      </c>
    </row>
    <row r="1430" spans="1:9" s="705" customFormat="1" ht="14.4" hidden="1" outlineLevel="2" x14ac:dyDescent="0.25">
      <c r="A1430" s="1123" t="s">
        <v>3369</v>
      </c>
      <c r="B1430" s="1124" t="s">
        <v>1910</v>
      </c>
      <c r="C1430" s="1125" t="s">
        <v>44</v>
      </c>
      <c r="D1430" s="1125">
        <v>285</v>
      </c>
      <c r="E1430" s="1126">
        <v>0</v>
      </c>
      <c r="F1430" s="1334">
        <v>12.2</v>
      </c>
      <c r="G1430" s="1127">
        <f t="shared" si="175"/>
        <v>0</v>
      </c>
      <c r="H1430" s="1127">
        <f t="shared" si="176"/>
        <v>3477</v>
      </c>
      <c r="I1430" s="1127">
        <f t="shared" si="172"/>
        <v>3477</v>
      </c>
    </row>
    <row r="1431" spans="1:9" s="705" customFormat="1" ht="14.4" hidden="1" outlineLevel="2" x14ac:dyDescent="0.25">
      <c r="A1431" s="1123" t="s">
        <v>3370</v>
      </c>
      <c r="B1431" s="1124" t="s">
        <v>1918</v>
      </c>
      <c r="C1431" s="1125" t="s">
        <v>44</v>
      </c>
      <c r="D1431" s="1125">
        <v>308</v>
      </c>
      <c r="E1431" s="1126">
        <v>0</v>
      </c>
      <c r="F1431" s="1126">
        <v>6</v>
      </c>
      <c r="G1431" s="1127">
        <f t="shared" si="175"/>
        <v>0</v>
      </c>
      <c r="H1431" s="1127">
        <f t="shared" si="176"/>
        <v>1848</v>
      </c>
      <c r="I1431" s="1127">
        <f t="shared" si="172"/>
        <v>1848</v>
      </c>
    </row>
    <row r="1432" spans="1:9" s="705" customFormat="1" ht="14.4" hidden="1" outlineLevel="2" x14ac:dyDescent="0.25">
      <c r="A1432" s="1123" t="s">
        <v>3371</v>
      </c>
      <c r="B1432" s="1124" t="s">
        <v>1912</v>
      </c>
      <c r="C1432" s="1125" t="s">
        <v>44</v>
      </c>
      <c r="D1432" s="1125">
        <v>98</v>
      </c>
      <c r="E1432" s="1126">
        <v>0</v>
      </c>
      <c r="F1432" s="1126">
        <v>110.84</v>
      </c>
      <c r="G1432" s="1127">
        <f t="shared" si="175"/>
        <v>0</v>
      </c>
      <c r="H1432" s="1127">
        <f t="shared" si="176"/>
        <v>10862.32</v>
      </c>
      <c r="I1432" s="1127">
        <f t="shared" si="172"/>
        <v>10862.32</v>
      </c>
    </row>
    <row r="1433" spans="1:9" s="705" customFormat="1" ht="14.4" hidden="1" outlineLevel="2" x14ac:dyDescent="0.25">
      <c r="A1433" s="1123" t="s">
        <v>3372</v>
      </c>
      <c r="B1433" s="1124" t="s">
        <v>1921</v>
      </c>
      <c r="C1433" s="1125" t="s">
        <v>44</v>
      </c>
      <c r="D1433" s="1125">
        <v>1</v>
      </c>
      <c r="E1433" s="1126">
        <v>0</v>
      </c>
      <c r="F1433" s="1126">
        <v>152.38</v>
      </c>
      <c r="G1433" s="1127">
        <f t="shared" si="175"/>
        <v>0</v>
      </c>
      <c r="H1433" s="1127">
        <f t="shared" si="176"/>
        <v>152.38</v>
      </c>
      <c r="I1433" s="1127">
        <f t="shared" si="172"/>
        <v>152.38</v>
      </c>
    </row>
    <row r="1434" spans="1:9" s="705" customFormat="1" ht="14.4" hidden="1" outlineLevel="2" x14ac:dyDescent="0.25">
      <c r="A1434" s="1123" t="s">
        <v>3373</v>
      </c>
      <c r="B1434" s="1124" t="s">
        <v>1923</v>
      </c>
      <c r="C1434" s="1125" t="s">
        <v>44</v>
      </c>
      <c r="D1434" s="1125">
        <v>30</v>
      </c>
      <c r="E1434" s="1126">
        <v>0</v>
      </c>
      <c r="F1434" s="1126">
        <v>318</v>
      </c>
      <c r="G1434" s="1127">
        <f t="shared" si="175"/>
        <v>0</v>
      </c>
      <c r="H1434" s="1127">
        <f t="shared" si="176"/>
        <v>9540</v>
      </c>
      <c r="I1434" s="1127">
        <f t="shared" si="172"/>
        <v>9540</v>
      </c>
    </row>
    <row r="1435" spans="1:9" s="718" customFormat="1" ht="14.4" hidden="1" outlineLevel="1" collapsed="1" x14ac:dyDescent="0.25">
      <c r="A1435" s="1123" t="s">
        <v>3374</v>
      </c>
      <c r="B1435" s="1104" t="s">
        <v>1924</v>
      </c>
      <c r="C1435" s="1125" t="s">
        <v>44</v>
      </c>
      <c r="D1435" s="1125">
        <v>60</v>
      </c>
      <c r="E1435" s="1126">
        <v>100</v>
      </c>
      <c r="F1435" s="1126"/>
      <c r="G1435" s="1127">
        <f t="shared" si="175"/>
        <v>6000</v>
      </c>
      <c r="H1435" s="1127">
        <f>SUM(H1436:H1439)</f>
        <v>5343.6244067796597</v>
      </c>
      <c r="I1435" s="1127">
        <f t="shared" si="172"/>
        <v>11343.62440677966</v>
      </c>
    </row>
    <row r="1436" spans="1:9" s="705" customFormat="1" ht="14.4" hidden="1" outlineLevel="2" x14ac:dyDescent="0.25">
      <c r="A1436" s="1123" t="s">
        <v>3375</v>
      </c>
      <c r="B1436" s="1104" t="s">
        <v>1335</v>
      </c>
      <c r="C1436" s="1026" t="s">
        <v>96</v>
      </c>
      <c r="D1436" s="305">
        <v>60</v>
      </c>
      <c r="E1436" s="1105">
        <v>0</v>
      </c>
      <c r="F1436" s="305">
        <v>51.864406779661017</v>
      </c>
      <c r="G1436" s="1102">
        <f>D1436*E1436</f>
        <v>0</v>
      </c>
      <c r="H1436" s="1103">
        <f>D1436*F1436</f>
        <v>3111.8644067796608</v>
      </c>
      <c r="I1436" s="1102">
        <f>SUM(G1436:H1436)</f>
        <v>3111.8644067796608</v>
      </c>
    </row>
    <row r="1437" spans="1:9" s="705" customFormat="1" ht="14.4" hidden="1" outlineLevel="2" x14ac:dyDescent="0.25">
      <c r="A1437" s="1123" t="s">
        <v>3376</v>
      </c>
      <c r="B1437" s="1101" t="s">
        <v>681</v>
      </c>
      <c r="C1437" s="1026" t="s">
        <v>1110</v>
      </c>
      <c r="D1437" s="1277">
        <v>3.4799999999999998E-2</v>
      </c>
      <c r="E1437" s="1105">
        <v>0</v>
      </c>
      <c r="F1437" s="1105">
        <v>40200</v>
      </c>
      <c r="G1437" s="1102">
        <f>D1437*E1437</f>
        <v>0</v>
      </c>
      <c r="H1437" s="1103">
        <f>D1437*F1437</f>
        <v>1398.9599999999998</v>
      </c>
      <c r="I1437" s="1102">
        <f>SUM(G1437:H1437)</f>
        <v>1398.9599999999998</v>
      </c>
    </row>
    <row r="1438" spans="1:9" s="705" customFormat="1" ht="14.4" hidden="1" outlineLevel="2" x14ac:dyDescent="0.25">
      <c r="A1438" s="1123" t="s">
        <v>3377</v>
      </c>
      <c r="B1438" s="1101" t="s">
        <v>1338</v>
      </c>
      <c r="C1438" s="1026" t="s">
        <v>96</v>
      </c>
      <c r="D1438" s="1277">
        <v>120</v>
      </c>
      <c r="E1438" s="1105">
        <v>0</v>
      </c>
      <c r="F1438" s="1105">
        <v>5.62</v>
      </c>
      <c r="G1438" s="1102">
        <v>0</v>
      </c>
      <c r="H1438" s="1103">
        <f>D1438*F1438</f>
        <v>674.4</v>
      </c>
      <c r="I1438" s="1102">
        <f>SUM(G1438:H1438)</f>
        <v>674.4</v>
      </c>
    </row>
    <row r="1439" spans="1:9" s="705" customFormat="1" ht="14.4" hidden="1" outlineLevel="2" x14ac:dyDescent="0.25">
      <c r="A1439" s="1123" t="s">
        <v>3378</v>
      </c>
      <c r="B1439" s="1278" t="s">
        <v>1340</v>
      </c>
      <c r="C1439" s="1279" t="s">
        <v>96</v>
      </c>
      <c r="D1439" s="1279">
        <v>120</v>
      </c>
      <c r="E1439" s="1280">
        <v>0</v>
      </c>
      <c r="F1439" s="1280">
        <v>1.32</v>
      </c>
      <c r="G1439" s="1102">
        <v>0</v>
      </c>
      <c r="H1439" s="1103">
        <f>D1439*F1439</f>
        <v>158.4</v>
      </c>
      <c r="I1439" s="1102">
        <f>SUM(G1439:H1439)</f>
        <v>158.4</v>
      </c>
    </row>
    <row r="1440" spans="1:9" s="705" customFormat="1" ht="14.4" hidden="1" outlineLevel="1" collapsed="1" x14ac:dyDescent="0.25">
      <c r="A1440" s="1097" t="s">
        <v>3379</v>
      </c>
      <c r="B1440" s="1104" t="s">
        <v>1928</v>
      </c>
      <c r="C1440" s="1026" t="s">
        <v>96</v>
      </c>
      <c r="D1440" s="305">
        <v>80</v>
      </c>
      <c r="E1440" s="1105">
        <v>400</v>
      </c>
      <c r="F1440" s="1105"/>
      <c r="G1440" s="1102">
        <f t="shared" ref="G1440:G1446" si="177">D1440*E1440</f>
        <v>32000</v>
      </c>
      <c r="H1440" s="1103">
        <f>SUM(H1441:H1445)</f>
        <v>38160.675000000003</v>
      </c>
      <c r="I1440" s="1102">
        <f t="shared" ref="I1440:I1446" si="178">SUM(G1440:H1440)</f>
        <v>70160.675000000003</v>
      </c>
    </row>
    <row r="1441" spans="1:9" s="705" customFormat="1" ht="14.4" hidden="1" outlineLevel="2" x14ac:dyDescent="0.25">
      <c r="A1441" s="1097" t="s">
        <v>3380</v>
      </c>
      <c r="B1441" s="1104" t="s">
        <v>1929</v>
      </c>
      <c r="C1441" s="1026" t="s">
        <v>281</v>
      </c>
      <c r="D1441" s="305">
        <v>19</v>
      </c>
      <c r="E1441" s="1105">
        <v>0</v>
      </c>
      <c r="F1441" s="1105">
        <v>572.5</v>
      </c>
      <c r="G1441" s="1102">
        <f t="shared" si="177"/>
        <v>0</v>
      </c>
      <c r="H1441" s="1103">
        <f t="shared" ref="H1441:H1445" si="179">D1441*F1441</f>
        <v>10877.5</v>
      </c>
      <c r="I1441" s="1102">
        <f t="shared" si="178"/>
        <v>10877.5</v>
      </c>
    </row>
    <row r="1442" spans="1:9" s="705" customFormat="1" ht="14.4" hidden="1" outlineLevel="2" x14ac:dyDescent="0.25">
      <c r="A1442" s="1097" t="s">
        <v>3381</v>
      </c>
      <c r="B1442" s="1104" t="s">
        <v>1931</v>
      </c>
      <c r="C1442" s="1026" t="s">
        <v>281</v>
      </c>
      <c r="D1442" s="305">
        <v>1.25</v>
      </c>
      <c r="E1442" s="1105">
        <v>0</v>
      </c>
      <c r="F1442" s="1105">
        <v>958.7</v>
      </c>
      <c r="G1442" s="1102">
        <f t="shared" si="177"/>
        <v>0</v>
      </c>
      <c r="H1442" s="1103">
        <f t="shared" si="179"/>
        <v>1198.375</v>
      </c>
      <c r="I1442" s="1102">
        <f t="shared" si="178"/>
        <v>1198.375</v>
      </c>
    </row>
    <row r="1443" spans="1:9" s="705" customFormat="1" ht="14.4" hidden="1" outlineLevel="2" x14ac:dyDescent="0.25">
      <c r="A1443" s="1097" t="s">
        <v>3382</v>
      </c>
      <c r="B1443" s="1104" t="s">
        <v>1347</v>
      </c>
      <c r="C1443" s="1026" t="s">
        <v>1110</v>
      </c>
      <c r="D1443" s="305">
        <v>0.32</v>
      </c>
      <c r="E1443" s="1105">
        <v>0</v>
      </c>
      <c r="F1443" s="1105">
        <v>46000</v>
      </c>
      <c r="G1443" s="1102">
        <f t="shared" si="177"/>
        <v>0</v>
      </c>
      <c r="H1443" s="1103">
        <f t="shared" si="179"/>
        <v>14720</v>
      </c>
      <c r="I1443" s="1102">
        <f t="shared" si="178"/>
        <v>14720</v>
      </c>
    </row>
    <row r="1444" spans="1:9" s="705" customFormat="1" ht="14.4" hidden="1" outlineLevel="2" x14ac:dyDescent="0.25">
      <c r="A1444" s="1097" t="s">
        <v>3383</v>
      </c>
      <c r="B1444" s="1104" t="s">
        <v>1349</v>
      </c>
      <c r="C1444" s="1026" t="s">
        <v>1110</v>
      </c>
      <c r="D1444" s="305">
        <v>0.14000000000000001</v>
      </c>
      <c r="E1444" s="1105">
        <v>0</v>
      </c>
      <c r="F1444" s="1105">
        <v>46000</v>
      </c>
      <c r="G1444" s="1102">
        <f t="shared" si="177"/>
        <v>0</v>
      </c>
      <c r="H1444" s="1103">
        <f t="shared" si="179"/>
        <v>6440.0000000000009</v>
      </c>
      <c r="I1444" s="1102">
        <f t="shared" si="178"/>
        <v>6440.0000000000009</v>
      </c>
    </row>
    <row r="1445" spans="1:9" s="705" customFormat="1" ht="14.4" hidden="1" outlineLevel="2" x14ac:dyDescent="0.25">
      <c r="A1445" s="1097" t="s">
        <v>3384</v>
      </c>
      <c r="B1445" s="1104" t="s">
        <v>1351</v>
      </c>
      <c r="C1445" s="1026" t="s">
        <v>96</v>
      </c>
      <c r="D1445" s="305">
        <v>320</v>
      </c>
      <c r="E1445" s="1105">
        <v>0</v>
      </c>
      <c r="F1445" s="1105">
        <v>15.39</v>
      </c>
      <c r="G1445" s="1102">
        <f t="shared" si="177"/>
        <v>0</v>
      </c>
      <c r="H1445" s="1103">
        <f t="shared" si="179"/>
        <v>4924.8</v>
      </c>
      <c r="I1445" s="1102">
        <f t="shared" si="178"/>
        <v>4924.8</v>
      </c>
    </row>
    <row r="1446" spans="1:9" s="718" customFormat="1" ht="14.4" hidden="1" outlineLevel="1" collapsed="1" x14ac:dyDescent="0.25">
      <c r="A1446" s="1123" t="s">
        <v>3385</v>
      </c>
      <c r="B1446" s="1124" t="s">
        <v>1935</v>
      </c>
      <c r="C1446" s="1125" t="s">
        <v>96</v>
      </c>
      <c r="D1446" s="1125">
        <v>1</v>
      </c>
      <c r="E1446" s="1126">
        <v>400</v>
      </c>
      <c r="F1446" s="1126"/>
      <c r="G1446" s="1127">
        <f t="shared" si="177"/>
        <v>400</v>
      </c>
      <c r="H1446" s="1127">
        <f>SUM(H1447:H1448)</f>
        <v>408.32000000000005</v>
      </c>
      <c r="I1446" s="1127">
        <f t="shared" si="178"/>
        <v>808.32</v>
      </c>
    </row>
    <row r="1447" spans="1:9" s="718" customFormat="1" ht="28.8" hidden="1" outlineLevel="2" x14ac:dyDescent="0.25">
      <c r="A1447" s="1123" t="s">
        <v>3386</v>
      </c>
      <c r="B1447" s="1330" t="s">
        <v>1327</v>
      </c>
      <c r="C1447" s="1026" t="s">
        <v>1110</v>
      </c>
      <c r="D1447" s="1099">
        <v>3.2000000000000002E-3</v>
      </c>
      <c r="E1447" s="1100">
        <v>0</v>
      </c>
      <c r="F1447" s="1331">
        <v>46000</v>
      </c>
      <c r="G1447" s="1096">
        <f>PRODUCT(E1446,D1446)</f>
        <v>400</v>
      </c>
      <c r="H1447" s="1103">
        <f t="shared" ref="H1447:H1448" si="180">D1447*F1447</f>
        <v>147.20000000000002</v>
      </c>
      <c r="I1447" s="1102">
        <f t="shared" ref="I1447:I1450" si="181">SUM(G1447:H1447)</f>
        <v>547.20000000000005</v>
      </c>
    </row>
    <row r="1448" spans="1:9" s="718" customFormat="1" ht="28.8" hidden="1" outlineLevel="2" x14ac:dyDescent="0.25">
      <c r="A1448" s="1123" t="s">
        <v>3387</v>
      </c>
      <c r="B1448" s="1330" t="s">
        <v>1936</v>
      </c>
      <c r="C1448" s="1026" t="s">
        <v>1110</v>
      </c>
      <c r="D1448" s="1099">
        <v>5.4400000000000004E-3</v>
      </c>
      <c r="E1448" s="1100">
        <v>0</v>
      </c>
      <c r="F1448" s="1331">
        <v>48000</v>
      </c>
      <c r="G1448" s="1096">
        <f>PRODUCT(E1447,D1447)</f>
        <v>0</v>
      </c>
      <c r="H1448" s="1103">
        <f t="shared" si="180"/>
        <v>261.12</v>
      </c>
      <c r="I1448" s="1102">
        <f t="shared" si="181"/>
        <v>261.12</v>
      </c>
    </row>
    <row r="1449" spans="1:9" s="705" customFormat="1" ht="14.4" hidden="1" outlineLevel="1" collapsed="1" x14ac:dyDescent="0.25">
      <c r="A1449" s="1123" t="s">
        <v>3388</v>
      </c>
      <c r="B1449" s="1124" t="s">
        <v>1937</v>
      </c>
      <c r="C1449" s="1125" t="s">
        <v>44</v>
      </c>
      <c r="D1449" s="1125">
        <v>1</v>
      </c>
      <c r="E1449" s="1126">
        <v>200</v>
      </c>
      <c r="F1449" s="1126"/>
      <c r="G1449" s="1127">
        <f t="shared" si="175"/>
        <v>200</v>
      </c>
      <c r="H1449" s="1127">
        <f>SUM(H1450)</f>
        <v>1503</v>
      </c>
      <c r="I1449" s="1127">
        <f t="shared" si="181"/>
        <v>1703</v>
      </c>
    </row>
    <row r="1450" spans="1:9" s="705" customFormat="1" ht="14.4" hidden="1" outlineLevel="2" x14ac:dyDescent="0.25">
      <c r="A1450" s="1123" t="s">
        <v>3389</v>
      </c>
      <c r="B1450" s="1124" t="s">
        <v>1938</v>
      </c>
      <c r="C1450" s="1125" t="s">
        <v>44</v>
      </c>
      <c r="D1450" s="1125">
        <v>1</v>
      </c>
      <c r="E1450" s="1126">
        <v>0</v>
      </c>
      <c r="F1450" s="1344">
        <v>1503</v>
      </c>
      <c r="G1450" s="1127">
        <f t="shared" si="175"/>
        <v>0</v>
      </c>
      <c r="H1450" s="1127">
        <f>PRODUCT(F1450,D1450)</f>
        <v>1503</v>
      </c>
      <c r="I1450" s="1127">
        <f t="shared" si="181"/>
        <v>1503</v>
      </c>
    </row>
    <row r="1451" spans="1:9" s="705" customFormat="1" ht="14.4" hidden="1" outlineLevel="1" collapsed="1" x14ac:dyDescent="0.25">
      <c r="A1451" s="1123" t="s">
        <v>3390</v>
      </c>
      <c r="B1451" s="1124" t="s">
        <v>1939</v>
      </c>
      <c r="C1451" s="1125" t="s">
        <v>44</v>
      </c>
      <c r="D1451" s="1125">
        <f>SUM(D1452:D1453)</f>
        <v>360</v>
      </c>
      <c r="E1451" s="1126">
        <v>100</v>
      </c>
      <c r="F1451" s="1126"/>
      <c r="G1451" s="1127">
        <f>PRODUCT(D1451:E1451)</f>
        <v>36000</v>
      </c>
      <c r="H1451" s="1127">
        <f>SUM(H1452:H1453)</f>
        <v>91047</v>
      </c>
      <c r="I1451" s="1127">
        <f>SUM(G1451:H1451)</f>
        <v>127047</v>
      </c>
    </row>
    <row r="1452" spans="1:9" s="705" customFormat="1" ht="14.4" hidden="1" outlineLevel="2" x14ac:dyDescent="0.25">
      <c r="A1452" s="1123" t="s">
        <v>3391</v>
      </c>
      <c r="B1452" s="1101" t="s">
        <v>1940</v>
      </c>
      <c r="C1452" s="1125" t="s">
        <v>44</v>
      </c>
      <c r="D1452" s="1125">
        <v>359</v>
      </c>
      <c r="E1452" s="1126">
        <v>0</v>
      </c>
      <c r="F1452" s="1126">
        <v>253</v>
      </c>
      <c r="G1452" s="1127">
        <f>PRODUCT(E1452,D1452)</f>
        <v>0</v>
      </c>
      <c r="H1452" s="1127">
        <f>PRODUCT(F1452,D1452)</f>
        <v>90827</v>
      </c>
      <c r="I1452" s="1127">
        <f t="shared" ref="I1452:I1455" si="182">SUM(G1452:H1452)</f>
        <v>90827</v>
      </c>
    </row>
    <row r="1453" spans="1:9" s="705" customFormat="1" ht="14.4" hidden="1" outlineLevel="2" x14ac:dyDescent="0.25">
      <c r="A1453" s="1123" t="s">
        <v>3392</v>
      </c>
      <c r="B1453" s="1101" t="s">
        <v>1941</v>
      </c>
      <c r="C1453" s="1125" t="s">
        <v>44</v>
      </c>
      <c r="D1453" s="1125">
        <v>1</v>
      </c>
      <c r="E1453" s="1126">
        <v>0</v>
      </c>
      <c r="F1453" s="1126">
        <v>220</v>
      </c>
      <c r="G1453" s="1127">
        <f>PRODUCT(E1453,D1453)</f>
        <v>0</v>
      </c>
      <c r="H1453" s="1127">
        <f>PRODUCT(F1453,D1453)</f>
        <v>220</v>
      </c>
      <c r="I1453" s="1127">
        <f t="shared" si="182"/>
        <v>220</v>
      </c>
    </row>
    <row r="1454" spans="1:9" s="705" customFormat="1" ht="14.4" hidden="1" outlineLevel="1" collapsed="1" x14ac:dyDescent="0.25">
      <c r="A1454" s="1123" t="s">
        <v>3393</v>
      </c>
      <c r="B1454" s="1124" t="s">
        <v>1942</v>
      </c>
      <c r="C1454" s="1125" t="s">
        <v>44</v>
      </c>
      <c r="D1454" s="1125">
        <v>4</v>
      </c>
      <c r="E1454" s="1126">
        <v>500</v>
      </c>
      <c r="F1454" s="1126"/>
      <c r="G1454" s="1127">
        <f>PRODUCT(E1454,D1454)</f>
        <v>2000</v>
      </c>
      <c r="H1454" s="1127">
        <f>SUM(H1455:H1455)</f>
        <v>869.76</v>
      </c>
      <c r="I1454" s="1127">
        <f>SUM(G1454:H1454)</f>
        <v>2869.76</v>
      </c>
    </row>
    <row r="1455" spans="1:9" s="705" customFormat="1" ht="14.4" hidden="1" outlineLevel="2" x14ac:dyDescent="0.25">
      <c r="A1455" s="1123" t="s">
        <v>3394</v>
      </c>
      <c r="B1455" s="1124" t="s">
        <v>1943</v>
      </c>
      <c r="C1455" s="1125" t="s">
        <v>44</v>
      </c>
      <c r="D1455" s="1125">
        <v>4</v>
      </c>
      <c r="E1455" s="1126">
        <v>0</v>
      </c>
      <c r="F1455" s="1126">
        <v>217.44</v>
      </c>
      <c r="G1455" s="1127">
        <f>PRODUCT(E1455,D1455)</f>
        <v>0</v>
      </c>
      <c r="H1455" s="1127">
        <f>PRODUCT(F1455,D1455)</f>
        <v>869.76</v>
      </c>
      <c r="I1455" s="1127">
        <f t="shared" si="182"/>
        <v>869.76</v>
      </c>
    </row>
    <row r="1456" spans="1:9" s="705" customFormat="1" ht="14.4" hidden="1" outlineLevel="1" collapsed="1" x14ac:dyDescent="0.25">
      <c r="A1456" s="1123" t="s">
        <v>3395</v>
      </c>
      <c r="B1456" s="1124" t="s">
        <v>1944</v>
      </c>
      <c r="C1456" s="1125" t="s">
        <v>43</v>
      </c>
      <c r="D1456" s="1125" t="s">
        <v>1945</v>
      </c>
      <c r="E1456" s="1126"/>
      <c r="F1456" s="1126"/>
      <c r="G1456" s="1127">
        <f>SUM(G1457:G1464)</f>
        <v>50435</v>
      </c>
      <c r="H1456" s="1127">
        <f>SUM(H1457:H1464)</f>
        <v>102130.33499999999</v>
      </c>
      <c r="I1456" s="1127">
        <f t="shared" ref="I1456:I1466" si="183">SUM(G1456:H1456)</f>
        <v>152565.33499999999</v>
      </c>
    </row>
    <row r="1457" spans="1:9" s="705" customFormat="1" ht="14.4" hidden="1" outlineLevel="2" x14ac:dyDescent="0.25">
      <c r="A1457" s="1123" t="s">
        <v>3396</v>
      </c>
      <c r="B1457" s="1124" t="s">
        <v>1946</v>
      </c>
      <c r="C1457" s="1125" t="s">
        <v>43</v>
      </c>
      <c r="D1457" s="1125">
        <v>144.1</v>
      </c>
      <c r="E1457" s="1126">
        <v>350</v>
      </c>
      <c r="F1457" s="1334">
        <v>524.75</v>
      </c>
      <c r="G1457" s="1127">
        <f>PRODUCT(E1457,D1457)</f>
        <v>50435</v>
      </c>
      <c r="H1457" s="1127">
        <f t="shared" ref="H1457:H1464" si="184">PRODUCT(F1457,D1457)</f>
        <v>75616.474999999991</v>
      </c>
      <c r="I1457" s="1127">
        <f t="shared" si="183"/>
        <v>126051.47499999999</v>
      </c>
    </row>
    <row r="1458" spans="1:9" s="705" customFormat="1" ht="14.4" hidden="1" outlineLevel="2" x14ac:dyDescent="0.25">
      <c r="A1458" s="1123" t="s">
        <v>3397</v>
      </c>
      <c r="B1458" s="1124" t="s">
        <v>1947</v>
      </c>
      <c r="C1458" s="1125" t="s">
        <v>44</v>
      </c>
      <c r="D1458" s="1125">
        <v>11</v>
      </c>
      <c r="E1458" s="1126">
        <v>0</v>
      </c>
      <c r="F1458" s="1345">
        <v>591.86</v>
      </c>
      <c r="G1458" s="1127">
        <f t="shared" ref="G1458:G1464" si="185">PRODUCT(E1458,D1458)</f>
        <v>0</v>
      </c>
      <c r="H1458" s="1127">
        <f t="shared" si="184"/>
        <v>6510.46</v>
      </c>
      <c r="I1458" s="1127">
        <f t="shared" si="183"/>
        <v>6510.46</v>
      </c>
    </row>
    <row r="1459" spans="1:9" s="705" customFormat="1" ht="14.4" hidden="1" outlineLevel="2" x14ac:dyDescent="0.25">
      <c r="A1459" s="1123" t="s">
        <v>3398</v>
      </c>
      <c r="B1459" s="1124" t="s">
        <v>1949</v>
      </c>
      <c r="C1459" s="1125" t="s">
        <v>44</v>
      </c>
      <c r="D1459" s="1125">
        <v>9</v>
      </c>
      <c r="E1459" s="1126">
        <v>0</v>
      </c>
      <c r="F1459" s="1345">
        <v>850.16</v>
      </c>
      <c r="G1459" s="1127">
        <f t="shared" si="185"/>
        <v>0</v>
      </c>
      <c r="H1459" s="1127">
        <f t="shared" si="184"/>
        <v>7651.44</v>
      </c>
      <c r="I1459" s="1127">
        <f t="shared" si="183"/>
        <v>7651.44</v>
      </c>
    </row>
    <row r="1460" spans="1:9" s="705" customFormat="1" ht="14.4" hidden="1" outlineLevel="2" x14ac:dyDescent="0.25">
      <c r="A1460" s="1123" t="s">
        <v>3399</v>
      </c>
      <c r="B1460" s="1124" t="s">
        <v>1951</v>
      </c>
      <c r="C1460" s="1125" t="s">
        <v>44</v>
      </c>
      <c r="D1460" s="1125">
        <v>9</v>
      </c>
      <c r="E1460" s="1126">
        <v>0</v>
      </c>
      <c r="F1460" s="1345">
        <v>563</v>
      </c>
      <c r="G1460" s="1127">
        <f t="shared" si="185"/>
        <v>0</v>
      </c>
      <c r="H1460" s="1127">
        <f t="shared" si="184"/>
        <v>5067</v>
      </c>
      <c r="I1460" s="1127">
        <f t="shared" si="183"/>
        <v>5067</v>
      </c>
    </row>
    <row r="1461" spans="1:9" s="705" customFormat="1" ht="14.4" hidden="1" outlineLevel="2" x14ac:dyDescent="0.25">
      <c r="A1461" s="1123" t="s">
        <v>3400</v>
      </c>
      <c r="B1461" s="1124" t="s">
        <v>1953</v>
      </c>
      <c r="C1461" s="1125" t="s">
        <v>44</v>
      </c>
      <c r="D1461" s="1125">
        <f>PRODUCT(D1459)</f>
        <v>9</v>
      </c>
      <c r="E1461" s="1126">
        <v>0</v>
      </c>
      <c r="F1461" s="1126">
        <v>18</v>
      </c>
      <c r="G1461" s="1127">
        <f t="shared" si="185"/>
        <v>0</v>
      </c>
      <c r="H1461" s="1127">
        <f t="shared" si="184"/>
        <v>162</v>
      </c>
      <c r="I1461" s="1127">
        <f t="shared" si="183"/>
        <v>162</v>
      </c>
    </row>
    <row r="1462" spans="1:9" s="705" customFormat="1" ht="14.4" hidden="1" outlineLevel="2" x14ac:dyDescent="0.25">
      <c r="A1462" s="1123" t="s">
        <v>3401</v>
      </c>
      <c r="B1462" s="1124" t="s">
        <v>1955</v>
      </c>
      <c r="C1462" s="1125" t="s">
        <v>44</v>
      </c>
      <c r="D1462" s="1125">
        <v>1</v>
      </c>
      <c r="E1462" s="1126">
        <v>0</v>
      </c>
      <c r="F1462" s="1126">
        <v>518.4</v>
      </c>
      <c r="G1462" s="1127">
        <f t="shared" si="185"/>
        <v>0</v>
      </c>
      <c r="H1462" s="1127">
        <f t="shared" si="184"/>
        <v>518.4</v>
      </c>
      <c r="I1462" s="1127">
        <f t="shared" si="183"/>
        <v>518.4</v>
      </c>
    </row>
    <row r="1463" spans="1:9" s="705" customFormat="1" ht="14.4" hidden="1" outlineLevel="2" x14ac:dyDescent="0.25">
      <c r="A1463" s="1123" t="s">
        <v>3402</v>
      </c>
      <c r="B1463" s="1124" t="s">
        <v>1888</v>
      </c>
      <c r="C1463" s="1125" t="s">
        <v>44</v>
      </c>
      <c r="D1463" s="1125">
        <f>PRODUCT(D1459,8)</f>
        <v>72</v>
      </c>
      <c r="E1463" s="1126">
        <v>0</v>
      </c>
      <c r="F1463" s="1126">
        <v>60.23</v>
      </c>
      <c r="G1463" s="1127">
        <f t="shared" si="185"/>
        <v>0</v>
      </c>
      <c r="H1463" s="1127">
        <f t="shared" si="184"/>
        <v>4336.5599999999995</v>
      </c>
      <c r="I1463" s="1127">
        <f t="shared" si="183"/>
        <v>4336.5599999999995</v>
      </c>
    </row>
    <row r="1464" spans="1:9" s="705" customFormat="1" ht="14.4" hidden="1" outlineLevel="2" x14ac:dyDescent="0.25">
      <c r="A1464" s="1123" t="s">
        <v>3403</v>
      </c>
      <c r="B1464" s="1124" t="s">
        <v>1319</v>
      </c>
      <c r="C1464" s="1125" t="s">
        <v>79</v>
      </c>
      <c r="D1464" s="1125">
        <v>20</v>
      </c>
      <c r="E1464" s="1126">
        <v>0</v>
      </c>
      <c r="F1464" s="1126">
        <v>113.4</v>
      </c>
      <c r="G1464" s="1127">
        <f t="shared" si="185"/>
        <v>0</v>
      </c>
      <c r="H1464" s="1127">
        <f t="shared" si="184"/>
        <v>2268</v>
      </c>
      <c r="I1464" s="1127">
        <f t="shared" si="183"/>
        <v>2268</v>
      </c>
    </row>
    <row r="1465" spans="1:9" s="705" customFormat="1" ht="14.4" hidden="1" outlineLevel="1" collapsed="1" x14ac:dyDescent="0.25">
      <c r="A1465" s="1123" t="s">
        <v>3404</v>
      </c>
      <c r="B1465" s="1124" t="s">
        <v>1958</v>
      </c>
      <c r="C1465" s="1125" t="s">
        <v>74</v>
      </c>
      <c r="D1465" s="1125">
        <v>49</v>
      </c>
      <c r="E1465" s="1126">
        <v>30</v>
      </c>
      <c r="F1465" s="1126"/>
      <c r="G1465" s="1127">
        <f>PRODUCT(E1465,D1465)</f>
        <v>1470</v>
      </c>
      <c r="H1465" s="1127">
        <f>SUM(H1466)</f>
        <v>360</v>
      </c>
      <c r="I1465" s="1127">
        <f t="shared" si="183"/>
        <v>1830</v>
      </c>
    </row>
    <row r="1466" spans="1:9" s="705" customFormat="1" ht="14.4" hidden="1" outlineLevel="2" x14ac:dyDescent="0.25">
      <c r="A1466" s="1123" t="s">
        <v>3405</v>
      </c>
      <c r="B1466" s="1124" t="s">
        <v>1959</v>
      </c>
      <c r="C1466" s="1125" t="s">
        <v>79</v>
      </c>
      <c r="D1466" s="1125">
        <v>3</v>
      </c>
      <c r="E1466" s="1126">
        <v>0</v>
      </c>
      <c r="F1466" s="1345">
        <v>120</v>
      </c>
      <c r="G1466" s="1127">
        <f>PRODUCT(E1466,D1466)</f>
        <v>0</v>
      </c>
      <c r="H1466" s="1127">
        <f>PRODUCT(F1466,D1466)</f>
        <v>360</v>
      </c>
      <c r="I1466" s="1127">
        <f t="shared" si="183"/>
        <v>360</v>
      </c>
    </row>
    <row r="1467" spans="1:9" s="705" customFormat="1" ht="14.4" hidden="1" outlineLevel="1" collapsed="1" x14ac:dyDescent="0.25">
      <c r="A1467" s="1123" t="s">
        <v>3406</v>
      </c>
      <c r="B1467" s="1124" t="s">
        <v>1960</v>
      </c>
      <c r="C1467" s="1125" t="s">
        <v>74</v>
      </c>
      <c r="D1467" s="1125">
        <v>49</v>
      </c>
      <c r="E1467" s="1126">
        <v>30</v>
      </c>
      <c r="F1467" s="1126"/>
      <c r="G1467" s="1127">
        <f>PRODUCT(E1467,D1467)</f>
        <v>1470</v>
      </c>
      <c r="H1467" s="1127">
        <f>SUM(H1468)</f>
        <v>1098</v>
      </c>
      <c r="I1467" s="1127">
        <f>SUM(G1467:H1467)</f>
        <v>2568</v>
      </c>
    </row>
    <row r="1468" spans="1:9" s="705" customFormat="1" ht="14.4" hidden="1" outlineLevel="2" x14ac:dyDescent="0.25">
      <c r="A1468" s="1123" t="s">
        <v>3407</v>
      </c>
      <c r="B1468" s="1124" t="s">
        <v>316</v>
      </c>
      <c r="C1468" s="1125" t="s">
        <v>79</v>
      </c>
      <c r="D1468" s="1125">
        <v>6</v>
      </c>
      <c r="E1468" s="1126">
        <v>0</v>
      </c>
      <c r="F1468" s="1345">
        <v>183</v>
      </c>
      <c r="G1468" s="1127">
        <f>PRODUCT(E1468,D1468)</f>
        <v>0</v>
      </c>
      <c r="H1468" s="1127">
        <f>PRODUCT(F1468,D1468)</f>
        <v>1098</v>
      </c>
      <c r="I1468" s="1127">
        <f>SUM(G1468:H1468)</f>
        <v>1098</v>
      </c>
    </row>
    <row r="1469" spans="1:9" s="705" customFormat="1" ht="14.4" hidden="1" outlineLevel="1" collapsed="1" x14ac:dyDescent="0.25">
      <c r="A1469" s="1123" t="s">
        <v>3408</v>
      </c>
      <c r="B1469" s="1124" t="s">
        <v>1961</v>
      </c>
      <c r="C1469" s="1125" t="s">
        <v>44</v>
      </c>
      <c r="D1469" s="1125">
        <f>SUM(D1476,D1474,D1472,D1471,D1470)</f>
        <v>5</v>
      </c>
      <c r="E1469" s="1126"/>
      <c r="F1469" s="1126"/>
      <c r="G1469" s="1127">
        <f>SUM(G1470:G1476)</f>
        <v>2500</v>
      </c>
      <c r="H1469" s="1127">
        <f>SUM(H1470:H1476)</f>
        <v>11538.68</v>
      </c>
      <c r="I1469" s="1127">
        <f t="shared" ref="I1469:I1478" si="186">SUM(G1469:H1469)</f>
        <v>14038.68</v>
      </c>
    </row>
    <row r="1470" spans="1:9" s="705" customFormat="1" ht="14.4" hidden="1" outlineLevel="2" x14ac:dyDescent="0.25">
      <c r="A1470" s="1123" t="s">
        <v>3409</v>
      </c>
      <c r="B1470" s="1124" t="s">
        <v>1962</v>
      </c>
      <c r="C1470" s="1125" t="s">
        <v>44</v>
      </c>
      <c r="D1470" s="1125">
        <v>1</v>
      </c>
      <c r="E1470" s="1126">
        <v>500</v>
      </c>
      <c r="F1470" s="1126">
        <v>2705.08</v>
      </c>
      <c r="G1470" s="1127">
        <f t="shared" ref="G1470:G1476" si="187">PRODUCT(E1470,D1470)</f>
        <v>500</v>
      </c>
      <c r="H1470" s="1127">
        <f t="shared" ref="H1470:H1476" si="188">PRODUCT(F1470,D1470)</f>
        <v>2705.08</v>
      </c>
      <c r="I1470" s="1127">
        <f t="shared" si="186"/>
        <v>3205.08</v>
      </c>
    </row>
    <row r="1471" spans="1:9" s="705" customFormat="1" ht="14.4" hidden="1" outlineLevel="2" x14ac:dyDescent="0.25">
      <c r="A1471" s="1123" t="s">
        <v>3410</v>
      </c>
      <c r="B1471" s="1124" t="s">
        <v>1963</v>
      </c>
      <c r="C1471" s="1125" t="s">
        <v>44</v>
      </c>
      <c r="D1471" s="1125">
        <v>1</v>
      </c>
      <c r="E1471" s="1126">
        <v>500</v>
      </c>
      <c r="F1471" s="1126">
        <v>1544.75</v>
      </c>
      <c r="G1471" s="1127">
        <f t="shared" si="187"/>
        <v>500</v>
      </c>
      <c r="H1471" s="1127">
        <f t="shared" si="188"/>
        <v>1544.75</v>
      </c>
      <c r="I1471" s="1127">
        <f t="shared" si="186"/>
        <v>2044.75</v>
      </c>
    </row>
    <row r="1472" spans="1:9" s="705" customFormat="1" ht="14.4" hidden="1" outlineLevel="2" x14ac:dyDescent="0.25">
      <c r="A1472" s="1123" t="s">
        <v>3411</v>
      </c>
      <c r="B1472" s="1124" t="s">
        <v>1964</v>
      </c>
      <c r="C1472" s="1125" t="s">
        <v>44</v>
      </c>
      <c r="D1472" s="1125">
        <v>1</v>
      </c>
      <c r="E1472" s="1126">
        <v>1000</v>
      </c>
      <c r="F1472" s="1126">
        <v>2855.59</v>
      </c>
      <c r="G1472" s="1127">
        <f t="shared" si="187"/>
        <v>1000</v>
      </c>
      <c r="H1472" s="1127">
        <f t="shared" si="188"/>
        <v>2855.59</v>
      </c>
      <c r="I1472" s="1127">
        <f t="shared" si="186"/>
        <v>3855.59</v>
      </c>
    </row>
    <row r="1473" spans="1:20" s="705" customFormat="1" ht="14.4" hidden="1" outlineLevel="2" x14ac:dyDescent="0.25">
      <c r="A1473" s="1123" t="s">
        <v>3412</v>
      </c>
      <c r="B1473" s="1124" t="s">
        <v>1965</v>
      </c>
      <c r="C1473" s="1125" t="s">
        <v>44</v>
      </c>
      <c r="D1473" s="1125">
        <v>1</v>
      </c>
      <c r="E1473" s="1126">
        <v>0</v>
      </c>
      <c r="F1473" s="1126">
        <v>105.77</v>
      </c>
      <c r="G1473" s="1127">
        <f t="shared" si="187"/>
        <v>0</v>
      </c>
      <c r="H1473" s="1127">
        <f t="shared" si="188"/>
        <v>105.77</v>
      </c>
      <c r="I1473" s="1127">
        <f t="shared" si="186"/>
        <v>105.77</v>
      </c>
    </row>
    <row r="1474" spans="1:20" s="705" customFormat="1" ht="14.4" hidden="1" outlineLevel="2" x14ac:dyDescent="0.25">
      <c r="A1474" s="1123" t="s">
        <v>3413</v>
      </c>
      <c r="B1474" s="1124" t="s">
        <v>1966</v>
      </c>
      <c r="C1474" s="1125" t="s">
        <v>44</v>
      </c>
      <c r="D1474" s="1125">
        <v>1</v>
      </c>
      <c r="E1474" s="1126">
        <v>500</v>
      </c>
      <c r="F1474" s="1126">
        <v>1057.6300000000001</v>
      </c>
      <c r="G1474" s="1127">
        <f t="shared" si="187"/>
        <v>500</v>
      </c>
      <c r="H1474" s="1127">
        <f t="shared" si="188"/>
        <v>1057.6300000000001</v>
      </c>
      <c r="I1474" s="1127">
        <f t="shared" si="186"/>
        <v>1557.63</v>
      </c>
    </row>
    <row r="1475" spans="1:20" s="705" customFormat="1" ht="14.4" hidden="1" outlineLevel="2" x14ac:dyDescent="0.25">
      <c r="A1475" s="1123" t="s">
        <v>3414</v>
      </c>
      <c r="B1475" s="1124" t="s">
        <v>1968</v>
      </c>
      <c r="C1475" s="1125" t="s">
        <v>44</v>
      </c>
      <c r="D1475" s="1125">
        <v>1</v>
      </c>
      <c r="E1475" s="1126">
        <v>0</v>
      </c>
      <c r="F1475" s="1126">
        <v>173.9</v>
      </c>
      <c r="G1475" s="1127">
        <f t="shared" si="187"/>
        <v>0</v>
      </c>
      <c r="H1475" s="1127">
        <f t="shared" si="188"/>
        <v>173.9</v>
      </c>
      <c r="I1475" s="1127">
        <f t="shared" si="186"/>
        <v>173.9</v>
      </c>
    </row>
    <row r="1476" spans="1:20" s="705" customFormat="1" ht="14.4" hidden="1" outlineLevel="2" x14ac:dyDescent="0.25">
      <c r="A1476" s="1123" t="s">
        <v>3415</v>
      </c>
      <c r="B1476" s="1124" t="s">
        <v>1970</v>
      </c>
      <c r="C1476" s="1125" t="s">
        <v>44</v>
      </c>
      <c r="D1476" s="1125">
        <v>1</v>
      </c>
      <c r="E1476" s="1126">
        <v>0</v>
      </c>
      <c r="F1476" s="1126">
        <v>3095.96</v>
      </c>
      <c r="G1476" s="1127">
        <f t="shared" si="187"/>
        <v>0</v>
      </c>
      <c r="H1476" s="1127">
        <f t="shared" si="188"/>
        <v>3095.96</v>
      </c>
      <c r="I1476" s="1127">
        <f t="shared" si="186"/>
        <v>3095.96</v>
      </c>
    </row>
    <row r="1477" spans="1:20" s="705" customFormat="1" ht="14.4" hidden="1" outlineLevel="1" collapsed="1" x14ac:dyDescent="0.25">
      <c r="A1477" s="1123" t="s">
        <v>3416</v>
      </c>
      <c r="B1477" s="1124" t="s">
        <v>1611</v>
      </c>
      <c r="C1477" s="1125" t="s">
        <v>96</v>
      </c>
      <c r="D1477" s="1125">
        <v>408</v>
      </c>
      <c r="E1477" s="1126">
        <v>50</v>
      </c>
      <c r="F1477" s="1126"/>
      <c r="G1477" s="1127">
        <f>PRODUCT(D1477:E1477)</f>
        <v>20400</v>
      </c>
      <c r="H1477" s="1127">
        <f>SUM(H1478)</f>
        <v>46875</v>
      </c>
      <c r="I1477" s="1127">
        <f t="shared" si="186"/>
        <v>67275</v>
      </c>
    </row>
    <row r="1478" spans="1:20" s="705" customFormat="1" ht="14.4" hidden="1" outlineLevel="2" x14ac:dyDescent="0.25">
      <c r="A1478" s="1123" t="s">
        <v>3417</v>
      </c>
      <c r="B1478" s="1124" t="s">
        <v>1971</v>
      </c>
      <c r="C1478" s="1125" t="s">
        <v>96</v>
      </c>
      <c r="D1478" s="1125">
        <v>25</v>
      </c>
      <c r="E1478" s="1126">
        <v>0</v>
      </c>
      <c r="F1478" s="1126">
        <v>1875</v>
      </c>
      <c r="G1478" s="1127">
        <f>PRODUCT(D1478:E1478)</f>
        <v>0</v>
      </c>
      <c r="H1478" s="1127">
        <f>PRODUCT(F1478,D1478)</f>
        <v>46875</v>
      </c>
      <c r="I1478" s="1127">
        <f t="shared" si="186"/>
        <v>46875</v>
      </c>
    </row>
    <row r="1479" spans="1:20" s="705" customFormat="1" ht="14.4" hidden="1" outlineLevel="1" x14ac:dyDescent="0.25">
      <c r="A1479" s="1123" t="s">
        <v>3418</v>
      </c>
      <c r="B1479" s="1098" t="s">
        <v>1972</v>
      </c>
      <c r="C1479" s="956" t="s">
        <v>1973</v>
      </c>
      <c r="D1479" s="956">
        <v>1</v>
      </c>
      <c r="E1479" s="1424" t="s">
        <v>1974</v>
      </c>
      <c r="F1479" s="1425"/>
      <c r="G1479" s="1425"/>
      <c r="H1479" s="1425"/>
      <c r="I1479" s="1426"/>
    </row>
    <row r="1480" spans="1:20" s="705" customFormat="1" ht="14.4" hidden="1" outlineLevel="1" x14ac:dyDescent="0.25">
      <c r="A1480" s="1123" t="s">
        <v>3419</v>
      </c>
      <c r="B1480" s="1098" t="s">
        <v>1975</v>
      </c>
      <c r="C1480" s="956" t="s">
        <v>1973</v>
      </c>
      <c r="D1480" s="956">
        <v>1</v>
      </c>
      <c r="E1480" s="1427"/>
      <c r="F1480" s="1428"/>
      <c r="G1480" s="1428"/>
      <c r="H1480" s="1428"/>
      <c r="I1480" s="1429"/>
    </row>
    <row r="1481" spans="1:20" collapsed="1" x14ac:dyDescent="0.3">
      <c r="A1481" s="1033" t="s">
        <v>3420</v>
      </c>
      <c r="B1481" s="1013" t="s">
        <v>1021</v>
      </c>
      <c r="C1481" s="1014"/>
      <c r="D1481" s="1014"/>
      <c r="E1481" s="1015"/>
      <c r="F1481" s="1015"/>
      <c r="G1481" s="1040">
        <f>G1559+G1580</f>
        <v>6998442.959999999</v>
      </c>
      <c r="H1481" s="1040">
        <f>H1559+H1580</f>
        <v>2398961.75</v>
      </c>
      <c r="I1481" s="1040">
        <f>I1559+I1580</f>
        <v>9397404.7099999972</v>
      </c>
    </row>
    <row r="1482" spans="1:20" hidden="1" outlineLevel="1" x14ac:dyDescent="0.3">
      <c r="A1482" s="1035" t="s">
        <v>3421</v>
      </c>
      <c r="B1482" s="184" t="s">
        <v>763</v>
      </c>
      <c r="C1482" s="185" t="s">
        <v>764</v>
      </c>
      <c r="D1482" s="186">
        <v>87</v>
      </c>
      <c r="E1482" s="185">
        <v>210</v>
      </c>
      <c r="F1482" s="187">
        <v>371.4</v>
      </c>
      <c r="G1482" s="1041">
        <f>D1482*F1482</f>
        <v>32311.8</v>
      </c>
      <c r="H1482" s="1042">
        <f>D1482*E1482</f>
        <v>18270</v>
      </c>
      <c r="I1482" s="1043">
        <f>G1482+H1482</f>
        <v>50581.8</v>
      </c>
      <c r="J1482" s="37"/>
      <c r="K1482" s="37"/>
      <c r="L1482" s="190"/>
      <c r="M1482" s="190"/>
      <c r="N1482" s="190"/>
      <c r="Q1482" s="190"/>
    </row>
    <row r="1483" spans="1:20" hidden="1" outlineLevel="1" x14ac:dyDescent="0.3">
      <c r="A1483" s="1035" t="s">
        <v>3422</v>
      </c>
      <c r="B1483" s="184" t="s">
        <v>765</v>
      </c>
      <c r="C1483" s="185" t="s">
        <v>764</v>
      </c>
      <c r="D1483" s="186">
        <v>148</v>
      </c>
      <c r="E1483" s="185">
        <v>175</v>
      </c>
      <c r="F1483" s="187">
        <v>311.98</v>
      </c>
      <c r="G1483" s="1041">
        <f t="shared" ref="G1483:G1546" si="189">D1483*F1483</f>
        <v>46173.04</v>
      </c>
      <c r="H1483" s="1042">
        <f t="shared" ref="H1483:H1544" si="190">D1483*E1483</f>
        <v>25900</v>
      </c>
      <c r="I1483" s="1043">
        <f t="shared" ref="I1483:I1546" si="191">G1483+H1483</f>
        <v>72073.040000000008</v>
      </c>
      <c r="J1483" s="37"/>
      <c r="K1483" s="37"/>
      <c r="L1483" s="190"/>
      <c r="M1483" s="190"/>
      <c r="N1483" s="190"/>
      <c r="Q1483" s="190"/>
      <c r="T1483" s="190"/>
    </row>
    <row r="1484" spans="1:20" hidden="1" outlineLevel="1" x14ac:dyDescent="0.3">
      <c r="A1484" s="1035" t="s">
        <v>3423</v>
      </c>
      <c r="B1484" s="184" t="s">
        <v>766</v>
      </c>
      <c r="C1484" s="185" t="s">
        <v>764</v>
      </c>
      <c r="D1484" s="186">
        <v>1524</v>
      </c>
      <c r="E1484" s="185">
        <v>210</v>
      </c>
      <c r="F1484" s="187">
        <v>371.4</v>
      </c>
      <c r="G1484" s="1041">
        <f t="shared" si="189"/>
        <v>566013.6</v>
      </c>
      <c r="H1484" s="1042">
        <f t="shared" si="190"/>
        <v>320040</v>
      </c>
      <c r="I1484" s="1043">
        <f t="shared" si="191"/>
        <v>886053.6</v>
      </c>
      <c r="J1484" s="37"/>
      <c r="K1484" s="37"/>
      <c r="L1484" s="190"/>
      <c r="M1484" s="190"/>
      <c r="N1484" s="190"/>
      <c r="Q1484" s="190"/>
      <c r="T1484" s="190"/>
    </row>
    <row r="1485" spans="1:20" hidden="1" outlineLevel="1" x14ac:dyDescent="0.3">
      <c r="A1485" s="1035" t="s">
        <v>3424</v>
      </c>
      <c r="B1485" s="184" t="s">
        <v>767</v>
      </c>
      <c r="C1485" s="185" t="s">
        <v>764</v>
      </c>
      <c r="D1485" s="186">
        <v>80</v>
      </c>
      <c r="E1485" s="185">
        <v>245</v>
      </c>
      <c r="F1485" s="187">
        <v>435.78</v>
      </c>
      <c r="G1485" s="1041">
        <f t="shared" si="189"/>
        <v>34862.399999999994</v>
      </c>
      <c r="H1485" s="1042">
        <f t="shared" si="190"/>
        <v>19600</v>
      </c>
      <c r="I1485" s="1043">
        <f t="shared" si="191"/>
        <v>54462.399999999994</v>
      </c>
      <c r="J1485" s="37"/>
      <c r="K1485" s="37"/>
      <c r="L1485" s="190"/>
      <c r="M1485" s="190"/>
      <c r="N1485" s="190"/>
      <c r="Q1485" s="190"/>
      <c r="T1485" s="190"/>
    </row>
    <row r="1486" spans="1:20" hidden="1" outlineLevel="1" x14ac:dyDescent="0.3">
      <c r="A1486" s="1035" t="s">
        <v>3425</v>
      </c>
      <c r="B1486" s="184" t="s">
        <v>768</v>
      </c>
      <c r="C1486" s="185" t="s">
        <v>764</v>
      </c>
      <c r="D1486" s="186">
        <v>140</v>
      </c>
      <c r="E1486" s="185">
        <v>280</v>
      </c>
      <c r="F1486" s="187">
        <v>495.2</v>
      </c>
      <c r="G1486" s="1041">
        <f t="shared" si="189"/>
        <v>69328</v>
      </c>
      <c r="H1486" s="1042">
        <f t="shared" si="190"/>
        <v>39200</v>
      </c>
      <c r="I1486" s="1043">
        <f t="shared" si="191"/>
        <v>108528</v>
      </c>
      <c r="J1486" s="37"/>
      <c r="K1486" s="37"/>
      <c r="L1486" s="190"/>
      <c r="M1486" s="190"/>
      <c r="N1486" s="190"/>
      <c r="Q1486" s="190"/>
      <c r="T1486" s="190"/>
    </row>
    <row r="1487" spans="1:20" hidden="1" outlineLevel="1" x14ac:dyDescent="0.3">
      <c r="A1487" s="1035" t="s">
        <v>3426</v>
      </c>
      <c r="B1487" s="184" t="s">
        <v>769</v>
      </c>
      <c r="C1487" s="185" t="s">
        <v>764</v>
      </c>
      <c r="D1487" s="186">
        <v>342</v>
      </c>
      <c r="E1487" s="185">
        <v>350</v>
      </c>
      <c r="F1487" s="187">
        <v>608</v>
      </c>
      <c r="G1487" s="1041">
        <f t="shared" si="189"/>
        <v>207936</v>
      </c>
      <c r="H1487" s="1042">
        <f t="shared" si="190"/>
        <v>119700</v>
      </c>
      <c r="I1487" s="1043">
        <f t="shared" si="191"/>
        <v>327636</v>
      </c>
      <c r="J1487" s="37"/>
      <c r="K1487" s="37"/>
      <c r="L1487" s="190"/>
      <c r="M1487" s="190"/>
      <c r="N1487" s="190"/>
      <c r="Q1487" s="190"/>
      <c r="T1487" s="190"/>
    </row>
    <row r="1488" spans="1:20" hidden="1" outlineLevel="1" x14ac:dyDescent="0.3">
      <c r="A1488" s="1035" t="s">
        <v>3427</v>
      </c>
      <c r="B1488" s="184" t="s">
        <v>770</v>
      </c>
      <c r="C1488" s="185" t="s">
        <v>764</v>
      </c>
      <c r="D1488" s="186">
        <v>170</v>
      </c>
      <c r="E1488" s="185">
        <v>420</v>
      </c>
      <c r="F1488" s="187">
        <v>742.8</v>
      </c>
      <c r="G1488" s="1041">
        <f t="shared" si="189"/>
        <v>126275.99999999999</v>
      </c>
      <c r="H1488" s="1042">
        <f t="shared" si="190"/>
        <v>71400</v>
      </c>
      <c r="I1488" s="1043">
        <f t="shared" si="191"/>
        <v>197676</v>
      </c>
      <c r="J1488" s="37"/>
      <c r="K1488" s="37"/>
      <c r="L1488" s="190"/>
      <c r="M1488" s="190"/>
      <c r="N1488" s="190"/>
      <c r="Q1488" s="190"/>
      <c r="T1488" s="190"/>
    </row>
    <row r="1489" spans="1:20" hidden="1" outlineLevel="1" x14ac:dyDescent="0.3">
      <c r="A1489" s="1035" t="s">
        <v>3428</v>
      </c>
      <c r="B1489" s="184" t="s">
        <v>771</v>
      </c>
      <c r="C1489" s="185" t="s">
        <v>764</v>
      </c>
      <c r="D1489" s="186">
        <v>174</v>
      </c>
      <c r="E1489" s="185">
        <v>385</v>
      </c>
      <c r="F1489" s="187">
        <v>675.4</v>
      </c>
      <c r="G1489" s="1041">
        <f t="shared" si="189"/>
        <v>117519.59999999999</v>
      </c>
      <c r="H1489" s="1042">
        <f t="shared" si="190"/>
        <v>66990</v>
      </c>
      <c r="I1489" s="1043">
        <f t="shared" si="191"/>
        <v>184509.59999999998</v>
      </c>
      <c r="J1489" s="37"/>
      <c r="K1489" s="37"/>
      <c r="L1489" s="190"/>
      <c r="M1489" s="190"/>
      <c r="N1489" s="190"/>
      <c r="Q1489" s="190"/>
      <c r="T1489" s="190"/>
    </row>
    <row r="1490" spans="1:20" hidden="1" outlineLevel="1" x14ac:dyDescent="0.3">
      <c r="A1490" s="1035" t="s">
        <v>3429</v>
      </c>
      <c r="B1490" s="184" t="s">
        <v>772</v>
      </c>
      <c r="C1490" s="185" t="s">
        <v>764</v>
      </c>
      <c r="D1490" s="186">
        <v>248</v>
      </c>
      <c r="E1490" s="185">
        <v>420</v>
      </c>
      <c r="F1490" s="187">
        <v>742.8</v>
      </c>
      <c r="G1490" s="1041">
        <f t="shared" si="189"/>
        <v>184214.39999999999</v>
      </c>
      <c r="H1490" s="1042">
        <f t="shared" si="190"/>
        <v>104160</v>
      </c>
      <c r="I1490" s="1043">
        <f t="shared" si="191"/>
        <v>288374.40000000002</v>
      </c>
      <c r="J1490" s="37"/>
      <c r="K1490" s="37"/>
      <c r="L1490" s="190"/>
      <c r="M1490" s="190"/>
      <c r="N1490" s="190"/>
      <c r="Q1490" s="190"/>
      <c r="T1490" s="190"/>
    </row>
    <row r="1491" spans="1:20" hidden="1" outlineLevel="1" x14ac:dyDescent="0.3">
      <c r="A1491" s="1035" t="s">
        <v>3430</v>
      </c>
      <c r="B1491" s="184" t="s">
        <v>773</v>
      </c>
      <c r="C1491" s="185" t="s">
        <v>764</v>
      </c>
      <c r="D1491" s="186">
        <v>21</v>
      </c>
      <c r="E1491" s="185">
        <v>455</v>
      </c>
      <c r="F1491" s="187">
        <v>807.18</v>
      </c>
      <c r="G1491" s="1041">
        <f t="shared" si="189"/>
        <v>16950.78</v>
      </c>
      <c r="H1491" s="1042">
        <f t="shared" si="190"/>
        <v>9555</v>
      </c>
      <c r="I1491" s="1043">
        <f t="shared" si="191"/>
        <v>26505.78</v>
      </c>
      <c r="J1491" s="37"/>
      <c r="K1491" s="37"/>
      <c r="L1491" s="190"/>
      <c r="M1491" s="190"/>
      <c r="N1491" s="190"/>
      <c r="Q1491" s="190"/>
      <c r="T1491" s="190"/>
    </row>
    <row r="1492" spans="1:20" hidden="1" outlineLevel="1" x14ac:dyDescent="0.3">
      <c r="A1492" s="1035" t="s">
        <v>3431</v>
      </c>
      <c r="B1492" s="184" t="s">
        <v>774</v>
      </c>
      <c r="C1492" s="185" t="s">
        <v>764</v>
      </c>
      <c r="D1492" s="186">
        <v>43</v>
      </c>
      <c r="E1492" s="185">
        <v>490</v>
      </c>
      <c r="F1492" s="187">
        <v>866.6</v>
      </c>
      <c r="G1492" s="1041">
        <f t="shared" si="189"/>
        <v>37263.800000000003</v>
      </c>
      <c r="H1492" s="1042">
        <f t="shared" si="190"/>
        <v>21070</v>
      </c>
      <c r="I1492" s="1043">
        <f t="shared" si="191"/>
        <v>58333.8</v>
      </c>
      <c r="J1492" s="37"/>
      <c r="K1492" s="37"/>
      <c r="L1492" s="190"/>
      <c r="M1492" s="190"/>
      <c r="N1492" s="190"/>
      <c r="Q1492" s="190"/>
      <c r="T1492" s="190"/>
    </row>
    <row r="1493" spans="1:20" hidden="1" outlineLevel="1" x14ac:dyDescent="0.3">
      <c r="A1493" s="1035" t="s">
        <v>3432</v>
      </c>
      <c r="B1493" s="184" t="s">
        <v>775</v>
      </c>
      <c r="C1493" s="185" t="s">
        <v>764</v>
      </c>
      <c r="D1493" s="186">
        <v>21</v>
      </c>
      <c r="E1493" s="185">
        <v>630</v>
      </c>
      <c r="F1493" s="187">
        <v>1114.2</v>
      </c>
      <c r="G1493" s="1041">
        <f t="shared" si="189"/>
        <v>23398.2</v>
      </c>
      <c r="H1493" s="1042">
        <f t="shared" si="190"/>
        <v>13230</v>
      </c>
      <c r="I1493" s="1043">
        <f t="shared" si="191"/>
        <v>36628.199999999997</v>
      </c>
      <c r="J1493" s="37"/>
      <c r="K1493" s="37"/>
      <c r="L1493" s="190"/>
      <c r="M1493" s="190"/>
      <c r="N1493" s="190"/>
      <c r="Q1493" s="190"/>
      <c r="T1493" s="190"/>
    </row>
    <row r="1494" spans="1:20" hidden="1" outlineLevel="1" x14ac:dyDescent="0.3">
      <c r="A1494" s="1035" t="s">
        <v>3433</v>
      </c>
      <c r="B1494" s="184" t="s">
        <v>776</v>
      </c>
      <c r="C1494" s="185" t="s">
        <v>764</v>
      </c>
      <c r="D1494" s="186">
        <v>111</v>
      </c>
      <c r="E1494" s="185">
        <v>560</v>
      </c>
      <c r="F1494" s="187">
        <v>990.4</v>
      </c>
      <c r="G1494" s="1041">
        <f t="shared" si="189"/>
        <v>109934.39999999999</v>
      </c>
      <c r="H1494" s="1042">
        <f t="shared" si="190"/>
        <v>62160</v>
      </c>
      <c r="I1494" s="1043">
        <f t="shared" si="191"/>
        <v>172094.4</v>
      </c>
      <c r="J1494" s="37"/>
      <c r="K1494" s="37"/>
      <c r="L1494" s="190"/>
      <c r="M1494" s="190"/>
      <c r="N1494" s="190"/>
      <c r="Q1494" s="190"/>
      <c r="T1494" s="190"/>
    </row>
    <row r="1495" spans="1:20" hidden="1" outlineLevel="1" x14ac:dyDescent="0.3">
      <c r="A1495" s="1035" t="s">
        <v>3434</v>
      </c>
      <c r="B1495" s="184" t="s">
        <v>777</v>
      </c>
      <c r="C1495" s="185" t="s">
        <v>764</v>
      </c>
      <c r="D1495" s="186">
        <v>192</v>
      </c>
      <c r="E1495" s="185">
        <v>595</v>
      </c>
      <c r="F1495" s="187">
        <v>1114.2</v>
      </c>
      <c r="G1495" s="1041">
        <f t="shared" si="189"/>
        <v>213926.40000000002</v>
      </c>
      <c r="H1495" s="1042">
        <f t="shared" si="190"/>
        <v>114240</v>
      </c>
      <c r="I1495" s="1043">
        <f t="shared" si="191"/>
        <v>328166.40000000002</v>
      </c>
      <c r="J1495" s="37"/>
      <c r="K1495" s="37"/>
      <c r="L1495" s="190"/>
      <c r="M1495" s="190"/>
      <c r="N1495" s="190"/>
      <c r="Q1495" s="190"/>
      <c r="T1495" s="190"/>
    </row>
    <row r="1496" spans="1:20" hidden="1" outlineLevel="1" x14ac:dyDescent="0.3">
      <c r="A1496" s="1035" t="s">
        <v>3435</v>
      </c>
      <c r="B1496" s="184" t="s">
        <v>778</v>
      </c>
      <c r="C1496" s="185" t="s">
        <v>764</v>
      </c>
      <c r="D1496" s="186">
        <v>233</v>
      </c>
      <c r="E1496" s="185">
        <v>560</v>
      </c>
      <c r="F1496" s="187">
        <v>979.4</v>
      </c>
      <c r="G1496" s="1041">
        <f t="shared" si="189"/>
        <v>228200.19999999998</v>
      </c>
      <c r="H1496" s="1042">
        <f t="shared" si="190"/>
        <v>130480</v>
      </c>
      <c r="I1496" s="1043">
        <f t="shared" si="191"/>
        <v>358680.19999999995</v>
      </c>
      <c r="J1496" s="37"/>
      <c r="K1496" s="37"/>
      <c r="L1496" s="190"/>
      <c r="M1496" s="190"/>
      <c r="N1496" s="190"/>
      <c r="Q1496" s="190"/>
      <c r="T1496" s="190"/>
    </row>
    <row r="1497" spans="1:20" hidden="1" outlineLevel="1" x14ac:dyDescent="0.3">
      <c r="A1497" s="1035" t="s">
        <v>3436</v>
      </c>
      <c r="B1497" s="184" t="s">
        <v>779</v>
      </c>
      <c r="C1497" s="185" t="s">
        <v>764</v>
      </c>
      <c r="D1497" s="186">
        <v>21</v>
      </c>
      <c r="E1497" s="185">
        <v>630</v>
      </c>
      <c r="F1497" s="187">
        <v>1114.2</v>
      </c>
      <c r="G1497" s="1041">
        <f t="shared" si="189"/>
        <v>23398.2</v>
      </c>
      <c r="H1497" s="1042">
        <f t="shared" si="190"/>
        <v>13230</v>
      </c>
      <c r="I1497" s="1043">
        <f t="shared" si="191"/>
        <v>36628.199999999997</v>
      </c>
      <c r="J1497" s="37"/>
      <c r="K1497" s="37"/>
      <c r="L1497" s="190"/>
      <c r="M1497" s="190"/>
      <c r="N1497" s="190"/>
      <c r="Q1497" s="190"/>
      <c r="T1497" s="190"/>
    </row>
    <row r="1498" spans="1:20" hidden="1" outlineLevel="1" x14ac:dyDescent="0.3">
      <c r="A1498" s="1035" t="s">
        <v>3437</v>
      </c>
      <c r="B1498" s="184" t="s">
        <v>780</v>
      </c>
      <c r="C1498" s="185" t="s">
        <v>764</v>
      </c>
      <c r="D1498" s="186">
        <v>42</v>
      </c>
      <c r="E1498" s="185">
        <v>665</v>
      </c>
      <c r="F1498" s="187">
        <v>1170.5999999999999</v>
      </c>
      <c r="G1498" s="1041">
        <f t="shared" si="189"/>
        <v>49165.2</v>
      </c>
      <c r="H1498" s="1042">
        <f t="shared" si="190"/>
        <v>27930</v>
      </c>
      <c r="I1498" s="1043">
        <f t="shared" si="191"/>
        <v>77095.199999999997</v>
      </c>
      <c r="J1498" s="37"/>
      <c r="K1498" s="37"/>
      <c r="L1498" s="190"/>
      <c r="M1498" s="190"/>
      <c r="N1498" s="190"/>
      <c r="Q1498" s="190"/>
      <c r="T1498" s="190"/>
    </row>
    <row r="1499" spans="1:20" hidden="1" outlineLevel="1" x14ac:dyDescent="0.3">
      <c r="A1499" s="1035" t="s">
        <v>3438</v>
      </c>
      <c r="B1499" s="184" t="s">
        <v>781</v>
      </c>
      <c r="C1499" s="185" t="s">
        <v>764</v>
      </c>
      <c r="D1499" s="186">
        <v>3</v>
      </c>
      <c r="E1499" s="185">
        <v>450</v>
      </c>
      <c r="F1499" s="187">
        <v>608</v>
      </c>
      <c r="G1499" s="1041">
        <f t="shared" si="189"/>
        <v>1824</v>
      </c>
      <c r="H1499" s="1042">
        <f t="shared" si="190"/>
        <v>1350</v>
      </c>
      <c r="I1499" s="1043">
        <f t="shared" si="191"/>
        <v>3174</v>
      </c>
      <c r="J1499" s="37"/>
      <c r="K1499" s="37"/>
      <c r="L1499" s="190"/>
      <c r="M1499" s="190"/>
      <c r="N1499" s="190"/>
      <c r="Q1499" s="190"/>
      <c r="T1499" s="190"/>
    </row>
    <row r="1500" spans="1:20" hidden="1" outlineLevel="1" x14ac:dyDescent="0.3">
      <c r="A1500" s="1035" t="s">
        <v>3439</v>
      </c>
      <c r="B1500" s="184" t="s">
        <v>777</v>
      </c>
      <c r="C1500" s="185" t="s">
        <v>764</v>
      </c>
      <c r="D1500" s="186">
        <v>250</v>
      </c>
      <c r="E1500" s="185">
        <v>810</v>
      </c>
      <c r="F1500" s="187">
        <v>1114.2</v>
      </c>
      <c r="G1500" s="1041">
        <f t="shared" si="189"/>
        <v>278550</v>
      </c>
      <c r="H1500" s="1042">
        <f t="shared" si="190"/>
        <v>202500</v>
      </c>
      <c r="I1500" s="1043">
        <f t="shared" si="191"/>
        <v>481050</v>
      </c>
      <c r="J1500" s="37"/>
      <c r="K1500" s="37"/>
      <c r="L1500" s="190"/>
      <c r="M1500" s="190"/>
      <c r="N1500" s="190"/>
      <c r="Q1500" s="190"/>
      <c r="T1500" s="190"/>
    </row>
    <row r="1501" spans="1:20" hidden="1" outlineLevel="1" x14ac:dyDescent="0.3">
      <c r="A1501" s="1035" t="s">
        <v>3440</v>
      </c>
      <c r="B1501" s="184" t="s">
        <v>782</v>
      </c>
      <c r="C1501" s="185" t="s">
        <v>764</v>
      </c>
      <c r="D1501" s="186">
        <v>10</v>
      </c>
      <c r="E1501" s="185">
        <v>990</v>
      </c>
      <c r="F1501" s="187">
        <v>1372.8</v>
      </c>
      <c r="G1501" s="1041">
        <f t="shared" si="189"/>
        <v>13728</v>
      </c>
      <c r="H1501" s="1042">
        <f t="shared" si="190"/>
        <v>9900</v>
      </c>
      <c r="I1501" s="1043">
        <f t="shared" si="191"/>
        <v>23628</v>
      </c>
      <c r="J1501" s="37"/>
      <c r="K1501" s="37"/>
      <c r="L1501" s="190"/>
      <c r="M1501" s="190"/>
      <c r="N1501" s="190"/>
      <c r="Q1501" s="190"/>
      <c r="T1501" s="190"/>
    </row>
    <row r="1502" spans="1:20" hidden="1" outlineLevel="1" x14ac:dyDescent="0.3">
      <c r="A1502" s="1035" t="s">
        <v>3441</v>
      </c>
      <c r="B1502" s="184" t="s">
        <v>783</v>
      </c>
      <c r="C1502" s="185" t="s">
        <v>764</v>
      </c>
      <c r="D1502" s="186">
        <v>6</v>
      </c>
      <c r="E1502" s="185">
        <v>1530</v>
      </c>
      <c r="F1502" s="187">
        <v>2272.6</v>
      </c>
      <c r="G1502" s="1041">
        <f t="shared" si="189"/>
        <v>13635.599999999999</v>
      </c>
      <c r="H1502" s="1042">
        <f t="shared" si="190"/>
        <v>9180</v>
      </c>
      <c r="I1502" s="1043">
        <f t="shared" si="191"/>
        <v>22815.599999999999</v>
      </c>
      <c r="J1502" s="37"/>
      <c r="K1502" s="37"/>
      <c r="L1502" s="190"/>
      <c r="M1502" s="190"/>
      <c r="N1502" s="190"/>
      <c r="Q1502" s="190"/>
      <c r="T1502" s="190"/>
    </row>
    <row r="1503" spans="1:20" hidden="1" outlineLevel="1" x14ac:dyDescent="0.3">
      <c r="A1503" s="1035" t="s">
        <v>3442</v>
      </c>
      <c r="B1503" s="184" t="s">
        <v>784</v>
      </c>
      <c r="C1503" s="185" t="s">
        <v>764</v>
      </c>
      <c r="D1503" s="186">
        <v>86</v>
      </c>
      <c r="E1503" s="185">
        <v>1080</v>
      </c>
      <c r="F1503" s="187">
        <v>1485.6</v>
      </c>
      <c r="G1503" s="1041">
        <f t="shared" si="189"/>
        <v>127761.59999999999</v>
      </c>
      <c r="H1503" s="1042">
        <f t="shared" si="190"/>
        <v>92880</v>
      </c>
      <c r="I1503" s="1043">
        <f t="shared" si="191"/>
        <v>220641.59999999998</v>
      </c>
      <c r="J1503" s="37"/>
      <c r="K1503" s="37"/>
      <c r="L1503" s="190"/>
      <c r="M1503" s="190"/>
      <c r="N1503" s="190"/>
      <c r="Q1503" s="190"/>
      <c r="T1503" s="190"/>
    </row>
    <row r="1504" spans="1:20" hidden="1" outlineLevel="1" x14ac:dyDescent="0.3">
      <c r="A1504" s="1035" t="s">
        <v>3443</v>
      </c>
      <c r="B1504" s="184" t="s">
        <v>785</v>
      </c>
      <c r="C1504" s="185" t="s">
        <v>764</v>
      </c>
      <c r="D1504" s="186">
        <v>2</v>
      </c>
      <c r="E1504" s="185">
        <v>1620</v>
      </c>
      <c r="F1504" s="187">
        <v>2340</v>
      </c>
      <c r="G1504" s="1041">
        <f t="shared" si="189"/>
        <v>4680</v>
      </c>
      <c r="H1504" s="1042">
        <f t="shared" si="190"/>
        <v>3240</v>
      </c>
      <c r="I1504" s="1043">
        <f t="shared" si="191"/>
        <v>7920</v>
      </c>
      <c r="J1504" s="37"/>
      <c r="K1504" s="37"/>
      <c r="L1504" s="190"/>
      <c r="M1504" s="190"/>
      <c r="N1504" s="190"/>
      <c r="Q1504" s="190"/>
      <c r="T1504" s="190"/>
    </row>
    <row r="1505" spans="1:20" hidden="1" outlineLevel="1" x14ac:dyDescent="0.3">
      <c r="A1505" s="1035" t="s">
        <v>3444</v>
      </c>
      <c r="B1505" s="184" t="s">
        <v>786</v>
      </c>
      <c r="C1505" s="185" t="s">
        <v>74</v>
      </c>
      <c r="D1505" s="186">
        <v>585.6</v>
      </c>
      <c r="E1505" s="185">
        <v>350</v>
      </c>
      <c r="F1505" s="187">
        <v>1500</v>
      </c>
      <c r="G1505" s="1041">
        <f t="shared" si="189"/>
        <v>878400</v>
      </c>
      <c r="H1505" s="1042">
        <f t="shared" si="190"/>
        <v>204960</v>
      </c>
      <c r="I1505" s="1043">
        <f t="shared" si="191"/>
        <v>1083360</v>
      </c>
      <c r="J1505" s="37"/>
      <c r="K1505" s="37"/>
      <c r="L1505" s="190"/>
      <c r="M1505" s="190"/>
      <c r="N1505" s="190"/>
      <c r="Q1505" s="190"/>
      <c r="T1505" s="190"/>
    </row>
    <row r="1506" spans="1:20" hidden="1" outlineLevel="1" x14ac:dyDescent="0.3">
      <c r="A1506" s="1035" t="s">
        <v>3445</v>
      </c>
      <c r="B1506" s="184" t="s">
        <v>787</v>
      </c>
      <c r="C1506" s="185" t="s">
        <v>764</v>
      </c>
      <c r="D1506" s="185">
        <v>0.5</v>
      </c>
      <c r="E1506" s="185">
        <v>283.5</v>
      </c>
      <c r="F1506" s="187">
        <f>650/100*110</f>
        <v>715</v>
      </c>
      <c r="G1506" s="1041">
        <f t="shared" si="189"/>
        <v>357.5</v>
      </c>
      <c r="H1506" s="1042">
        <f t="shared" si="190"/>
        <v>141.75</v>
      </c>
      <c r="I1506" s="1043">
        <f t="shared" si="191"/>
        <v>499.25</v>
      </c>
      <c r="J1506" s="37"/>
      <c r="K1506" s="37"/>
      <c r="L1506" s="190"/>
      <c r="M1506" s="190"/>
      <c r="N1506" s="190"/>
      <c r="Q1506" s="190"/>
      <c r="T1506" s="190"/>
    </row>
    <row r="1507" spans="1:20" hidden="1" outlineLevel="1" x14ac:dyDescent="0.3">
      <c r="A1507" s="1035" t="s">
        <v>3446</v>
      </c>
      <c r="B1507" s="184" t="s">
        <v>788</v>
      </c>
      <c r="C1507" s="185" t="s">
        <v>789</v>
      </c>
      <c r="D1507" s="185">
        <v>4612.3</v>
      </c>
      <c r="E1507" s="185">
        <v>50</v>
      </c>
      <c r="F1507" s="193">
        <v>167.5</v>
      </c>
      <c r="G1507" s="1041">
        <f t="shared" si="189"/>
        <v>772560.25</v>
      </c>
      <c r="H1507" s="1042">
        <f t="shared" si="190"/>
        <v>230615</v>
      </c>
      <c r="I1507" s="1043">
        <f t="shared" si="191"/>
        <v>1003175.25</v>
      </c>
      <c r="J1507" s="37"/>
      <c r="K1507" s="37"/>
      <c r="L1507" s="190"/>
      <c r="M1507" s="190"/>
      <c r="N1507" s="190"/>
      <c r="Q1507" s="190"/>
    </row>
    <row r="1508" spans="1:20" hidden="1" outlineLevel="1" x14ac:dyDescent="0.3">
      <c r="A1508" s="1035" t="s">
        <v>3447</v>
      </c>
      <c r="B1508" s="194" t="s">
        <v>790</v>
      </c>
      <c r="C1508" s="195" t="s">
        <v>789</v>
      </c>
      <c r="D1508" s="185">
        <v>8</v>
      </c>
      <c r="E1508" s="185">
        <v>150</v>
      </c>
      <c r="F1508" s="193">
        <v>286.5</v>
      </c>
      <c r="G1508" s="1043">
        <f t="shared" si="189"/>
        <v>2292</v>
      </c>
      <c r="H1508" s="1044">
        <f t="shared" si="190"/>
        <v>1200</v>
      </c>
      <c r="I1508" s="1043">
        <f t="shared" si="191"/>
        <v>3492</v>
      </c>
      <c r="J1508" s="37"/>
      <c r="K1508" s="37"/>
      <c r="L1508" s="190"/>
      <c r="M1508" s="190"/>
      <c r="N1508" s="190"/>
      <c r="Q1508" s="190"/>
      <c r="T1508" s="190"/>
    </row>
    <row r="1509" spans="1:20" hidden="1" outlineLevel="1" x14ac:dyDescent="0.3">
      <c r="A1509" s="1035" t="s">
        <v>3448</v>
      </c>
      <c r="B1509" s="197" t="s">
        <v>791</v>
      </c>
      <c r="C1509" s="195" t="s">
        <v>96</v>
      </c>
      <c r="D1509" s="185">
        <v>23</v>
      </c>
      <c r="E1509" s="185">
        <v>100</v>
      </c>
      <c r="F1509" s="193">
        <v>365.4</v>
      </c>
      <c r="G1509" s="1043">
        <f t="shared" si="189"/>
        <v>8404.1999999999989</v>
      </c>
      <c r="H1509" s="1044">
        <f t="shared" si="190"/>
        <v>2300</v>
      </c>
      <c r="I1509" s="1043">
        <f t="shared" si="191"/>
        <v>10704.199999999999</v>
      </c>
      <c r="J1509" s="37"/>
      <c r="K1509" s="37"/>
      <c r="L1509" s="190"/>
      <c r="M1509" s="190"/>
      <c r="N1509" s="190"/>
    </row>
    <row r="1510" spans="1:20" hidden="1" outlineLevel="1" x14ac:dyDescent="0.3">
      <c r="A1510" s="1035" t="s">
        <v>3449</v>
      </c>
      <c r="B1510" s="197" t="s">
        <v>792</v>
      </c>
      <c r="C1510" s="195" t="s">
        <v>96</v>
      </c>
      <c r="D1510" s="185">
        <v>4</v>
      </c>
      <c r="E1510" s="185">
        <v>100</v>
      </c>
      <c r="F1510" s="193">
        <v>239.4</v>
      </c>
      <c r="G1510" s="1043">
        <f t="shared" si="189"/>
        <v>957.6</v>
      </c>
      <c r="H1510" s="1044">
        <f t="shared" si="190"/>
        <v>400</v>
      </c>
      <c r="I1510" s="1043">
        <f>G1510+H1510</f>
        <v>1357.6</v>
      </c>
      <c r="J1510" s="37"/>
      <c r="K1510" s="37"/>
      <c r="L1510" s="190"/>
      <c r="M1510" s="190"/>
      <c r="N1510" s="190"/>
    </row>
    <row r="1511" spans="1:20" hidden="1" outlineLevel="1" x14ac:dyDescent="0.3">
      <c r="A1511" s="1035" t="s">
        <v>3450</v>
      </c>
      <c r="B1511" s="197" t="s">
        <v>793</v>
      </c>
      <c r="C1511" s="195" t="s">
        <v>96</v>
      </c>
      <c r="D1511" s="185">
        <v>1</v>
      </c>
      <c r="E1511" s="185">
        <v>100</v>
      </c>
      <c r="F1511" s="193">
        <v>643.79999999999995</v>
      </c>
      <c r="G1511" s="1043">
        <f t="shared" si="189"/>
        <v>643.79999999999995</v>
      </c>
      <c r="H1511" s="1044">
        <f t="shared" si="190"/>
        <v>100</v>
      </c>
      <c r="I1511" s="1043">
        <f t="shared" si="191"/>
        <v>743.8</v>
      </c>
      <c r="J1511" s="37"/>
      <c r="K1511" s="37"/>
      <c r="L1511" s="190"/>
      <c r="M1511" s="190"/>
      <c r="N1511" s="190"/>
    </row>
    <row r="1512" spans="1:20" hidden="1" outlineLevel="1" x14ac:dyDescent="0.3">
      <c r="A1512" s="1035" t="s">
        <v>3451</v>
      </c>
      <c r="B1512" s="197" t="s">
        <v>794</v>
      </c>
      <c r="C1512" s="195" t="s">
        <v>96</v>
      </c>
      <c r="D1512" s="185">
        <v>273</v>
      </c>
      <c r="E1512" s="185">
        <v>100</v>
      </c>
      <c r="F1512" s="193">
        <v>483</v>
      </c>
      <c r="G1512" s="1043">
        <f t="shared" si="189"/>
        <v>131859</v>
      </c>
      <c r="H1512" s="1044">
        <f t="shared" si="190"/>
        <v>27300</v>
      </c>
      <c r="I1512" s="1043">
        <f t="shared" si="191"/>
        <v>159159</v>
      </c>
      <c r="J1512" s="37"/>
      <c r="K1512" s="37"/>
      <c r="L1512" s="190"/>
      <c r="M1512" s="190"/>
      <c r="N1512" s="190"/>
    </row>
    <row r="1513" spans="1:20" hidden="1" outlineLevel="1" x14ac:dyDescent="0.3">
      <c r="A1513" s="1035" t="s">
        <v>3452</v>
      </c>
      <c r="B1513" s="197" t="s">
        <v>795</v>
      </c>
      <c r="C1513" s="195" t="s">
        <v>96</v>
      </c>
      <c r="D1513" s="185">
        <v>296</v>
      </c>
      <c r="E1513" s="185">
        <v>100</v>
      </c>
      <c r="F1513" s="193">
        <v>420.6</v>
      </c>
      <c r="G1513" s="1043">
        <f t="shared" si="189"/>
        <v>124497.60000000001</v>
      </c>
      <c r="H1513" s="1044">
        <f t="shared" si="190"/>
        <v>29600</v>
      </c>
      <c r="I1513" s="1043">
        <f t="shared" si="191"/>
        <v>154097.60000000001</v>
      </c>
      <c r="J1513" s="37"/>
      <c r="K1513" s="37"/>
      <c r="L1513" s="190"/>
      <c r="M1513" s="190"/>
      <c r="N1513" s="190"/>
    </row>
    <row r="1514" spans="1:20" hidden="1" outlineLevel="1" x14ac:dyDescent="0.3">
      <c r="A1514" s="1035" t="s">
        <v>3453</v>
      </c>
      <c r="B1514" s="197" t="s">
        <v>796</v>
      </c>
      <c r="C1514" s="195" t="s">
        <v>96</v>
      </c>
      <c r="D1514" s="185">
        <v>24</v>
      </c>
      <c r="E1514" s="185">
        <v>150</v>
      </c>
      <c r="F1514" s="193">
        <v>939.25</v>
      </c>
      <c r="G1514" s="1043">
        <f t="shared" si="189"/>
        <v>22542</v>
      </c>
      <c r="H1514" s="1044">
        <f t="shared" si="190"/>
        <v>3600</v>
      </c>
      <c r="I1514" s="1043">
        <f t="shared" si="191"/>
        <v>26142</v>
      </c>
      <c r="J1514" s="37"/>
      <c r="K1514" s="37"/>
      <c r="L1514" s="190"/>
      <c r="M1514" s="190"/>
      <c r="N1514" s="190"/>
    </row>
    <row r="1515" spans="1:20" hidden="1" outlineLevel="1" x14ac:dyDescent="0.3">
      <c r="A1515" s="1035" t="s">
        <v>3454</v>
      </c>
      <c r="B1515" s="197" t="s">
        <v>797</v>
      </c>
      <c r="C1515" s="195" t="s">
        <v>96</v>
      </c>
      <c r="D1515" s="185">
        <v>48</v>
      </c>
      <c r="E1515" s="185">
        <v>150</v>
      </c>
      <c r="F1515" s="193">
        <v>939.25</v>
      </c>
      <c r="G1515" s="1043">
        <f t="shared" si="189"/>
        <v>45084</v>
      </c>
      <c r="H1515" s="1044">
        <f t="shared" si="190"/>
        <v>7200</v>
      </c>
      <c r="I1515" s="1043">
        <f t="shared" si="191"/>
        <v>52284</v>
      </c>
      <c r="J1515" s="37"/>
      <c r="K1515" s="37"/>
      <c r="L1515" s="190"/>
      <c r="M1515" s="190"/>
      <c r="N1515" s="190"/>
    </row>
    <row r="1516" spans="1:20" hidden="1" outlineLevel="1" x14ac:dyDescent="0.3">
      <c r="A1516" s="1035" t="s">
        <v>3455</v>
      </c>
      <c r="B1516" s="197" t="s">
        <v>798</v>
      </c>
      <c r="C1516" s="195" t="s">
        <v>96</v>
      </c>
      <c r="D1516" s="185">
        <v>23</v>
      </c>
      <c r="E1516" s="185">
        <v>150</v>
      </c>
      <c r="F1516" s="193">
        <v>939.25</v>
      </c>
      <c r="G1516" s="1043">
        <f t="shared" si="189"/>
        <v>21602.75</v>
      </c>
      <c r="H1516" s="1044">
        <f t="shared" si="190"/>
        <v>3450</v>
      </c>
      <c r="I1516" s="1043">
        <f t="shared" si="191"/>
        <v>25052.75</v>
      </c>
      <c r="J1516" s="37"/>
      <c r="K1516" s="37"/>
      <c r="L1516" s="190"/>
      <c r="M1516" s="190"/>
      <c r="N1516" s="190"/>
    </row>
    <row r="1517" spans="1:20" hidden="1" outlineLevel="1" x14ac:dyDescent="0.3">
      <c r="A1517" s="1035" t="s">
        <v>3456</v>
      </c>
      <c r="B1517" s="180" t="s">
        <v>799</v>
      </c>
      <c r="C1517" s="195" t="s">
        <v>96</v>
      </c>
      <c r="D1517" s="185">
        <v>14</v>
      </c>
      <c r="E1517" s="185">
        <v>150</v>
      </c>
      <c r="F1517" s="193">
        <v>5136.41</v>
      </c>
      <c r="G1517" s="1043">
        <f t="shared" si="189"/>
        <v>71909.739999999991</v>
      </c>
      <c r="H1517" s="1044">
        <f t="shared" si="190"/>
        <v>2100</v>
      </c>
      <c r="I1517" s="1043">
        <f t="shared" si="191"/>
        <v>74009.739999999991</v>
      </c>
      <c r="J1517" s="37"/>
      <c r="K1517" s="37"/>
      <c r="L1517" s="190"/>
      <c r="M1517" s="190"/>
      <c r="N1517" s="190"/>
      <c r="Q1517" s="190"/>
    </row>
    <row r="1518" spans="1:20" ht="29.3" hidden="1" customHeight="1" outlineLevel="1" x14ac:dyDescent="0.3">
      <c r="A1518" s="1035" t="s">
        <v>3457</v>
      </c>
      <c r="B1518" s="179" t="s">
        <v>800</v>
      </c>
      <c r="C1518" s="195" t="s">
        <v>96</v>
      </c>
      <c r="D1518" s="185">
        <v>1</v>
      </c>
      <c r="E1518" s="185">
        <v>200</v>
      </c>
      <c r="F1518" s="193">
        <v>964.25</v>
      </c>
      <c r="G1518" s="1043">
        <f t="shared" si="189"/>
        <v>964.25</v>
      </c>
      <c r="H1518" s="1044">
        <f t="shared" si="190"/>
        <v>200</v>
      </c>
      <c r="I1518" s="1043">
        <f t="shared" si="191"/>
        <v>1164.25</v>
      </c>
      <c r="J1518" s="37"/>
      <c r="K1518" s="37"/>
      <c r="L1518" s="190"/>
      <c r="M1518" s="190"/>
      <c r="N1518" s="190"/>
    </row>
    <row r="1519" spans="1:20" hidden="1" outlineLevel="1" x14ac:dyDescent="0.3">
      <c r="A1519" s="1035" t="s">
        <v>3458</v>
      </c>
      <c r="B1519" s="179" t="s">
        <v>801</v>
      </c>
      <c r="C1519" s="195" t="s">
        <v>96</v>
      </c>
      <c r="D1519" s="185">
        <v>1</v>
      </c>
      <c r="E1519" s="185">
        <v>350</v>
      </c>
      <c r="F1519" s="193">
        <v>2555.5</v>
      </c>
      <c r="G1519" s="1043">
        <f t="shared" si="189"/>
        <v>2555.5</v>
      </c>
      <c r="H1519" s="1044">
        <f t="shared" si="190"/>
        <v>350</v>
      </c>
      <c r="I1519" s="1043">
        <f t="shared" si="191"/>
        <v>2905.5</v>
      </c>
      <c r="J1519" s="37"/>
      <c r="K1519" s="37"/>
      <c r="L1519" s="190"/>
      <c r="M1519" s="190"/>
      <c r="N1519" s="190"/>
    </row>
    <row r="1520" spans="1:20" hidden="1" outlineLevel="1" x14ac:dyDescent="0.3">
      <c r="A1520" s="1035" t="s">
        <v>3459</v>
      </c>
      <c r="B1520" s="179" t="s">
        <v>802</v>
      </c>
      <c r="C1520" s="195" t="s">
        <v>96</v>
      </c>
      <c r="D1520" s="185">
        <v>2</v>
      </c>
      <c r="E1520" s="185">
        <v>500</v>
      </c>
      <c r="F1520" s="193">
        <v>3418.35</v>
      </c>
      <c r="G1520" s="1043">
        <f t="shared" si="189"/>
        <v>6836.7</v>
      </c>
      <c r="H1520" s="1044">
        <f t="shared" si="190"/>
        <v>1000</v>
      </c>
      <c r="I1520" s="1043">
        <f t="shared" si="191"/>
        <v>7836.7</v>
      </c>
      <c r="J1520" s="37"/>
      <c r="K1520" s="37"/>
      <c r="L1520" s="190"/>
      <c r="M1520" s="190"/>
      <c r="N1520" s="190"/>
    </row>
    <row r="1521" spans="1:14" hidden="1" outlineLevel="1" x14ac:dyDescent="0.3">
      <c r="A1521" s="1035" t="s">
        <v>3460</v>
      </c>
      <c r="B1521" s="180" t="s">
        <v>803</v>
      </c>
      <c r="C1521" s="195" t="s">
        <v>96</v>
      </c>
      <c r="D1521" s="185">
        <v>25</v>
      </c>
      <c r="E1521" s="185">
        <v>500</v>
      </c>
      <c r="F1521" s="193">
        <v>799</v>
      </c>
      <c r="G1521" s="1043">
        <f t="shared" si="189"/>
        <v>19975</v>
      </c>
      <c r="H1521" s="1044">
        <f t="shared" si="190"/>
        <v>12500</v>
      </c>
      <c r="I1521" s="1043">
        <f t="shared" si="191"/>
        <v>32475</v>
      </c>
      <c r="J1521" s="37"/>
      <c r="K1521" s="37"/>
      <c r="L1521" s="190"/>
      <c r="M1521" s="190"/>
      <c r="N1521" s="190"/>
    </row>
    <row r="1522" spans="1:14" hidden="1" outlineLevel="1" x14ac:dyDescent="0.3">
      <c r="A1522" s="1035" t="s">
        <v>3461</v>
      </c>
      <c r="B1522" s="180" t="s">
        <v>804</v>
      </c>
      <c r="C1522" s="195" t="s">
        <v>96</v>
      </c>
      <c r="D1522" s="185">
        <v>2</v>
      </c>
      <c r="E1522" s="185">
        <v>5000</v>
      </c>
      <c r="F1522" s="193">
        <v>60179.26</v>
      </c>
      <c r="G1522" s="1043">
        <f t="shared" si="189"/>
        <v>120358.52</v>
      </c>
      <c r="H1522" s="1044">
        <f t="shared" si="190"/>
        <v>10000</v>
      </c>
      <c r="I1522" s="1043">
        <f t="shared" si="191"/>
        <v>130358.52</v>
      </c>
      <c r="J1522" s="37"/>
      <c r="K1522" s="37"/>
      <c r="L1522" s="190"/>
      <c r="M1522" s="190"/>
      <c r="N1522" s="190"/>
    </row>
    <row r="1523" spans="1:14" ht="33.049999999999997" hidden="1" customHeight="1" outlineLevel="1" x14ac:dyDescent="0.3">
      <c r="A1523" s="1035" t="s">
        <v>3462</v>
      </c>
      <c r="B1523" s="179" t="s">
        <v>805</v>
      </c>
      <c r="C1523" s="195" t="s">
        <v>96</v>
      </c>
      <c r="D1523" s="185">
        <v>2</v>
      </c>
      <c r="E1523" s="185">
        <v>500</v>
      </c>
      <c r="F1523" s="193">
        <v>11197.83</v>
      </c>
      <c r="G1523" s="1043">
        <f t="shared" si="189"/>
        <v>22395.66</v>
      </c>
      <c r="H1523" s="1044">
        <f t="shared" si="190"/>
        <v>1000</v>
      </c>
      <c r="I1523" s="1043">
        <f t="shared" si="191"/>
        <v>23395.66</v>
      </c>
      <c r="J1523" s="37"/>
      <c r="K1523" s="37"/>
      <c r="L1523" s="190"/>
      <c r="M1523" s="190"/>
      <c r="N1523" s="190"/>
    </row>
    <row r="1524" spans="1:14" ht="27.7" hidden="1" customHeight="1" outlineLevel="1" x14ac:dyDescent="0.3">
      <c r="A1524" s="1035" t="s">
        <v>3463</v>
      </c>
      <c r="B1524" s="180" t="s">
        <v>806</v>
      </c>
      <c r="C1524" s="195" t="s">
        <v>96</v>
      </c>
      <c r="D1524" s="185">
        <v>1</v>
      </c>
      <c r="E1524" s="185">
        <v>5000</v>
      </c>
      <c r="F1524" s="193">
        <v>94468.92</v>
      </c>
      <c r="G1524" s="1043">
        <f t="shared" si="189"/>
        <v>94468.92</v>
      </c>
      <c r="H1524" s="1044">
        <f t="shared" si="190"/>
        <v>5000</v>
      </c>
      <c r="I1524" s="1043">
        <f t="shared" si="191"/>
        <v>99468.92</v>
      </c>
      <c r="J1524" s="37"/>
      <c r="K1524" s="37"/>
      <c r="L1524" s="190"/>
      <c r="M1524" s="190"/>
      <c r="N1524" s="190"/>
    </row>
    <row r="1525" spans="1:14" hidden="1" outlineLevel="1" x14ac:dyDescent="0.3">
      <c r="A1525" s="1035" t="s">
        <v>3464</v>
      </c>
      <c r="B1525" s="180" t="s">
        <v>807</v>
      </c>
      <c r="C1525" s="195" t="s">
        <v>96</v>
      </c>
      <c r="D1525" s="185">
        <v>2</v>
      </c>
      <c r="E1525" s="185">
        <v>5000</v>
      </c>
      <c r="F1525" s="193">
        <v>68151.72</v>
      </c>
      <c r="G1525" s="1043">
        <f t="shared" si="189"/>
        <v>136303.44</v>
      </c>
      <c r="H1525" s="1044">
        <f t="shared" si="190"/>
        <v>10000</v>
      </c>
      <c r="I1525" s="1043">
        <f t="shared" si="191"/>
        <v>146303.44</v>
      </c>
      <c r="J1525" s="37"/>
      <c r="K1525" s="37"/>
      <c r="L1525" s="190"/>
      <c r="M1525" s="190"/>
      <c r="N1525" s="190"/>
    </row>
    <row r="1526" spans="1:14" ht="30.7" hidden="1" customHeight="1" outlineLevel="1" x14ac:dyDescent="0.3">
      <c r="A1526" s="1035" t="s">
        <v>3465</v>
      </c>
      <c r="B1526" s="180" t="s">
        <v>808</v>
      </c>
      <c r="C1526" s="195" t="s">
        <v>96</v>
      </c>
      <c r="D1526" s="185">
        <v>1</v>
      </c>
      <c r="E1526" s="185">
        <v>5000</v>
      </c>
      <c r="F1526" s="193">
        <v>53313.78</v>
      </c>
      <c r="G1526" s="1043">
        <f t="shared" si="189"/>
        <v>53313.78</v>
      </c>
      <c r="H1526" s="1044">
        <f t="shared" si="190"/>
        <v>5000</v>
      </c>
      <c r="I1526" s="1043">
        <f t="shared" si="191"/>
        <v>58313.78</v>
      </c>
      <c r="J1526" s="37"/>
      <c r="K1526" s="37"/>
      <c r="L1526" s="190"/>
      <c r="M1526" s="190"/>
      <c r="N1526" s="190"/>
    </row>
    <row r="1527" spans="1:14" ht="31.5" hidden="1" customHeight="1" outlineLevel="1" x14ac:dyDescent="0.3">
      <c r="A1527" s="1035" t="s">
        <v>3466</v>
      </c>
      <c r="B1527" s="180" t="s">
        <v>809</v>
      </c>
      <c r="C1527" s="195" t="s">
        <v>96</v>
      </c>
      <c r="D1527" s="185">
        <v>1</v>
      </c>
      <c r="E1527" s="185">
        <v>8000</v>
      </c>
      <c r="F1527" s="193">
        <v>134624</v>
      </c>
      <c r="G1527" s="1043">
        <f t="shared" si="189"/>
        <v>134624</v>
      </c>
      <c r="H1527" s="1044">
        <f t="shared" si="190"/>
        <v>8000</v>
      </c>
      <c r="I1527" s="1043">
        <f t="shared" si="191"/>
        <v>142624</v>
      </c>
      <c r="J1527" s="37"/>
      <c r="K1527" s="37"/>
      <c r="L1527" s="190"/>
      <c r="M1527" s="190"/>
      <c r="N1527" s="190"/>
    </row>
    <row r="1528" spans="1:14" ht="30.7" hidden="1" customHeight="1" outlineLevel="1" x14ac:dyDescent="0.3">
      <c r="A1528" s="1035" t="s">
        <v>3467</v>
      </c>
      <c r="B1528" s="180" t="s">
        <v>810</v>
      </c>
      <c r="C1528" s="195" t="s">
        <v>96</v>
      </c>
      <c r="D1528" s="185">
        <v>2</v>
      </c>
      <c r="E1528" s="185">
        <v>500</v>
      </c>
      <c r="F1528" s="193">
        <v>11197.83</v>
      </c>
      <c r="G1528" s="1043">
        <f t="shared" si="189"/>
        <v>22395.66</v>
      </c>
      <c r="H1528" s="1044">
        <f t="shared" si="190"/>
        <v>1000</v>
      </c>
      <c r="I1528" s="1043">
        <f t="shared" si="191"/>
        <v>23395.66</v>
      </c>
      <c r="J1528" s="37"/>
      <c r="K1528" s="37"/>
      <c r="L1528" s="190"/>
      <c r="M1528" s="190"/>
      <c r="N1528" s="190"/>
    </row>
    <row r="1529" spans="1:14" ht="21.8" hidden="1" customHeight="1" outlineLevel="1" x14ac:dyDescent="0.3">
      <c r="A1529" s="1035" t="s">
        <v>3468</v>
      </c>
      <c r="B1529" s="180" t="s">
        <v>811</v>
      </c>
      <c r="C1529" s="195" t="s">
        <v>96</v>
      </c>
      <c r="D1529" s="185">
        <v>2</v>
      </c>
      <c r="E1529" s="185">
        <v>500</v>
      </c>
      <c r="F1529" s="193">
        <v>11197.83</v>
      </c>
      <c r="G1529" s="1043">
        <f t="shared" si="189"/>
        <v>22395.66</v>
      </c>
      <c r="H1529" s="1044">
        <f t="shared" si="190"/>
        <v>1000</v>
      </c>
      <c r="I1529" s="1043">
        <f t="shared" si="191"/>
        <v>23395.66</v>
      </c>
      <c r="J1529" s="37"/>
      <c r="K1529" s="37"/>
      <c r="L1529" s="190"/>
      <c r="M1529" s="190"/>
      <c r="N1529" s="190"/>
    </row>
    <row r="1530" spans="1:14" ht="20.2" hidden="1" customHeight="1" outlineLevel="1" x14ac:dyDescent="0.3">
      <c r="A1530" s="1035" t="s">
        <v>3469</v>
      </c>
      <c r="B1530" s="180" t="s">
        <v>811</v>
      </c>
      <c r="C1530" s="195" t="s">
        <v>96</v>
      </c>
      <c r="D1530" s="185">
        <v>3</v>
      </c>
      <c r="E1530" s="185">
        <v>500</v>
      </c>
      <c r="F1530" s="193">
        <v>11197.83</v>
      </c>
      <c r="G1530" s="1043">
        <f t="shared" si="189"/>
        <v>33593.49</v>
      </c>
      <c r="H1530" s="1044">
        <f t="shared" si="190"/>
        <v>1500</v>
      </c>
      <c r="I1530" s="1043">
        <f t="shared" si="191"/>
        <v>35093.49</v>
      </c>
      <c r="J1530" s="37"/>
      <c r="K1530" s="37"/>
      <c r="L1530" s="190"/>
      <c r="M1530" s="190"/>
      <c r="N1530" s="190"/>
    </row>
    <row r="1531" spans="1:14" ht="20.2" hidden="1" customHeight="1" outlineLevel="1" x14ac:dyDescent="0.3">
      <c r="A1531" s="1035" t="s">
        <v>3470</v>
      </c>
      <c r="B1531" s="198" t="s">
        <v>812</v>
      </c>
      <c r="C1531" s="195" t="s">
        <v>96</v>
      </c>
      <c r="D1531" s="185">
        <v>1</v>
      </c>
      <c r="E1531" s="185">
        <v>500</v>
      </c>
      <c r="F1531" s="199">
        <v>4091.1</v>
      </c>
      <c r="G1531" s="1043">
        <f t="shared" si="189"/>
        <v>4091.1</v>
      </c>
      <c r="H1531" s="1044">
        <f t="shared" si="190"/>
        <v>500</v>
      </c>
      <c r="I1531" s="1043">
        <f t="shared" si="191"/>
        <v>4591.1000000000004</v>
      </c>
      <c r="J1531" s="37"/>
      <c r="K1531" s="37"/>
      <c r="L1531" s="190"/>
      <c r="M1531" s="190"/>
      <c r="N1531" s="190"/>
    </row>
    <row r="1532" spans="1:14" ht="19.600000000000001" hidden="1" customHeight="1" outlineLevel="1" x14ac:dyDescent="0.3">
      <c r="A1532" s="1035" t="s">
        <v>3471</v>
      </c>
      <c r="B1532" s="198" t="s">
        <v>813</v>
      </c>
      <c r="C1532" s="195" t="s">
        <v>96</v>
      </c>
      <c r="D1532" s="185">
        <v>1</v>
      </c>
      <c r="E1532" s="185">
        <v>500</v>
      </c>
      <c r="F1532" s="199">
        <v>1916.2</v>
      </c>
      <c r="G1532" s="1043">
        <f t="shared" si="189"/>
        <v>1916.2</v>
      </c>
      <c r="H1532" s="1044">
        <f t="shared" si="190"/>
        <v>500</v>
      </c>
      <c r="I1532" s="1043">
        <f t="shared" si="191"/>
        <v>2416.1999999999998</v>
      </c>
      <c r="J1532" s="37"/>
      <c r="K1532" s="37"/>
      <c r="L1532" s="190"/>
      <c r="M1532" s="190"/>
      <c r="N1532" s="190"/>
    </row>
    <row r="1533" spans="1:14" ht="29.3" hidden="1" customHeight="1" outlineLevel="1" x14ac:dyDescent="0.3">
      <c r="A1533" s="1035" t="s">
        <v>3472</v>
      </c>
      <c r="B1533" s="198" t="s">
        <v>814</v>
      </c>
      <c r="C1533" s="195" t="s">
        <v>96</v>
      </c>
      <c r="D1533" s="185">
        <v>2</v>
      </c>
      <c r="E1533" s="185">
        <v>700</v>
      </c>
      <c r="F1533" s="199">
        <v>13484.9</v>
      </c>
      <c r="G1533" s="1043">
        <f t="shared" si="189"/>
        <v>26969.8</v>
      </c>
      <c r="H1533" s="1044">
        <f t="shared" si="190"/>
        <v>1400</v>
      </c>
      <c r="I1533" s="1043">
        <f t="shared" si="191"/>
        <v>28369.8</v>
      </c>
      <c r="J1533" s="37"/>
      <c r="K1533" s="37"/>
      <c r="L1533" s="190"/>
      <c r="M1533" s="190"/>
      <c r="N1533" s="190"/>
    </row>
    <row r="1534" spans="1:14" ht="29.3" hidden="1" customHeight="1" outlineLevel="1" x14ac:dyDescent="0.3">
      <c r="A1534" s="1035" t="s">
        <v>3473</v>
      </c>
      <c r="B1534" s="198" t="s">
        <v>815</v>
      </c>
      <c r="C1534" s="195" t="s">
        <v>96</v>
      </c>
      <c r="D1534" s="185">
        <v>1</v>
      </c>
      <c r="E1534" s="185">
        <v>700</v>
      </c>
      <c r="F1534" s="199">
        <v>14294.8</v>
      </c>
      <c r="G1534" s="1043">
        <f t="shared" si="189"/>
        <v>14294.8</v>
      </c>
      <c r="H1534" s="1044">
        <f t="shared" si="190"/>
        <v>700</v>
      </c>
      <c r="I1534" s="1043">
        <f t="shared" si="191"/>
        <v>14994.8</v>
      </c>
      <c r="J1534" s="37"/>
      <c r="K1534" s="37"/>
      <c r="L1534" s="190"/>
      <c r="M1534" s="190"/>
      <c r="N1534" s="190"/>
    </row>
    <row r="1535" spans="1:14" ht="33.85" hidden="1" customHeight="1" outlineLevel="1" x14ac:dyDescent="0.3">
      <c r="A1535" s="1035" t="s">
        <v>3474</v>
      </c>
      <c r="B1535" s="198" t="s">
        <v>816</v>
      </c>
      <c r="C1535" s="195" t="s">
        <v>96</v>
      </c>
      <c r="D1535" s="185">
        <v>1</v>
      </c>
      <c r="E1535" s="185">
        <v>700</v>
      </c>
      <c r="F1535" s="199">
        <v>10045.1</v>
      </c>
      <c r="G1535" s="1043">
        <f t="shared" si="189"/>
        <v>10045.1</v>
      </c>
      <c r="H1535" s="1044">
        <f t="shared" si="190"/>
        <v>700</v>
      </c>
      <c r="I1535" s="1043">
        <f t="shared" si="191"/>
        <v>10745.1</v>
      </c>
      <c r="J1535" s="37"/>
      <c r="K1535" s="37"/>
      <c r="L1535" s="190"/>
      <c r="M1535" s="190"/>
      <c r="N1535" s="190"/>
    </row>
    <row r="1536" spans="1:14" ht="28.5" hidden="1" customHeight="1" outlineLevel="1" x14ac:dyDescent="0.3">
      <c r="A1536" s="1035" t="s">
        <v>3475</v>
      </c>
      <c r="B1536" s="198" t="s">
        <v>817</v>
      </c>
      <c r="C1536" s="195" t="s">
        <v>96</v>
      </c>
      <c r="D1536" s="185">
        <v>1</v>
      </c>
      <c r="E1536" s="185">
        <v>700</v>
      </c>
      <c r="F1536" s="199">
        <v>9582.2999999999993</v>
      </c>
      <c r="G1536" s="1043">
        <f t="shared" si="189"/>
        <v>9582.2999999999993</v>
      </c>
      <c r="H1536" s="1044">
        <f t="shared" si="190"/>
        <v>700</v>
      </c>
      <c r="I1536" s="1043">
        <f t="shared" si="191"/>
        <v>10282.299999999999</v>
      </c>
      <c r="J1536" s="37"/>
      <c r="K1536" s="37"/>
      <c r="L1536" s="190"/>
      <c r="M1536" s="190"/>
      <c r="N1536" s="190"/>
    </row>
    <row r="1537" spans="1:17" ht="28.5" hidden="1" customHeight="1" outlineLevel="1" x14ac:dyDescent="0.3">
      <c r="A1537" s="1035" t="s">
        <v>3476</v>
      </c>
      <c r="B1537" s="198" t="s">
        <v>818</v>
      </c>
      <c r="C1537" s="195" t="s">
        <v>96</v>
      </c>
      <c r="D1537" s="185">
        <v>24</v>
      </c>
      <c r="E1537" s="185">
        <v>700</v>
      </c>
      <c r="F1537" s="199">
        <v>9864.4</v>
      </c>
      <c r="G1537" s="1043">
        <f t="shared" si="189"/>
        <v>236745.59999999998</v>
      </c>
      <c r="H1537" s="1044">
        <f t="shared" si="190"/>
        <v>16800</v>
      </c>
      <c r="I1537" s="1043">
        <f>G1537+H1537</f>
        <v>253545.59999999998</v>
      </c>
      <c r="J1537" s="37"/>
      <c r="K1537" s="37"/>
      <c r="L1537" s="190"/>
      <c r="M1537" s="190"/>
      <c r="N1537" s="190"/>
    </row>
    <row r="1538" spans="1:17" ht="31.5" hidden="1" customHeight="1" outlineLevel="1" x14ac:dyDescent="0.3">
      <c r="A1538" s="1035" t="s">
        <v>3477</v>
      </c>
      <c r="B1538" s="198" t="s">
        <v>819</v>
      </c>
      <c r="C1538" s="195" t="s">
        <v>96</v>
      </c>
      <c r="D1538" s="185">
        <v>1</v>
      </c>
      <c r="E1538" s="185">
        <v>700</v>
      </c>
      <c r="F1538" s="199">
        <v>7183.8</v>
      </c>
      <c r="G1538" s="1043">
        <f t="shared" si="189"/>
        <v>7183.8</v>
      </c>
      <c r="H1538" s="1044">
        <f t="shared" si="190"/>
        <v>700</v>
      </c>
      <c r="I1538" s="1043">
        <f t="shared" si="191"/>
        <v>7883.8</v>
      </c>
      <c r="J1538" s="37"/>
      <c r="K1538" s="37"/>
      <c r="L1538" s="190"/>
      <c r="M1538" s="190"/>
      <c r="N1538" s="190"/>
    </row>
    <row r="1539" spans="1:17" ht="34.450000000000003" hidden="1" customHeight="1" outlineLevel="1" x14ac:dyDescent="0.3">
      <c r="A1539" s="1035" t="s">
        <v>3478</v>
      </c>
      <c r="B1539" s="198" t="s">
        <v>820</v>
      </c>
      <c r="C1539" s="195" t="s">
        <v>96</v>
      </c>
      <c r="D1539" s="185">
        <v>1</v>
      </c>
      <c r="E1539" s="185">
        <v>700</v>
      </c>
      <c r="F1539" s="199">
        <v>6990.35</v>
      </c>
      <c r="G1539" s="1043">
        <f t="shared" si="189"/>
        <v>6990.35</v>
      </c>
      <c r="H1539" s="1044">
        <f t="shared" si="190"/>
        <v>700</v>
      </c>
      <c r="I1539" s="1043">
        <f t="shared" si="191"/>
        <v>7690.35</v>
      </c>
      <c r="J1539" s="37"/>
      <c r="K1539" s="37"/>
      <c r="L1539" s="190"/>
      <c r="M1539" s="190"/>
      <c r="N1539" s="190"/>
    </row>
    <row r="1540" spans="1:17" ht="32.25" hidden="1" customHeight="1" outlineLevel="1" x14ac:dyDescent="0.3">
      <c r="A1540" s="1035" t="s">
        <v>3479</v>
      </c>
      <c r="B1540" s="198" t="s">
        <v>817</v>
      </c>
      <c r="C1540" s="195" t="s">
        <v>96</v>
      </c>
      <c r="D1540" s="185">
        <v>48</v>
      </c>
      <c r="E1540" s="185">
        <v>700</v>
      </c>
      <c r="F1540" s="199">
        <v>7645.95</v>
      </c>
      <c r="G1540" s="1043">
        <f t="shared" si="189"/>
        <v>367005.6</v>
      </c>
      <c r="H1540" s="1044">
        <f t="shared" si="190"/>
        <v>33600</v>
      </c>
      <c r="I1540" s="1043">
        <f t="shared" si="191"/>
        <v>400605.6</v>
      </c>
      <c r="J1540" s="37"/>
      <c r="K1540" s="37"/>
      <c r="L1540" s="190"/>
      <c r="M1540" s="190"/>
      <c r="N1540" s="190"/>
    </row>
    <row r="1541" spans="1:17" ht="34.450000000000003" hidden="1" customHeight="1" outlineLevel="1" x14ac:dyDescent="0.3">
      <c r="A1541" s="1035" t="s">
        <v>3480</v>
      </c>
      <c r="B1541" s="198" t="s">
        <v>821</v>
      </c>
      <c r="C1541" s="195" t="s">
        <v>96</v>
      </c>
      <c r="D1541" s="185">
        <v>23</v>
      </c>
      <c r="E1541" s="185">
        <v>700</v>
      </c>
      <c r="F1541" s="199">
        <v>10045.1</v>
      </c>
      <c r="G1541" s="1043">
        <f t="shared" si="189"/>
        <v>231037.30000000002</v>
      </c>
      <c r="H1541" s="1044">
        <f t="shared" si="190"/>
        <v>16100</v>
      </c>
      <c r="I1541" s="1043">
        <f t="shared" si="191"/>
        <v>247137.30000000002</v>
      </c>
      <c r="J1541" s="37"/>
      <c r="K1541" s="37"/>
      <c r="L1541" s="190"/>
      <c r="M1541" s="190"/>
      <c r="N1541" s="190"/>
    </row>
    <row r="1542" spans="1:17" ht="40.549999999999997" hidden="1" customHeight="1" outlineLevel="1" x14ac:dyDescent="0.3">
      <c r="A1542" s="1035" t="s">
        <v>3481</v>
      </c>
      <c r="B1542" s="197" t="s">
        <v>822</v>
      </c>
      <c r="C1542" s="195" t="s">
        <v>96</v>
      </c>
      <c r="D1542" s="185">
        <v>3</v>
      </c>
      <c r="E1542" s="185">
        <v>500</v>
      </c>
      <c r="F1542" s="193">
        <v>11618.12</v>
      </c>
      <c r="G1542" s="1043">
        <f t="shared" si="189"/>
        <v>34854.36</v>
      </c>
      <c r="H1542" s="1044">
        <f t="shared" si="190"/>
        <v>1500</v>
      </c>
      <c r="I1542" s="1043">
        <f t="shared" si="191"/>
        <v>36354.36</v>
      </c>
      <c r="J1542" s="37"/>
      <c r="K1542" s="37"/>
      <c r="L1542" s="190"/>
      <c r="M1542" s="190"/>
      <c r="N1542" s="190"/>
    </row>
    <row r="1543" spans="1:17" ht="30.7" hidden="1" customHeight="1" outlineLevel="1" x14ac:dyDescent="0.3">
      <c r="A1543" s="1035" t="s">
        <v>3482</v>
      </c>
      <c r="B1543" s="197" t="s">
        <v>823</v>
      </c>
      <c r="C1543" s="195" t="s">
        <v>96</v>
      </c>
      <c r="D1543" s="185">
        <v>1</v>
      </c>
      <c r="E1543" s="185">
        <v>500</v>
      </c>
      <c r="F1543" s="193">
        <v>9538.9699999999993</v>
      </c>
      <c r="G1543" s="1043">
        <f t="shared" si="189"/>
        <v>9538.9699999999993</v>
      </c>
      <c r="H1543" s="1044">
        <f t="shared" si="190"/>
        <v>500</v>
      </c>
      <c r="I1543" s="1043">
        <f t="shared" si="191"/>
        <v>10038.969999999999</v>
      </c>
      <c r="J1543" s="37"/>
      <c r="K1543" s="37"/>
      <c r="M1543" s="190"/>
      <c r="N1543" s="190"/>
    </row>
    <row r="1544" spans="1:17" hidden="1" outlineLevel="1" x14ac:dyDescent="0.3">
      <c r="A1544" s="1035" t="s">
        <v>3483</v>
      </c>
      <c r="B1544" s="197" t="s">
        <v>824</v>
      </c>
      <c r="C1544" s="195" t="s">
        <v>96</v>
      </c>
      <c r="D1544" s="185">
        <v>1</v>
      </c>
      <c r="E1544" s="185">
        <v>500</v>
      </c>
      <c r="F1544" s="193">
        <v>7990.94</v>
      </c>
      <c r="G1544" s="1043">
        <f t="shared" si="189"/>
        <v>7990.94</v>
      </c>
      <c r="H1544" s="1044">
        <f t="shared" si="190"/>
        <v>500</v>
      </c>
      <c r="I1544" s="1043">
        <f t="shared" si="191"/>
        <v>8490.9399999999987</v>
      </c>
      <c r="J1544" s="37"/>
      <c r="K1544" s="37"/>
      <c r="M1544" s="190"/>
      <c r="N1544" s="190"/>
    </row>
    <row r="1545" spans="1:17" hidden="1" outlineLevel="1" x14ac:dyDescent="0.3">
      <c r="A1545" s="1035" t="s">
        <v>3484</v>
      </c>
      <c r="B1545" s="179" t="s">
        <v>825</v>
      </c>
      <c r="C1545" s="195" t="s">
        <v>79</v>
      </c>
      <c r="D1545" s="195">
        <v>180</v>
      </c>
      <c r="E1545" s="195"/>
      <c r="F1545" s="193">
        <v>125</v>
      </c>
      <c r="G1545" s="1043">
        <f t="shared" si="189"/>
        <v>22500</v>
      </c>
      <c r="H1545" s="1044"/>
      <c r="I1545" s="1043">
        <f t="shared" si="191"/>
        <v>22500</v>
      </c>
      <c r="J1545" s="37"/>
      <c r="K1545" s="37"/>
      <c r="M1545" s="190"/>
      <c r="N1545" s="190"/>
      <c r="Q1545" s="190"/>
    </row>
    <row r="1546" spans="1:17" hidden="1" outlineLevel="1" x14ac:dyDescent="0.3">
      <c r="A1546" s="1035" t="s">
        <v>3485</v>
      </c>
      <c r="B1546" s="179" t="s">
        <v>826</v>
      </c>
      <c r="C1546" s="195" t="s">
        <v>79</v>
      </c>
      <c r="D1546" s="195">
        <v>60</v>
      </c>
      <c r="E1546" s="195"/>
      <c r="F1546" s="193">
        <v>125</v>
      </c>
      <c r="G1546" s="1043">
        <f t="shared" si="189"/>
        <v>7500</v>
      </c>
      <c r="H1546" s="1044"/>
      <c r="I1546" s="1043">
        <f t="shared" si="191"/>
        <v>7500</v>
      </c>
      <c r="J1546" s="37"/>
      <c r="K1546" s="37"/>
      <c r="M1546" s="190"/>
      <c r="N1546" s="190"/>
      <c r="Q1546" s="190"/>
    </row>
    <row r="1547" spans="1:17" hidden="1" outlineLevel="1" x14ac:dyDescent="0.3">
      <c r="A1547" s="1035" t="s">
        <v>3486</v>
      </c>
      <c r="B1547" s="179" t="s">
        <v>827</v>
      </c>
      <c r="C1547" s="195" t="s">
        <v>79</v>
      </c>
      <c r="D1547" s="195">
        <v>150</v>
      </c>
      <c r="E1547" s="195"/>
      <c r="F1547" s="193">
        <v>205</v>
      </c>
      <c r="G1547" s="1043">
        <f t="shared" ref="G1547:G1557" si="192">D1547*F1547</f>
        <v>30750</v>
      </c>
      <c r="H1547" s="1044"/>
      <c r="I1547" s="1043">
        <f t="shared" ref="I1547:I1557" si="193">G1547+H1547</f>
        <v>30750</v>
      </c>
      <c r="J1547" s="37"/>
      <c r="K1547" s="37"/>
      <c r="M1547" s="190"/>
      <c r="N1547" s="190"/>
      <c r="Q1547" s="190"/>
    </row>
    <row r="1548" spans="1:17" hidden="1" outlineLevel="1" x14ac:dyDescent="0.3">
      <c r="A1548" s="1035" t="s">
        <v>3487</v>
      </c>
      <c r="B1548" s="179" t="s">
        <v>828</v>
      </c>
      <c r="C1548" s="195" t="s">
        <v>764</v>
      </c>
      <c r="D1548" s="195">
        <v>450</v>
      </c>
      <c r="E1548" s="195"/>
      <c r="F1548" s="193">
        <v>27</v>
      </c>
      <c r="G1548" s="1043">
        <f t="shared" si="192"/>
        <v>12150</v>
      </c>
      <c r="H1548" s="1044"/>
      <c r="I1548" s="1043">
        <f t="shared" si="193"/>
        <v>12150</v>
      </c>
      <c r="J1548" s="37"/>
      <c r="K1548" s="37"/>
      <c r="M1548" s="190"/>
      <c r="N1548" s="190"/>
      <c r="Q1548" s="190"/>
    </row>
    <row r="1549" spans="1:17" hidden="1" outlineLevel="1" x14ac:dyDescent="0.3">
      <c r="A1549" s="1035" t="s">
        <v>3488</v>
      </c>
      <c r="B1549" s="197" t="s">
        <v>829</v>
      </c>
      <c r="C1549" s="195" t="s">
        <v>764</v>
      </c>
      <c r="D1549" s="195">
        <v>1000</v>
      </c>
      <c r="E1549" s="195"/>
      <c r="F1549" s="193">
        <v>27</v>
      </c>
      <c r="G1549" s="1043">
        <f t="shared" si="192"/>
        <v>27000</v>
      </c>
      <c r="H1549" s="1044"/>
      <c r="I1549" s="1043">
        <f t="shared" si="193"/>
        <v>27000</v>
      </c>
      <c r="J1549" s="37"/>
      <c r="K1549" s="37"/>
      <c r="M1549" s="190"/>
      <c r="N1549" s="190"/>
      <c r="Q1549" s="190"/>
    </row>
    <row r="1550" spans="1:17" hidden="1" outlineLevel="1" x14ac:dyDescent="0.3">
      <c r="A1550" s="1035" t="s">
        <v>3489</v>
      </c>
      <c r="B1550" s="179" t="s">
        <v>830</v>
      </c>
      <c r="C1550" s="195" t="s">
        <v>764</v>
      </c>
      <c r="D1550" s="195">
        <v>1000</v>
      </c>
      <c r="E1550" s="195"/>
      <c r="F1550" s="193">
        <v>33</v>
      </c>
      <c r="G1550" s="1043">
        <f t="shared" si="192"/>
        <v>33000</v>
      </c>
      <c r="H1550" s="1044"/>
      <c r="I1550" s="1043">
        <f t="shared" si="193"/>
        <v>33000</v>
      </c>
      <c r="J1550" s="37"/>
      <c r="K1550" s="37"/>
      <c r="M1550" s="190"/>
      <c r="N1550" s="190"/>
      <c r="Q1550" s="190"/>
    </row>
    <row r="1551" spans="1:17" hidden="1" outlineLevel="1" x14ac:dyDescent="0.3">
      <c r="A1551" s="1035" t="s">
        <v>3490</v>
      </c>
      <c r="B1551" s="179" t="s">
        <v>831</v>
      </c>
      <c r="C1551" s="195" t="s">
        <v>764</v>
      </c>
      <c r="D1551" s="195">
        <v>300</v>
      </c>
      <c r="E1551" s="195"/>
      <c r="F1551" s="193">
        <v>79</v>
      </c>
      <c r="G1551" s="1043">
        <f t="shared" si="192"/>
        <v>23700</v>
      </c>
      <c r="H1551" s="1044"/>
      <c r="I1551" s="1043">
        <f t="shared" si="193"/>
        <v>23700</v>
      </c>
      <c r="J1551" s="37"/>
      <c r="K1551" s="37"/>
      <c r="M1551" s="190"/>
      <c r="N1551" s="190"/>
      <c r="Q1551" s="190"/>
    </row>
    <row r="1552" spans="1:17" hidden="1" outlineLevel="1" x14ac:dyDescent="0.3">
      <c r="A1552" s="1035" t="s">
        <v>3491</v>
      </c>
      <c r="B1552" s="179" t="s">
        <v>832</v>
      </c>
      <c r="C1552" s="195" t="s">
        <v>833</v>
      </c>
      <c r="D1552" s="195">
        <v>500</v>
      </c>
      <c r="E1552" s="195"/>
      <c r="F1552" s="193">
        <v>110</v>
      </c>
      <c r="G1552" s="1043">
        <f t="shared" si="192"/>
        <v>55000</v>
      </c>
      <c r="H1552" s="1044"/>
      <c r="I1552" s="1043">
        <f t="shared" si="193"/>
        <v>55000</v>
      </c>
      <c r="J1552" s="37"/>
      <c r="K1552" s="37"/>
      <c r="M1552" s="190"/>
      <c r="N1552" s="190"/>
      <c r="Q1552" s="190"/>
    </row>
    <row r="1553" spans="1:20" hidden="1" outlineLevel="1" x14ac:dyDescent="0.3">
      <c r="A1553" s="1035" t="s">
        <v>3492</v>
      </c>
      <c r="B1553" s="179" t="s">
        <v>834</v>
      </c>
      <c r="C1553" s="195" t="s">
        <v>96</v>
      </c>
      <c r="D1553" s="195">
        <v>500</v>
      </c>
      <c r="E1553" s="195"/>
      <c r="F1553" s="193">
        <v>4.5</v>
      </c>
      <c r="G1553" s="1043">
        <f t="shared" si="192"/>
        <v>2250</v>
      </c>
      <c r="H1553" s="1044"/>
      <c r="I1553" s="1043">
        <f t="shared" si="193"/>
        <v>2250</v>
      </c>
      <c r="J1553" s="37"/>
      <c r="K1553" s="37"/>
      <c r="M1553" s="190"/>
      <c r="N1553" s="190"/>
      <c r="Q1553" s="190"/>
    </row>
    <row r="1554" spans="1:20" hidden="1" outlineLevel="1" x14ac:dyDescent="0.3">
      <c r="A1554" s="1035" t="s">
        <v>3493</v>
      </c>
      <c r="B1554" s="179" t="s">
        <v>835</v>
      </c>
      <c r="C1554" s="195" t="s">
        <v>96</v>
      </c>
      <c r="D1554" s="195">
        <v>20</v>
      </c>
      <c r="E1554" s="195"/>
      <c r="F1554" s="193">
        <v>400</v>
      </c>
      <c r="G1554" s="1043">
        <f t="shared" si="192"/>
        <v>8000</v>
      </c>
      <c r="H1554" s="1044"/>
      <c r="I1554" s="1043">
        <f t="shared" si="193"/>
        <v>8000</v>
      </c>
      <c r="J1554" s="37"/>
      <c r="K1554" s="37"/>
      <c r="M1554" s="190"/>
      <c r="N1554" s="190"/>
      <c r="Q1554" s="190"/>
    </row>
    <row r="1555" spans="1:20" hidden="1" outlineLevel="1" x14ac:dyDescent="0.3">
      <c r="A1555" s="1035" t="s">
        <v>3494</v>
      </c>
      <c r="B1555" s="179" t="s">
        <v>836</v>
      </c>
      <c r="C1555" s="195" t="s">
        <v>764</v>
      </c>
      <c r="D1555" s="26">
        <v>150</v>
      </c>
      <c r="E1555" s="26"/>
      <c r="F1555" s="193">
        <v>23</v>
      </c>
      <c r="G1555" s="1043">
        <f t="shared" si="192"/>
        <v>3450</v>
      </c>
      <c r="H1555" s="1044"/>
      <c r="I1555" s="1043">
        <f t="shared" si="193"/>
        <v>3450</v>
      </c>
      <c r="J1555" s="37"/>
      <c r="K1555" s="37"/>
      <c r="M1555" s="190"/>
      <c r="N1555" s="190"/>
      <c r="Q1555" s="190"/>
    </row>
    <row r="1556" spans="1:20" hidden="1" outlineLevel="1" x14ac:dyDescent="0.3">
      <c r="A1556" s="1035" t="s">
        <v>3495</v>
      </c>
      <c r="B1556" s="179" t="s">
        <v>837</v>
      </c>
      <c r="C1556" s="195" t="s">
        <v>96</v>
      </c>
      <c r="D1556" s="26">
        <v>600</v>
      </c>
      <c r="E1556" s="26"/>
      <c r="F1556" s="193">
        <v>4</v>
      </c>
      <c r="G1556" s="1043">
        <f t="shared" si="192"/>
        <v>2400</v>
      </c>
      <c r="H1556" s="1044"/>
      <c r="I1556" s="1043">
        <f t="shared" si="193"/>
        <v>2400</v>
      </c>
      <c r="J1556" s="37"/>
      <c r="K1556" s="37"/>
      <c r="M1556" s="190"/>
      <c r="N1556" s="190"/>
      <c r="Q1556" s="190"/>
    </row>
    <row r="1557" spans="1:20" hidden="1" outlineLevel="1" x14ac:dyDescent="0.3">
      <c r="A1557" s="1035" t="s">
        <v>3496</v>
      </c>
      <c r="B1557" s="179" t="s">
        <v>838</v>
      </c>
      <c r="C1557" s="195" t="s">
        <v>96</v>
      </c>
      <c r="D1557" s="195">
        <v>150</v>
      </c>
      <c r="E1557" s="195"/>
      <c r="F1557" s="193">
        <v>24</v>
      </c>
      <c r="G1557" s="1043">
        <f t="shared" si="192"/>
        <v>3600</v>
      </c>
      <c r="H1557" s="1044"/>
      <c r="I1557" s="1043">
        <f t="shared" si="193"/>
        <v>3600</v>
      </c>
      <c r="J1557" s="37"/>
      <c r="K1557" s="36"/>
      <c r="M1557" s="190"/>
      <c r="N1557" s="190"/>
      <c r="Q1557" s="190"/>
    </row>
    <row r="1558" spans="1:20" ht="1.6" hidden="1" customHeight="1" outlineLevel="1" x14ac:dyDescent="0.3">
      <c r="A1558" s="1034">
        <v>83</v>
      </c>
      <c r="B1558" s="194"/>
      <c r="C1558" s="195"/>
      <c r="D1558" s="195"/>
      <c r="E1558" s="195"/>
      <c r="F1558" s="188"/>
      <c r="G1558" s="1043"/>
      <c r="H1558" s="1044"/>
      <c r="I1558" s="1045"/>
      <c r="J1558" s="37"/>
      <c r="K1558" s="37"/>
      <c r="M1558" s="190"/>
      <c r="N1558" s="190"/>
    </row>
    <row r="1559" spans="1:20" hidden="1" outlineLevel="1" x14ac:dyDescent="0.3">
      <c r="A1559" s="179"/>
      <c r="B1559" s="179"/>
      <c r="C1559" s="179"/>
      <c r="D1559" s="179"/>
      <c r="E1559" s="179"/>
      <c r="F1559" s="191"/>
      <c r="G1559" s="1046">
        <f>SUM(G1482:G1558)</f>
        <v>6477888.459999999</v>
      </c>
      <c r="H1559" s="1046">
        <f>SUM(H1482:H1558)</f>
        <v>2140621.75</v>
      </c>
      <c r="I1559" s="1046">
        <f>SUM(I1482:I1558)</f>
        <v>8618510.2099999972</v>
      </c>
      <c r="J1559" s="37"/>
      <c r="K1559" s="37"/>
      <c r="M1559" s="190"/>
      <c r="N1559" s="190"/>
      <c r="Q1559" s="190"/>
      <c r="T1559" s="190"/>
    </row>
    <row r="1560" spans="1:20" ht="28.5" hidden="1" customHeight="1" outlineLevel="1" x14ac:dyDescent="0.35">
      <c r="A1560" s="179"/>
      <c r="B1560" s="1430" t="s">
        <v>839</v>
      </c>
      <c r="C1560" s="1431"/>
      <c r="D1560" s="1431"/>
      <c r="E1560" s="1431"/>
      <c r="F1560" s="1432"/>
      <c r="G1560" s="1047"/>
      <c r="H1560" s="1048"/>
      <c r="I1560" s="1045"/>
      <c r="K1560" s="190"/>
      <c r="L1560" s="190"/>
      <c r="M1560" s="22"/>
      <c r="N1560" s="205"/>
    </row>
    <row r="1561" spans="1:20" hidden="1" outlineLevel="1" x14ac:dyDescent="0.3">
      <c r="A1561" s="9"/>
      <c r="C1561" s="9"/>
      <c r="D1561" s="9"/>
      <c r="E1561" s="9"/>
      <c r="F1561" s="9"/>
    </row>
    <row r="1562" spans="1:20" hidden="1" outlineLevel="1" x14ac:dyDescent="0.3">
      <c r="A1562" s="9"/>
      <c r="B1562" s="1419" t="s">
        <v>880</v>
      </c>
      <c r="C1562" s="1419"/>
      <c r="D1562" s="1419"/>
      <c r="E1562" s="1419"/>
      <c r="F1562" s="1419"/>
      <c r="G1562" s="1419"/>
      <c r="H1562" s="1419"/>
      <c r="I1562" s="1419"/>
      <c r="J1562" s="1419"/>
    </row>
    <row r="1563" spans="1:20" hidden="1" outlineLevel="1" x14ac:dyDescent="0.3">
      <c r="A1563" s="9"/>
      <c r="C1563" s="9"/>
      <c r="D1563" s="9"/>
      <c r="E1563" s="9"/>
      <c r="F1563" s="9"/>
    </row>
    <row r="1564" spans="1:20" hidden="1" outlineLevel="1" x14ac:dyDescent="0.3">
      <c r="A1564" s="1420" t="s">
        <v>841</v>
      </c>
      <c r="B1564" s="1420"/>
      <c r="C1564" s="1420"/>
      <c r="D1564" s="1420"/>
      <c r="E1564" s="1420"/>
      <c r="F1564" s="1420"/>
      <c r="G1564" s="1045"/>
      <c r="H1564" s="1045"/>
      <c r="I1564" s="1045"/>
    </row>
    <row r="1565" spans="1:20" hidden="1" outlineLevel="1" x14ac:dyDescent="0.3">
      <c r="A1565" s="207" t="s">
        <v>3497</v>
      </c>
      <c r="B1565" s="208" t="s">
        <v>842</v>
      </c>
      <c r="C1565" s="207" t="s">
        <v>318</v>
      </c>
      <c r="D1565" s="207" t="s">
        <v>843</v>
      </c>
      <c r="E1565" s="209">
        <v>175</v>
      </c>
      <c r="F1565" s="210">
        <v>311.98</v>
      </c>
      <c r="G1565" s="1049">
        <f>D1565*F1565</f>
        <v>54908.480000000003</v>
      </c>
      <c r="H1565" s="1050">
        <f>D1565*E1565</f>
        <v>30800</v>
      </c>
      <c r="I1565" s="1043">
        <f>G1565+H1565</f>
        <v>85708.48000000001</v>
      </c>
    </row>
    <row r="1566" spans="1:20" hidden="1" outlineLevel="1" x14ac:dyDescent="0.3">
      <c r="A1566" s="207" t="s">
        <v>3498</v>
      </c>
      <c r="B1566" s="208" t="s">
        <v>844</v>
      </c>
      <c r="C1566" s="207" t="s">
        <v>318</v>
      </c>
      <c r="D1566" s="207" t="s">
        <v>49</v>
      </c>
      <c r="E1566" s="209">
        <v>210</v>
      </c>
      <c r="F1566" s="210">
        <v>360</v>
      </c>
      <c r="G1566" s="1049">
        <f t="shared" ref="G1566:G1579" si="194">D1566*F1566</f>
        <v>1080</v>
      </c>
      <c r="H1566" s="1050">
        <f t="shared" ref="H1566:H1579" si="195">D1566*E1566</f>
        <v>630</v>
      </c>
      <c r="I1566" s="1043">
        <f t="shared" ref="I1566:I1579" si="196">G1566+H1566</f>
        <v>1710</v>
      </c>
    </row>
    <row r="1567" spans="1:20" hidden="1" outlineLevel="1" x14ac:dyDescent="0.3">
      <c r="A1567" s="207" t="s">
        <v>3499</v>
      </c>
      <c r="B1567" s="208" t="s">
        <v>844</v>
      </c>
      <c r="C1567" s="207" t="s">
        <v>318</v>
      </c>
      <c r="D1567" s="207" t="s">
        <v>845</v>
      </c>
      <c r="E1567" s="209">
        <v>210</v>
      </c>
      <c r="F1567" s="210">
        <v>371.4</v>
      </c>
      <c r="G1567" s="1049">
        <f t="shared" si="194"/>
        <v>30826.199999999997</v>
      </c>
      <c r="H1567" s="1050">
        <f t="shared" si="195"/>
        <v>17430</v>
      </c>
      <c r="I1567" s="1043">
        <f t="shared" si="196"/>
        <v>48256.2</v>
      </c>
    </row>
    <row r="1568" spans="1:20" hidden="1" outlineLevel="1" x14ac:dyDescent="0.3">
      <c r="A1568" s="207" t="s">
        <v>3500</v>
      </c>
      <c r="B1568" s="208" t="s">
        <v>846</v>
      </c>
      <c r="C1568" s="207" t="s">
        <v>318</v>
      </c>
      <c r="D1568" s="207" t="s">
        <v>847</v>
      </c>
      <c r="E1568" s="209">
        <v>245</v>
      </c>
      <c r="F1568" s="210">
        <v>422.4</v>
      </c>
      <c r="G1568" s="1049">
        <f t="shared" si="194"/>
        <v>7180.7999999999993</v>
      </c>
      <c r="H1568" s="1050">
        <f t="shared" si="195"/>
        <v>4165</v>
      </c>
      <c r="I1568" s="1043">
        <f t="shared" si="196"/>
        <v>11345.8</v>
      </c>
    </row>
    <row r="1569" spans="1:9" hidden="1" outlineLevel="1" x14ac:dyDescent="0.3">
      <c r="A1569" s="207" t="s">
        <v>3501</v>
      </c>
      <c r="B1569" s="208" t="s">
        <v>846</v>
      </c>
      <c r="C1569" s="207" t="s">
        <v>318</v>
      </c>
      <c r="D1569" s="207" t="s">
        <v>848</v>
      </c>
      <c r="E1569" s="209">
        <v>245</v>
      </c>
      <c r="F1569" s="210">
        <v>435.78</v>
      </c>
      <c r="G1569" s="1049">
        <f t="shared" si="194"/>
        <v>108509.21999999999</v>
      </c>
      <c r="H1569" s="1050">
        <f t="shared" si="195"/>
        <v>61005</v>
      </c>
      <c r="I1569" s="1043">
        <f t="shared" si="196"/>
        <v>169514.21999999997</v>
      </c>
    </row>
    <row r="1570" spans="1:9" hidden="1" outlineLevel="1" x14ac:dyDescent="0.3">
      <c r="A1570" s="207" t="s">
        <v>3502</v>
      </c>
      <c r="B1570" s="208" t="s">
        <v>850</v>
      </c>
      <c r="C1570" s="207" t="s">
        <v>318</v>
      </c>
      <c r="D1570" s="207" t="s">
        <v>32</v>
      </c>
      <c r="E1570" s="209">
        <v>280</v>
      </c>
      <c r="F1570" s="210">
        <v>480</v>
      </c>
      <c r="G1570" s="1049">
        <f t="shared" si="194"/>
        <v>480</v>
      </c>
      <c r="H1570" s="1050">
        <f t="shared" si="195"/>
        <v>280</v>
      </c>
      <c r="I1570" s="1043">
        <f t="shared" si="196"/>
        <v>760</v>
      </c>
    </row>
    <row r="1571" spans="1:9" hidden="1" outlineLevel="1" x14ac:dyDescent="0.3">
      <c r="A1571" s="207" t="s">
        <v>3503</v>
      </c>
      <c r="B1571" s="208" t="s">
        <v>850</v>
      </c>
      <c r="C1571" s="207" t="s">
        <v>318</v>
      </c>
      <c r="D1571" s="207" t="s">
        <v>845</v>
      </c>
      <c r="E1571" s="209">
        <v>280</v>
      </c>
      <c r="F1571" s="210">
        <v>495.2</v>
      </c>
      <c r="G1571" s="1049">
        <f t="shared" si="194"/>
        <v>41101.599999999999</v>
      </c>
      <c r="H1571" s="1050">
        <f t="shared" si="195"/>
        <v>23240</v>
      </c>
      <c r="I1571" s="1043">
        <f t="shared" si="196"/>
        <v>64341.599999999999</v>
      </c>
    </row>
    <row r="1572" spans="1:9" ht="27.7" hidden="1" customHeight="1" outlineLevel="1" x14ac:dyDescent="0.3">
      <c r="A1572" s="207" t="s">
        <v>3504</v>
      </c>
      <c r="B1572" s="208" t="s">
        <v>852</v>
      </c>
      <c r="C1572" s="207" t="s">
        <v>318</v>
      </c>
      <c r="D1572" s="207" t="s">
        <v>849</v>
      </c>
      <c r="E1572" s="209">
        <v>350</v>
      </c>
      <c r="F1572" s="210">
        <v>600</v>
      </c>
      <c r="G1572" s="1049">
        <f t="shared" si="194"/>
        <v>3600</v>
      </c>
      <c r="H1572" s="1050">
        <f t="shared" si="195"/>
        <v>2100</v>
      </c>
      <c r="I1572" s="1043">
        <f t="shared" si="196"/>
        <v>5700</v>
      </c>
    </row>
    <row r="1573" spans="1:9" hidden="1" outlineLevel="1" x14ac:dyDescent="0.3">
      <c r="A1573" s="207" t="s">
        <v>3505</v>
      </c>
      <c r="B1573" s="208" t="s">
        <v>853</v>
      </c>
      <c r="C1573" s="207" t="s">
        <v>318</v>
      </c>
      <c r="D1573" s="207" t="s">
        <v>854</v>
      </c>
      <c r="E1573" s="209">
        <v>350</v>
      </c>
      <c r="F1573" s="210">
        <v>608</v>
      </c>
      <c r="G1573" s="1049">
        <f t="shared" si="194"/>
        <v>107616</v>
      </c>
      <c r="H1573" s="1050">
        <f t="shared" si="195"/>
        <v>61950</v>
      </c>
      <c r="I1573" s="1043">
        <f t="shared" si="196"/>
        <v>169566</v>
      </c>
    </row>
    <row r="1574" spans="1:9" hidden="1" outlineLevel="1" x14ac:dyDescent="0.3">
      <c r="A1574" s="207" t="s">
        <v>3506</v>
      </c>
      <c r="B1574" s="208" t="s">
        <v>855</v>
      </c>
      <c r="C1574" s="212" t="s">
        <v>74</v>
      </c>
      <c r="D1574" s="207" t="s">
        <v>856</v>
      </c>
      <c r="E1574" s="209">
        <v>70</v>
      </c>
      <c r="F1574" s="213">
        <v>167.5</v>
      </c>
      <c r="G1574" s="1049">
        <f t="shared" si="194"/>
        <v>98155</v>
      </c>
      <c r="H1574" s="1050">
        <f t="shared" si="195"/>
        <v>41020</v>
      </c>
      <c r="I1574" s="1043">
        <f t="shared" si="196"/>
        <v>139175</v>
      </c>
    </row>
    <row r="1575" spans="1:9" hidden="1" outlineLevel="1" x14ac:dyDescent="0.3">
      <c r="A1575" s="207" t="s">
        <v>3507</v>
      </c>
      <c r="B1575" s="208" t="s">
        <v>858</v>
      </c>
      <c r="C1575" s="207" t="s">
        <v>79</v>
      </c>
      <c r="D1575" s="207" t="s">
        <v>859</v>
      </c>
      <c r="E1575" s="209">
        <v>21</v>
      </c>
      <c r="F1575" s="213">
        <v>92</v>
      </c>
      <c r="G1575" s="1049">
        <f t="shared" si="194"/>
        <v>61640</v>
      </c>
      <c r="H1575" s="1050">
        <f t="shared" si="195"/>
        <v>14070</v>
      </c>
      <c r="I1575" s="1043">
        <f t="shared" si="196"/>
        <v>75710</v>
      </c>
    </row>
    <row r="1576" spans="1:9" hidden="1" outlineLevel="1" x14ac:dyDescent="0.3">
      <c r="A1576" s="207" t="s">
        <v>3508</v>
      </c>
      <c r="B1576" s="208" t="s">
        <v>861</v>
      </c>
      <c r="C1576" s="207" t="s">
        <v>96</v>
      </c>
      <c r="D1576" s="207" t="s">
        <v>41</v>
      </c>
      <c r="E1576" s="209">
        <v>150</v>
      </c>
      <c r="F1576" s="193">
        <v>365.4</v>
      </c>
      <c r="G1576" s="1049">
        <f t="shared" si="194"/>
        <v>730.8</v>
      </c>
      <c r="H1576" s="1050">
        <f t="shared" si="195"/>
        <v>300</v>
      </c>
      <c r="I1576" s="1043">
        <f t="shared" si="196"/>
        <v>1030.8</v>
      </c>
    </row>
    <row r="1577" spans="1:9" hidden="1" outlineLevel="1" x14ac:dyDescent="0.3">
      <c r="A1577" s="207" t="s">
        <v>3509</v>
      </c>
      <c r="B1577" s="208" t="s">
        <v>863</v>
      </c>
      <c r="C1577" s="207" t="s">
        <v>96</v>
      </c>
      <c r="D1577" s="207" t="s">
        <v>296</v>
      </c>
      <c r="E1577" s="209">
        <v>150</v>
      </c>
      <c r="F1577" s="193">
        <v>483</v>
      </c>
      <c r="G1577" s="1049">
        <f t="shared" si="194"/>
        <v>1932</v>
      </c>
      <c r="H1577" s="1050">
        <f t="shared" si="195"/>
        <v>600</v>
      </c>
      <c r="I1577" s="1043">
        <f t="shared" si="196"/>
        <v>2532</v>
      </c>
    </row>
    <row r="1578" spans="1:9" hidden="1" outlineLevel="1" x14ac:dyDescent="0.3">
      <c r="A1578" s="207" t="s">
        <v>3510</v>
      </c>
      <c r="B1578" s="208" t="s">
        <v>865</v>
      </c>
      <c r="C1578" s="207" t="s">
        <v>96</v>
      </c>
      <c r="D1578" s="207" t="s">
        <v>32</v>
      </c>
      <c r="E1578" s="209">
        <v>150</v>
      </c>
      <c r="F1578" s="213">
        <v>523.20000000000005</v>
      </c>
      <c r="G1578" s="1049">
        <f t="shared" si="194"/>
        <v>523.20000000000005</v>
      </c>
      <c r="H1578" s="1050">
        <f t="shared" si="195"/>
        <v>150</v>
      </c>
      <c r="I1578" s="1043">
        <f t="shared" si="196"/>
        <v>673.2</v>
      </c>
    </row>
    <row r="1579" spans="1:9" hidden="1" outlineLevel="1" x14ac:dyDescent="0.3">
      <c r="A1579" s="207" t="s">
        <v>3511</v>
      </c>
      <c r="B1579" s="208" t="s">
        <v>867</v>
      </c>
      <c r="C1579" s="207" t="s">
        <v>96</v>
      </c>
      <c r="D1579" s="207" t="s">
        <v>296</v>
      </c>
      <c r="E1579" s="209">
        <v>150</v>
      </c>
      <c r="F1579" s="213">
        <v>567.79999999999995</v>
      </c>
      <c r="G1579" s="1049">
        <f t="shared" si="194"/>
        <v>2271.1999999999998</v>
      </c>
      <c r="H1579" s="1050">
        <f t="shared" si="195"/>
        <v>600</v>
      </c>
      <c r="I1579" s="1043">
        <f t="shared" si="196"/>
        <v>2871.2</v>
      </c>
    </row>
    <row r="1580" spans="1:9" ht="15.65" hidden="1" outlineLevel="1" x14ac:dyDescent="0.3">
      <c r="A1580" s="179"/>
      <c r="B1580" s="179"/>
      <c r="C1580" s="179"/>
      <c r="D1580" s="179"/>
      <c r="E1580" s="191"/>
      <c r="F1580" s="191"/>
      <c r="G1580" s="1051">
        <f>SUM(G1565:G1579)</f>
        <v>520554.5</v>
      </c>
      <c r="H1580" s="1051">
        <f>SUM(H1565:H1579)</f>
        <v>258340</v>
      </c>
      <c r="I1580" s="1051">
        <f>SUM(I1565:I1579)</f>
        <v>778894.49999999988</v>
      </c>
    </row>
    <row r="1581" spans="1:9" ht="18.2" hidden="1" outlineLevel="1" x14ac:dyDescent="0.3">
      <c r="A1581" s="9"/>
      <c r="B1581" s="929" t="s">
        <v>839</v>
      </c>
      <c r="C1581" s="930"/>
      <c r="D1581" s="930"/>
      <c r="E1581" s="930"/>
      <c r="F1581" s="931"/>
    </row>
    <row r="1582" spans="1:9" collapsed="1" x14ac:dyDescent="0.3">
      <c r="A1582" s="1033" t="s">
        <v>1799</v>
      </c>
      <c r="B1582" s="1013" t="s">
        <v>1019</v>
      </c>
      <c r="C1582" s="1077"/>
      <c r="D1582" s="1077"/>
      <c r="E1582" s="156"/>
      <c r="F1582" s="156"/>
      <c r="G1582" s="1040">
        <f>3061936.3</f>
        <v>3061936.3</v>
      </c>
      <c r="H1582" s="1040">
        <f>H1583+H1659+H1676+H1699</f>
        <v>9827422.3000000007</v>
      </c>
      <c r="I1582" s="1040">
        <f>G1582+H1582</f>
        <v>12889358.600000001</v>
      </c>
    </row>
    <row r="1583" spans="1:9" hidden="1" outlineLevel="1" collapsed="1" x14ac:dyDescent="0.3">
      <c r="A1583" s="1346" t="s">
        <v>1800</v>
      </c>
      <c r="B1583" s="1016" t="s">
        <v>881</v>
      </c>
      <c r="C1583" s="1347"/>
      <c r="D1583" s="1347"/>
      <c r="E1583" s="1348"/>
      <c r="F1583" s="1348"/>
      <c r="G1583" s="1349"/>
      <c r="H1583" s="1349">
        <f>H1645+H1658</f>
        <v>7142414.1600000001</v>
      </c>
      <c r="I1583" s="1349"/>
    </row>
    <row r="1584" spans="1:9" customFormat="1" hidden="1" outlineLevel="2" x14ac:dyDescent="0.3">
      <c r="A1584" s="318" t="s">
        <v>1801</v>
      </c>
      <c r="B1584" s="1007" t="s">
        <v>1046</v>
      </c>
      <c r="C1584" s="1361">
        <v>58</v>
      </c>
      <c r="D1584" s="1107" t="s">
        <v>44</v>
      </c>
      <c r="E1584" s="432"/>
      <c r="F1584" s="1361">
        <v>1150</v>
      </c>
      <c r="G1584" s="1350"/>
      <c r="H1584" s="1362">
        <f t="shared" ref="H1584:H1615" si="197">F1584*C1584</f>
        <v>66700</v>
      </c>
      <c r="I1584" s="1350"/>
    </row>
    <row r="1585" spans="1:9" customFormat="1" hidden="1" outlineLevel="2" x14ac:dyDescent="0.3">
      <c r="A1585" s="318" t="s">
        <v>1802</v>
      </c>
      <c r="B1585" s="1007" t="s">
        <v>884</v>
      </c>
      <c r="C1585" s="1361">
        <v>100</v>
      </c>
      <c r="D1585" s="1107" t="s">
        <v>44</v>
      </c>
      <c r="E1585" s="432"/>
      <c r="F1585" s="1361">
        <v>1150</v>
      </c>
      <c r="G1585" s="1350"/>
      <c r="H1585" s="1362">
        <f t="shared" si="197"/>
        <v>115000</v>
      </c>
      <c r="I1585" s="1350"/>
    </row>
    <row r="1586" spans="1:9" customFormat="1" hidden="1" outlineLevel="2" x14ac:dyDescent="0.3">
      <c r="A1586" s="318" t="s">
        <v>1803</v>
      </c>
      <c r="B1586" s="1007" t="s">
        <v>885</v>
      </c>
      <c r="C1586" s="1361">
        <v>53</v>
      </c>
      <c r="D1586" s="1107" t="s">
        <v>44</v>
      </c>
      <c r="E1586" s="432"/>
      <c r="F1586" s="1361">
        <v>3000</v>
      </c>
      <c r="G1586" s="1350"/>
      <c r="H1586" s="1362">
        <f t="shared" si="197"/>
        <v>159000</v>
      </c>
      <c r="I1586" s="1350"/>
    </row>
    <row r="1587" spans="1:9" customFormat="1" ht="28.8" hidden="1" outlineLevel="2" x14ac:dyDescent="0.3">
      <c r="A1587" s="318" t="s">
        <v>1804</v>
      </c>
      <c r="B1587" s="1007" t="s">
        <v>886</v>
      </c>
      <c r="C1587" s="1361">
        <v>294</v>
      </c>
      <c r="D1587" s="1107" t="s">
        <v>44</v>
      </c>
      <c r="E1587" s="432"/>
      <c r="F1587" s="1361">
        <v>729.64</v>
      </c>
      <c r="G1587" s="1350"/>
      <c r="H1587" s="1362">
        <f t="shared" si="197"/>
        <v>214514.16</v>
      </c>
      <c r="I1587" s="1350"/>
    </row>
    <row r="1588" spans="1:9" customFormat="1" hidden="1" outlineLevel="2" x14ac:dyDescent="0.3">
      <c r="A1588" s="318" t="s">
        <v>1805</v>
      </c>
      <c r="B1588" s="1007" t="s">
        <v>887</v>
      </c>
      <c r="C1588" s="1361">
        <v>72</v>
      </c>
      <c r="D1588" s="1107" t="s">
        <v>44</v>
      </c>
      <c r="E1588" s="432"/>
      <c r="F1588" s="1361">
        <v>860</v>
      </c>
      <c r="G1588" s="1350"/>
      <c r="H1588" s="1362">
        <f t="shared" si="197"/>
        <v>61920</v>
      </c>
      <c r="I1588" s="1350"/>
    </row>
    <row r="1589" spans="1:9" customFormat="1" hidden="1" outlineLevel="2" x14ac:dyDescent="0.3">
      <c r="A1589" s="318" t="s">
        <v>1806</v>
      </c>
      <c r="B1589" s="1007" t="s">
        <v>1047</v>
      </c>
      <c r="C1589" s="1361">
        <v>48</v>
      </c>
      <c r="D1589" s="1107" t="s">
        <v>44</v>
      </c>
      <c r="E1589" s="432"/>
      <c r="F1589" s="1361">
        <v>600</v>
      </c>
      <c r="G1589" s="1350"/>
      <c r="H1589" s="1362">
        <f t="shared" si="197"/>
        <v>28800</v>
      </c>
      <c r="I1589" s="1350"/>
    </row>
    <row r="1590" spans="1:9" customFormat="1" hidden="1" outlineLevel="2" x14ac:dyDescent="0.3">
      <c r="A1590" s="318" t="s">
        <v>1807</v>
      </c>
      <c r="B1590" s="1007" t="s">
        <v>888</v>
      </c>
      <c r="C1590" s="1361">
        <v>1</v>
      </c>
      <c r="D1590" s="1107" t="s">
        <v>44</v>
      </c>
      <c r="E1590" s="432"/>
      <c r="F1590" s="1361">
        <v>25000</v>
      </c>
      <c r="G1590" s="1350"/>
      <c r="H1590" s="1362">
        <f t="shared" si="197"/>
        <v>25000</v>
      </c>
      <c r="I1590" s="1350"/>
    </row>
    <row r="1591" spans="1:9" customFormat="1" hidden="1" outlineLevel="2" x14ac:dyDescent="0.3">
      <c r="A1591" s="318" t="s">
        <v>1808</v>
      </c>
      <c r="B1591" s="1007" t="s">
        <v>889</v>
      </c>
      <c r="C1591" s="1361">
        <v>52</v>
      </c>
      <c r="D1591" s="1107" t="s">
        <v>44</v>
      </c>
      <c r="E1591" s="432"/>
      <c r="F1591" s="1361">
        <v>3000</v>
      </c>
      <c r="G1591" s="1350"/>
      <c r="H1591" s="1362">
        <f t="shared" si="197"/>
        <v>156000</v>
      </c>
      <c r="I1591" s="1350"/>
    </row>
    <row r="1592" spans="1:9" customFormat="1" hidden="1" outlineLevel="2" x14ac:dyDescent="0.3">
      <c r="A1592" s="318" t="s">
        <v>1809</v>
      </c>
      <c r="B1592" s="1007" t="s">
        <v>890</v>
      </c>
      <c r="C1592" s="1361">
        <v>4</v>
      </c>
      <c r="D1592" s="1107" t="s">
        <v>44</v>
      </c>
      <c r="E1592" s="432"/>
      <c r="F1592" s="1361">
        <v>5800</v>
      </c>
      <c r="G1592" s="1350"/>
      <c r="H1592" s="1362">
        <f t="shared" si="197"/>
        <v>23200</v>
      </c>
      <c r="I1592" s="1350"/>
    </row>
    <row r="1593" spans="1:9" customFormat="1" hidden="1" outlineLevel="2" x14ac:dyDescent="0.3">
      <c r="A1593" s="318" t="s">
        <v>3512</v>
      </c>
      <c r="B1593" s="1007" t="s">
        <v>893</v>
      </c>
      <c r="C1593" s="1361">
        <v>78</v>
      </c>
      <c r="D1593" s="1107" t="s">
        <v>44</v>
      </c>
      <c r="E1593" s="432"/>
      <c r="F1593" s="1361">
        <v>26</v>
      </c>
      <c r="G1593" s="1350"/>
      <c r="H1593" s="1362">
        <f t="shared" si="197"/>
        <v>2028</v>
      </c>
      <c r="I1593" s="1350"/>
    </row>
    <row r="1594" spans="1:9" customFormat="1" hidden="1" outlineLevel="2" x14ac:dyDescent="0.3">
      <c r="A1594" s="318" t="s">
        <v>3513</v>
      </c>
      <c r="B1594" s="1007" t="s">
        <v>894</v>
      </c>
      <c r="C1594" s="1361">
        <v>78</v>
      </c>
      <c r="D1594" s="1107" t="s">
        <v>44</v>
      </c>
      <c r="E1594" s="432"/>
      <c r="F1594" s="1361">
        <v>110</v>
      </c>
      <c r="G1594" s="1350"/>
      <c r="H1594" s="1362">
        <f t="shared" si="197"/>
        <v>8580</v>
      </c>
      <c r="I1594" s="1350"/>
    </row>
    <row r="1595" spans="1:9" customFormat="1" hidden="1" outlineLevel="2" x14ac:dyDescent="0.3">
      <c r="A1595" s="318" t="s">
        <v>3514</v>
      </c>
      <c r="B1595" s="1007" t="s">
        <v>892</v>
      </c>
      <c r="C1595" s="1361">
        <v>121</v>
      </c>
      <c r="D1595" s="1107" t="s">
        <v>44</v>
      </c>
      <c r="E1595" s="432"/>
      <c r="F1595" s="1361">
        <v>762</v>
      </c>
      <c r="G1595" s="1350"/>
      <c r="H1595" s="1362">
        <f t="shared" si="197"/>
        <v>92202</v>
      </c>
      <c r="I1595" s="1350"/>
    </row>
    <row r="1596" spans="1:9" customFormat="1" hidden="1" outlineLevel="2" x14ac:dyDescent="0.3">
      <c r="A1596" s="318" t="s">
        <v>3515</v>
      </c>
      <c r="B1596" s="1007" t="s">
        <v>1048</v>
      </c>
      <c r="C1596" s="1361">
        <v>7</v>
      </c>
      <c r="D1596" s="1107" t="s">
        <v>44</v>
      </c>
      <c r="E1596" s="432"/>
      <c r="F1596" s="1361">
        <v>1882</v>
      </c>
      <c r="G1596" s="1350"/>
      <c r="H1596" s="1362">
        <f t="shared" si="197"/>
        <v>13174</v>
      </c>
      <c r="I1596" s="1350"/>
    </row>
    <row r="1597" spans="1:9" customFormat="1" hidden="1" outlineLevel="2" x14ac:dyDescent="0.3">
      <c r="A1597" s="318" t="s">
        <v>3516</v>
      </c>
      <c r="B1597" s="1007" t="s">
        <v>891</v>
      </c>
      <c r="C1597" s="1361">
        <v>1</v>
      </c>
      <c r="D1597" s="1107" t="s">
        <v>44</v>
      </c>
      <c r="E1597" s="432"/>
      <c r="F1597" s="1361">
        <v>258</v>
      </c>
      <c r="G1597" s="1350"/>
      <c r="H1597" s="1362">
        <f t="shared" si="197"/>
        <v>258</v>
      </c>
      <c r="I1597" s="1350"/>
    </row>
    <row r="1598" spans="1:9" customFormat="1" hidden="1" outlineLevel="2" x14ac:dyDescent="0.3">
      <c r="A1598" s="318" t="s">
        <v>3517</v>
      </c>
      <c r="B1598" s="1007" t="s">
        <v>895</v>
      </c>
      <c r="C1598" s="1361">
        <v>1</v>
      </c>
      <c r="D1598" s="1107" t="s">
        <v>44</v>
      </c>
      <c r="E1598" s="432"/>
      <c r="F1598" s="1361">
        <v>10.87</v>
      </c>
      <c r="G1598" s="1350"/>
      <c r="H1598" s="1362">
        <f t="shared" si="197"/>
        <v>10.87</v>
      </c>
      <c r="I1598" s="1350"/>
    </row>
    <row r="1599" spans="1:9" customFormat="1" hidden="1" outlineLevel="2" x14ac:dyDescent="0.3">
      <c r="A1599" s="318" t="s">
        <v>3518</v>
      </c>
      <c r="B1599" s="1007" t="s">
        <v>923</v>
      </c>
      <c r="C1599" s="1361">
        <v>1</v>
      </c>
      <c r="D1599" s="1107" t="s">
        <v>497</v>
      </c>
      <c r="E1599" s="432"/>
      <c r="F1599" s="1361">
        <v>30000</v>
      </c>
      <c r="G1599" s="1350"/>
      <c r="H1599" s="1362">
        <f t="shared" si="197"/>
        <v>30000</v>
      </c>
      <c r="I1599" s="1350"/>
    </row>
    <row r="1600" spans="1:9" customFormat="1" hidden="1" outlineLevel="2" x14ac:dyDescent="0.3">
      <c r="A1600" s="318" t="s">
        <v>3519</v>
      </c>
      <c r="B1600" s="1007" t="s">
        <v>896</v>
      </c>
      <c r="C1600" s="1361">
        <v>42</v>
      </c>
      <c r="D1600" s="1107" t="s">
        <v>44</v>
      </c>
      <c r="E1600" s="432"/>
      <c r="F1600" s="1361">
        <v>156.06</v>
      </c>
      <c r="G1600" s="1350"/>
      <c r="H1600" s="1362">
        <f t="shared" si="197"/>
        <v>6554.52</v>
      </c>
      <c r="I1600" s="1350"/>
    </row>
    <row r="1601" spans="1:9" customFormat="1" hidden="1" outlineLevel="2" x14ac:dyDescent="0.3">
      <c r="A1601" s="318" t="s">
        <v>3520</v>
      </c>
      <c r="B1601" s="1007" t="s">
        <v>1049</v>
      </c>
      <c r="C1601" s="1361">
        <v>89</v>
      </c>
      <c r="D1601" s="1107" t="s">
        <v>44</v>
      </c>
      <c r="E1601" s="432"/>
      <c r="F1601" s="1361">
        <v>80</v>
      </c>
      <c r="G1601" s="1350"/>
      <c r="H1601" s="1362">
        <f t="shared" si="197"/>
        <v>7120</v>
      </c>
      <c r="I1601" s="1350"/>
    </row>
    <row r="1602" spans="1:9" customFormat="1" hidden="1" outlineLevel="2" x14ac:dyDescent="0.3">
      <c r="A1602" s="318" t="s">
        <v>3521</v>
      </c>
      <c r="B1602" s="1007" t="s">
        <v>897</v>
      </c>
      <c r="C1602" s="1361">
        <v>12</v>
      </c>
      <c r="D1602" s="1107" t="s">
        <v>44</v>
      </c>
      <c r="E1602" s="432"/>
      <c r="F1602" s="1361">
        <v>156.06</v>
      </c>
      <c r="G1602" s="1350"/>
      <c r="H1602" s="1362">
        <f t="shared" si="197"/>
        <v>1872.72</v>
      </c>
      <c r="I1602" s="1350"/>
    </row>
    <row r="1603" spans="1:9" customFormat="1" hidden="1" outlineLevel="2" x14ac:dyDescent="0.3">
      <c r="A1603" s="318" t="s">
        <v>3522</v>
      </c>
      <c r="B1603" s="1007" t="s">
        <v>898</v>
      </c>
      <c r="C1603" s="1361">
        <v>48</v>
      </c>
      <c r="D1603" s="1107" t="s">
        <v>44</v>
      </c>
      <c r="E1603" s="432"/>
      <c r="F1603" s="1361">
        <v>134.15</v>
      </c>
      <c r="G1603" s="1350"/>
      <c r="H1603" s="1362">
        <f t="shared" si="197"/>
        <v>6439.2000000000007</v>
      </c>
      <c r="I1603" s="1350"/>
    </row>
    <row r="1604" spans="1:9" customFormat="1" hidden="1" outlineLevel="2" x14ac:dyDescent="0.3">
      <c r="A1604" s="318" t="s">
        <v>3523</v>
      </c>
      <c r="B1604" s="1007" t="s">
        <v>899</v>
      </c>
      <c r="C1604" s="1361">
        <v>1000</v>
      </c>
      <c r="D1604" s="1107" t="s">
        <v>43</v>
      </c>
      <c r="E1604" s="432"/>
      <c r="F1604" s="1361">
        <v>31.69</v>
      </c>
      <c r="G1604" s="1350"/>
      <c r="H1604" s="1362">
        <f t="shared" si="197"/>
        <v>31690</v>
      </c>
      <c r="I1604" s="1350"/>
    </row>
    <row r="1605" spans="1:9" customFormat="1" hidden="1" outlineLevel="2" x14ac:dyDescent="0.3">
      <c r="A1605" s="318" t="s">
        <v>3524</v>
      </c>
      <c r="B1605" s="1007" t="s">
        <v>900</v>
      </c>
      <c r="C1605" s="1361">
        <v>1200</v>
      </c>
      <c r="D1605" s="1107" t="s">
        <v>43</v>
      </c>
      <c r="E1605" s="432"/>
      <c r="F1605" s="1361">
        <v>47.45</v>
      </c>
      <c r="G1605" s="1350"/>
      <c r="H1605" s="1362">
        <f t="shared" si="197"/>
        <v>56940</v>
      </c>
      <c r="I1605" s="1350"/>
    </row>
    <row r="1606" spans="1:9" customFormat="1" hidden="1" outlineLevel="2" x14ac:dyDescent="0.3">
      <c r="A1606" s="318" t="s">
        <v>3525</v>
      </c>
      <c r="B1606" s="1007" t="s">
        <v>901</v>
      </c>
      <c r="C1606" s="1361">
        <v>329</v>
      </c>
      <c r="D1606" s="1107" t="s">
        <v>43</v>
      </c>
      <c r="E1606" s="432"/>
      <c r="F1606" s="1361">
        <v>110</v>
      </c>
      <c r="G1606" s="1350"/>
      <c r="H1606" s="1362">
        <f t="shared" si="197"/>
        <v>36190</v>
      </c>
      <c r="I1606" s="1350"/>
    </row>
    <row r="1607" spans="1:9" customFormat="1" hidden="1" outlineLevel="2" x14ac:dyDescent="0.3">
      <c r="A1607" s="318" t="s">
        <v>3526</v>
      </c>
      <c r="B1607" s="1007" t="s">
        <v>902</v>
      </c>
      <c r="C1607" s="1361">
        <v>5997</v>
      </c>
      <c r="D1607" s="1107" t="s">
        <v>43</v>
      </c>
      <c r="E1607" s="432"/>
      <c r="F1607" s="1361">
        <v>193.58</v>
      </c>
      <c r="G1607" s="1350"/>
      <c r="H1607" s="1362">
        <f t="shared" si="197"/>
        <v>1160899.26</v>
      </c>
      <c r="I1607" s="1350"/>
    </row>
    <row r="1608" spans="1:9" customFormat="1" hidden="1" outlineLevel="2" x14ac:dyDescent="0.3">
      <c r="A1608" s="318" t="s">
        <v>3527</v>
      </c>
      <c r="B1608" s="1007" t="s">
        <v>903</v>
      </c>
      <c r="C1608" s="1361">
        <v>5</v>
      </c>
      <c r="D1608" s="1107" t="s">
        <v>43</v>
      </c>
      <c r="E1608" s="432"/>
      <c r="F1608" s="1361">
        <v>280</v>
      </c>
      <c r="G1608" s="1350"/>
      <c r="H1608" s="1362">
        <f t="shared" si="197"/>
        <v>1400</v>
      </c>
      <c r="I1608" s="1350"/>
    </row>
    <row r="1609" spans="1:9" customFormat="1" hidden="1" outlineLevel="2" x14ac:dyDescent="0.3">
      <c r="A1609" s="318" t="s">
        <v>3528</v>
      </c>
      <c r="B1609" s="1007" t="s">
        <v>904</v>
      </c>
      <c r="C1609" s="1361">
        <v>105</v>
      </c>
      <c r="D1609" s="1107" t="s">
        <v>43</v>
      </c>
      <c r="E1609" s="432"/>
      <c r="F1609" s="1361">
        <v>142</v>
      </c>
      <c r="G1609" s="1350"/>
      <c r="H1609" s="1362">
        <f t="shared" si="197"/>
        <v>14910</v>
      </c>
      <c r="I1609" s="1350"/>
    </row>
    <row r="1610" spans="1:9" customFormat="1" hidden="1" outlineLevel="2" x14ac:dyDescent="0.3">
      <c r="A1610" s="318" t="s">
        <v>3529</v>
      </c>
      <c r="B1610" s="1007" t="s">
        <v>905</v>
      </c>
      <c r="C1610" s="1361">
        <v>66</v>
      </c>
      <c r="D1610" s="1107" t="s">
        <v>43</v>
      </c>
      <c r="E1610" s="432"/>
      <c r="F1610" s="1361">
        <v>187.87</v>
      </c>
      <c r="G1610" s="1350"/>
      <c r="H1610" s="1362">
        <f t="shared" si="197"/>
        <v>12399.42</v>
      </c>
      <c r="I1610" s="1350"/>
    </row>
    <row r="1611" spans="1:9" customFormat="1" hidden="1" outlineLevel="2" x14ac:dyDescent="0.3">
      <c r="A1611" s="318" t="s">
        <v>3530</v>
      </c>
      <c r="B1611" s="1007" t="s">
        <v>906</v>
      </c>
      <c r="C1611" s="1361">
        <v>364</v>
      </c>
      <c r="D1611" s="1107" t="s">
        <v>43</v>
      </c>
      <c r="E1611" s="432"/>
      <c r="F1611" s="1361">
        <v>2158</v>
      </c>
      <c r="G1611" s="1350"/>
      <c r="H1611" s="1362">
        <f t="shared" si="197"/>
        <v>785512</v>
      </c>
      <c r="I1611" s="1350"/>
    </row>
    <row r="1612" spans="1:9" customFormat="1" hidden="1" outlineLevel="2" x14ac:dyDescent="0.3">
      <c r="A1612" s="318" t="s">
        <v>3531</v>
      </c>
      <c r="B1612" s="1007" t="s">
        <v>907</v>
      </c>
      <c r="C1612" s="1361">
        <v>2067</v>
      </c>
      <c r="D1612" s="1107" t="s">
        <v>43</v>
      </c>
      <c r="E1612" s="432"/>
      <c r="F1612" s="1361">
        <v>44.84</v>
      </c>
      <c r="G1612" s="1350"/>
      <c r="H1612" s="1362">
        <f t="shared" si="197"/>
        <v>92684.280000000013</v>
      </c>
      <c r="I1612" s="1350"/>
    </row>
    <row r="1613" spans="1:9" customFormat="1" hidden="1" outlineLevel="2" x14ac:dyDescent="0.3">
      <c r="A1613" s="318" t="s">
        <v>3532</v>
      </c>
      <c r="B1613" s="1007" t="s">
        <v>908</v>
      </c>
      <c r="C1613" s="1361">
        <v>701</v>
      </c>
      <c r="D1613" s="1107" t="s">
        <v>43</v>
      </c>
      <c r="E1613" s="432"/>
      <c r="F1613" s="1361">
        <v>64.67</v>
      </c>
      <c r="G1613" s="1350"/>
      <c r="H1613" s="1362">
        <f t="shared" si="197"/>
        <v>45333.67</v>
      </c>
      <c r="I1613" s="1350"/>
    </row>
    <row r="1614" spans="1:9" customFormat="1" hidden="1" outlineLevel="2" x14ac:dyDescent="0.3">
      <c r="A1614" s="318" t="s">
        <v>3533</v>
      </c>
      <c r="B1614" s="1007" t="s">
        <v>909</v>
      </c>
      <c r="C1614" s="1361">
        <v>1066</v>
      </c>
      <c r="D1614" s="1107" t="s">
        <v>43</v>
      </c>
      <c r="E1614" s="432"/>
      <c r="F1614" s="1361">
        <v>142.63</v>
      </c>
      <c r="G1614" s="1350"/>
      <c r="H1614" s="1362">
        <f t="shared" si="197"/>
        <v>152043.57999999999</v>
      </c>
      <c r="I1614" s="1350"/>
    </row>
    <row r="1615" spans="1:9" customFormat="1" hidden="1" outlineLevel="2" x14ac:dyDescent="0.3">
      <c r="A1615" s="318" t="s">
        <v>3534</v>
      </c>
      <c r="B1615" s="1007" t="s">
        <v>910</v>
      </c>
      <c r="C1615" s="1361">
        <v>90</v>
      </c>
      <c r="D1615" s="1107" t="s">
        <v>43</v>
      </c>
      <c r="E1615" s="432"/>
      <c r="F1615" s="1361">
        <v>124.43</v>
      </c>
      <c r="G1615" s="1350"/>
      <c r="H1615" s="1362">
        <f t="shared" si="197"/>
        <v>11198.7</v>
      </c>
      <c r="I1615" s="1350"/>
    </row>
    <row r="1616" spans="1:9" customFormat="1" hidden="1" outlineLevel="2" x14ac:dyDescent="0.3">
      <c r="A1616" s="318" t="s">
        <v>3535</v>
      </c>
      <c r="B1616" s="1007" t="s">
        <v>911</v>
      </c>
      <c r="C1616" s="1361">
        <v>266</v>
      </c>
      <c r="D1616" s="1107" t="s">
        <v>43</v>
      </c>
      <c r="E1616" s="432"/>
      <c r="F1616" s="1361">
        <v>242.77</v>
      </c>
      <c r="G1616" s="1350"/>
      <c r="H1616" s="1362">
        <f t="shared" ref="H1616:H1644" si="198">F1616*C1616</f>
        <v>64576.82</v>
      </c>
      <c r="I1616" s="1350"/>
    </row>
    <row r="1617" spans="1:9" customFormat="1" hidden="1" outlineLevel="2" x14ac:dyDescent="0.3">
      <c r="A1617" s="318" t="s">
        <v>3536</v>
      </c>
      <c r="B1617" s="1007" t="s">
        <v>912</v>
      </c>
      <c r="C1617" s="1361">
        <v>187</v>
      </c>
      <c r="D1617" s="1107" t="s">
        <v>43</v>
      </c>
      <c r="E1617" s="432"/>
      <c r="F1617" s="1361">
        <v>553.39</v>
      </c>
      <c r="G1617" s="1350"/>
      <c r="H1617" s="1362">
        <f t="shared" si="198"/>
        <v>103483.93</v>
      </c>
      <c r="I1617" s="1350"/>
    </row>
    <row r="1618" spans="1:9" customFormat="1" hidden="1" outlineLevel="2" x14ac:dyDescent="0.3">
      <c r="A1618" s="318" t="s">
        <v>3537</v>
      </c>
      <c r="B1618" s="1007" t="s">
        <v>913</v>
      </c>
      <c r="C1618" s="1361">
        <v>90</v>
      </c>
      <c r="D1618" s="1107" t="s">
        <v>43</v>
      </c>
      <c r="E1618" s="432"/>
      <c r="F1618" s="1361">
        <v>927</v>
      </c>
      <c r="G1618" s="1350"/>
      <c r="H1618" s="1362">
        <f t="shared" si="198"/>
        <v>83430</v>
      </c>
      <c r="I1618" s="1350"/>
    </row>
    <row r="1619" spans="1:9" customFormat="1" hidden="1" outlineLevel="2" x14ac:dyDescent="0.3">
      <c r="A1619" s="318" t="s">
        <v>3538</v>
      </c>
      <c r="B1619" s="1007" t="s">
        <v>914</v>
      </c>
      <c r="C1619" s="1361">
        <v>180</v>
      </c>
      <c r="D1619" s="1107" t="s">
        <v>43</v>
      </c>
      <c r="E1619" s="432"/>
      <c r="F1619" s="1361">
        <v>1357</v>
      </c>
      <c r="G1619" s="1350"/>
      <c r="H1619" s="1362">
        <f t="shared" si="198"/>
        <v>244260</v>
      </c>
      <c r="I1619" s="1350"/>
    </row>
    <row r="1620" spans="1:9" customFormat="1" hidden="1" outlineLevel="2" x14ac:dyDescent="0.3">
      <c r="A1620" s="318" t="s">
        <v>3539</v>
      </c>
      <c r="B1620" s="1007" t="s">
        <v>915</v>
      </c>
      <c r="C1620" s="1361">
        <v>90</v>
      </c>
      <c r="D1620" s="1107" t="s">
        <v>43</v>
      </c>
      <c r="E1620" s="432"/>
      <c r="F1620" s="1361">
        <v>2158</v>
      </c>
      <c r="G1620" s="1350"/>
      <c r="H1620" s="1362">
        <f t="shared" si="198"/>
        <v>194220</v>
      </c>
      <c r="I1620" s="1350"/>
    </row>
    <row r="1621" spans="1:9" customFormat="1" hidden="1" outlineLevel="2" x14ac:dyDescent="0.3">
      <c r="A1621" s="318" t="s">
        <v>3540</v>
      </c>
      <c r="B1621" s="1007" t="s">
        <v>916</v>
      </c>
      <c r="C1621" s="1361">
        <v>45</v>
      </c>
      <c r="D1621" s="1107" t="s">
        <v>43</v>
      </c>
      <c r="E1621" s="432"/>
      <c r="F1621" s="1361">
        <v>766.93</v>
      </c>
      <c r="G1621" s="1350"/>
      <c r="H1621" s="1362">
        <f t="shared" si="198"/>
        <v>34511.85</v>
      </c>
      <c r="I1621" s="1350"/>
    </row>
    <row r="1622" spans="1:9" customFormat="1" hidden="1" outlineLevel="2" x14ac:dyDescent="0.3">
      <c r="A1622" s="318" t="s">
        <v>3541</v>
      </c>
      <c r="B1622" s="1007" t="s">
        <v>917</v>
      </c>
      <c r="C1622" s="1361">
        <v>20</v>
      </c>
      <c r="D1622" s="1107" t="s">
        <v>43</v>
      </c>
      <c r="E1622" s="432"/>
      <c r="F1622" s="1361">
        <v>92</v>
      </c>
      <c r="G1622" s="1350"/>
      <c r="H1622" s="1362">
        <f t="shared" si="198"/>
        <v>1840</v>
      </c>
      <c r="I1622" s="1350"/>
    </row>
    <row r="1623" spans="1:9" customFormat="1" hidden="1" outlineLevel="2" x14ac:dyDescent="0.3">
      <c r="A1623" s="318" t="s">
        <v>3542</v>
      </c>
      <c r="B1623" s="1007" t="s">
        <v>918</v>
      </c>
      <c r="C1623" s="1361">
        <v>53</v>
      </c>
      <c r="D1623" s="1107" t="s">
        <v>43</v>
      </c>
      <c r="E1623" s="432"/>
      <c r="F1623" s="1361">
        <v>134</v>
      </c>
      <c r="G1623" s="1350"/>
      <c r="H1623" s="1362">
        <f t="shared" si="198"/>
        <v>7102</v>
      </c>
      <c r="I1623" s="1350"/>
    </row>
    <row r="1624" spans="1:9" customFormat="1" hidden="1" outlineLevel="2" x14ac:dyDescent="0.3">
      <c r="A1624" s="318" t="s">
        <v>3543</v>
      </c>
      <c r="B1624" s="1007" t="s">
        <v>919</v>
      </c>
      <c r="C1624" s="1361">
        <v>75</v>
      </c>
      <c r="D1624" s="1107" t="s">
        <v>43</v>
      </c>
      <c r="E1624" s="432"/>
      <c r="F1624" s="1361">
        <v>189</v>
      </c>
      <c r="G1624" s="1350"/>
      <c r="H1624" s="1362">
        <f t="shared" si="198"/>
        <v>14175</v>
      </c>
      <c r="I1624" s="1350"/>
    </row>
    <row r="1625" spans="1:9" customFormat="1" hidden="1" outlineLevel="2" x14ac:dyDescent="0.3">
      <c r="A1625" s="318" t="s">
        <v>3544</v>
      </c>
      <c r="B1625" s="1007" t="s">
        <v>920</v>
      </c>
      <c r="C1625" s="1361">
        <v>20</v>
      </c>
      <c r="D1625" s="1107" t="s">
        <v>43</v>
      </c>
      <c r="E1625" s="432"/>
      <c r="F1625" s="1361">
        <v>1000</v>
      </c>
      <c r="G1625" s="1350"/>
      <c r="H1625" s="1362">
        <f t="shared" si="198"/>
        <v>20000</v>
      </c>
      <c r="I1625" s="1350"/>
    </row>
    <row r="1626" spans="1:9" customFormat="1" hidden="1" outlineLevel="2" x14ac:dyDescent="0.3">
      <c r="A1626" s="318" t="s">
        <v>3545</v>
      </c>
      <c r="B1626" s="1007" t="s">
        <v>921</v>
      </c>
      <c r="C1626" s="1361">
        <v>42</v>
      </c>
      <c r="D1626" s="1107" t="s">
        <v>43</v>
      </c>
      <c r="E1626" s="432"/>
      <c r="F1626" s="1361">
        <v>1500</v>
      </c>
      <c r="G1626" s="1350"/>
      <c r="H1626" s="1362">
        <f t="shared" si="198"/>
        <v>63000</v>
      </c>
      <c r="I1626" s="1350"/>
    </row>
    <row r="1627" spans="1:9" customFormat="1" hidden="1" outlineLevel="2" x14ac:dyDescent="0.3">
      <c r="A1627" s="318" t="s">
        <v>3546</v>
      </c>
      <c r="B1627" s="1007" t="s">
        <v>922</v>
      </c>
      <c r="C1627" s="1361">
        <v>10</v>
      </c>
      <c r="D1627" s="1107" t="s">
        <v>43</v>
      </c>
      <c r="E1627" s="432"/>
      <c r="F1627" s="1361">
        <v>2158</v>
      </c>
      <c r="G1627" s="1350"/>
      <c r="H1627" s="1362">
        <f t="shared" si="198"/>
        <v>21580</v>
      </c>
      <c r="I1627" s="1350"/>
    </row>
    <row r="1628" spans="1:9" customFormat="1" hidden="1" outlineLevel="2" x14ac:dyDescent="0.3">
      <c r="A1628" s="318" t="s">
        <v>3547</v>
      </c>
      <c r="B1628" s="1007" t="s">
        <v>1050</v>
      </c>
      <c r="C1628" s="1361">
        <v>100</v>
      </c>
      <c r="D1628" s="1107" t="s">
        <v>43</v>
      </c>
      <c r="E1628" s="432"/>
      <c r="F1628" s="1361">
        <v>146.46</v>
      </c>
      <c r="G1628" s="1350"/>
      <c r="H1628" s="1362">
        <f t="shared" si="198"/>
        <v>14646</v>
      </c>
      <c r="I1628" s="1350"/>
    </row>
    <row r="1629" spans="1:9" customFormat="1" hidden="1" outlineLevel="2" x14ac:dyDescent="0.3">
      <c r="A1629" s="318" t="s">
        <v>3548</v>
      </c>
      <c r="B1629" s="1007" t="s">
        <v>928</v>
      </c>
      <c r="C1629" s="1361">
        <v>1581</v>
      </c>
      <c r="D1629" s="1107" t="s">
        <v>43</v>
      </c>
      <c r="E1629" s="432"/>
      <c r="F1629" s="1361">
        <v>80</v>
      </c>
      <c r="G1629" s="1350"/>
      <c r="H1629" s="1362">
        <f t="shared" si="198"/>
        <v>126480</v>
      </c>
      <c r="I1629" s="1350"/>
    </row>
    <row r="1630" spans="1:9" customFormat="1" hidden="1" outlineLevel="2" x14ac:dyDescent="0.3">
      <c r="A1630" s="318" t="s">
        <v>3549</v>
      </c>
      <c r="B1630" s="1007" t="s">
        <v>925</v>
      </c>
      <c r="C1630" s="1361">
        <v>2700</v>
      </c>
      <c r="D1630" s="1107" t="s">
        <v>43</v>
      </c>
      <c r="E1630" s="432"/>
      <c r="F1630" s="1361">
        <v>8.5</v>
      </c>
      <c r="G1630" s="1350"/>
      <c r="H1630" s="1362">
        <f t="shared" si="198"/>
        <v>22950</v>
      </c>
      <c r="I1630" s="1350"/>
    </row>
    <row r="1631" spans="1:9" customFormat="1" hidden="1" outlineLevel="2" x14ac:dyDescent="0.3">
      <c r="A1631" s="318" t="s">
        <v>3550</v>
      </c>
      <c r="B1631" s="1007" t="s">
        <v>926</v>
      </c>
      <c r="C1631" s="1361">
        <v>2200</v>
      </c>
      <c r="D1631" s="1107" t="s">
        <v>43</v>
      </c>
      <c r="E1631" s="432"/>
      <c r="F1631" s="1361">
        <v>10.220000000000001</v>
      </c>
      <c r="G1631" s="1350"/>
      <c r="H1631" s="1362">
        <f t="shared" si="198"/>
        <v>22484</v>
      </c>
      <c r="I1631" s="1350"/>
    </row>
    <row r="1632" spans="1:9" customFormat="1" hidden="1" outlineLevel="2" x14ac:dyDescent="0.3">
      <c r="A1632" s="318" t="s">
        <v>3551</v>
      </c>
      <c r="B1632" s="1007" t="s">
        <v>927</v>
      </c>
      <c r="C1632" s="1361">
        <v>1634</v>
      </c>
      <c r="D1632" s="1107" t="s">
        <v>43</v>
      </c>
      <c r="E1632" s="432"/>
      <c r="F1632" s="1361">
        <v>14.03</v>
      </c>
      <c r="G1632" s="1350"/>
      <c r="H1632" s="1362">
        <f t="shared" si="198"/>
        <v>22925.02</v>
      </c>
      <c r="I1632" s="1350"/>
    </row>
    <row r="1633" spans="1:9" customFormat="1" hidden="1" outlineLevel="2" x14ac:dyDescent="0.3">
      <c r="A1633" s="318" t="s">
        <v>3552</v>
      </c>
      <c r="B1633" s="1007" t="s">
        <v>929</v>
      </c>
      <c r="C1633" s="1361">
        <v>2700</v>
      </c>
      <c r="D1633" s="1107" t="s">
        <v>44</v>
      </c>
      <c r="E1633" s="432"/>
      <c r="F1633" s="1361">
        <v>2.5</v>
      </c>
      <c r="G1633" s="1350"/>
      <c r="H1633" s="1362">
        <f t="shared" si="198"/>
        <v>6750</v>
      </c>
      <c r="I1633" s="1350"/>
    </row>
    <row r="1634" spans="1:9" customFormat="1" hidden="1" outlineLevel="2" x14ac:dyDescent="0.3">
      <c r="A1634" s="318" t="s">
        <v>3553</v>
      </c>
      <c r="B1634" s="1007" t="s">
        <v>930</v>
      </c>
      <c r="C1634" s="1361">
        <v>2200</v>
      </c>
      <c r="D1634" s="1107" t="s">
        <v>44</v>
      </c>
      <c r="E1634" s="432"/>
      <c r="F1634" s="1361">
        <v>3.04</v>
      </c>
      <c r="G1634" s="1350"/>
      <c r="H1634" s="1362">
        <f t="shared" si="198"/>
        <v>6688</v>
      </c>
      <c r="I1634" s="1350"/>
    </row>
    <row r="1635" spans="1:9" customFormat="1" hidden="1" outlineLevel="2" x14ac:dyDescent="0.3">
      <c r="A1635" s="318" t="s">
        <v>3554</v>
      </c>
      <c r="B1635" s="1007" t="s">
        <v>931</v>
      </c>
      <c r="C1635" s="1361">
        <v>1634</v>
      </c>
      <c r="D1635" s="1107" t="s">
        <v>44</v>
      </c>
      <c r="E1635" s="432"/>
      <c r="F1635" s="1361">
        <v>4.46</v>
      </c>
      <c r="G1635" s="1350"/>
      <c r="H1635" s="1362">
        <f t="shared" si="198"/>
        <v>7287.64</v>
      </c>
      <c r="I1635" s="1350"/>
    </row>
    <row r="1636" spans="1:9" customFormat="1" hidden="1" outlineLevel="2" x14ac:dyDescent="0.3">
      <c r="A1636" s="318" t="s">
        <v>3555</v>
      </c>
      <c r="B1636" s="1007" t="s">
        <v>924</v>
      </c>
      <c r="C1636" s="1361">
        <v>65</v>
      </c>
      <c r="D1636" s="1107" t="s">
        <v>43</v>
      </c>
      <c r="E1636" s="432"/>
      <c r="F1636" s="1361">
        <v>2000</v>
      </c>
      <c r="G1636" s="1350"/>
      <c r="H1636" s="1362">
        <f t="shared" si="198"/>
        <v>130000</v>
      </c>
      <c r="I1636" s="1350"/>
    </row>
    <row r="1637" spans="1:9" customFormat="1" hidden="1" outlineLevel="2" x14ac:dyDescent="0.3">
      <c r="A1637" s="318" t="s">
        <v>3556</v>
      </c>
      <c r="B1637" s="1007" t="s">
        <v>933</v>
      </c>
      <c r="C1637" s="1361">
        <v>450</v>
      </c>
      <c r="D1637" s="1107" t="s">
        <v>43</v>
      </c>
      <c r="E1637" s="432"/>
      <c r="F1637" s="1361">
        <v>66</v>
      </c>
      <c r="G1637" s="1350"/>
      <c r="H1637" s="1362">
        <f t="shared" si="198"/>
        <v>29700</v>
      </c>
      <c r="I1637" s="1350"/>
    </row>
    <row r="1638" spans="1:9" customFormat="1" hidden="1" outlineLevel="2" x14ac:dyDescent="0.3">
      <c r="A1638" s="318" t="s">
        <v>3557</v>
      </c>
      <c r="B1638" s="1007" t="s">
        <v>934</v>
      </c>
      <c r="C1638" s="1361">
        <v>12</v>
      </c>
      <c r="D1638" s="1107" t="s">
        <v>43</v>
      </c>
      <c r="E1638" s="432"/>
      <c r="F1638" s="1361">
        <v>350</v>
      </c>
      <c r="G1638" s="1350"/>
      <c r="H1638" s="1362">
        <f t="shared" si="198"/>
        <v>4200</v>
      </c>
      <c r="I1638" s="1350"/>
    </row>
    <row r="1639" spans="1:9" customFormat="1" hidden="1" outlineLevel="2" x14ac:dyDescent="0.3">
      <c r="A1639" s="318" t="s">
        <v>3558</v>
      </c>
      <c r="B1639" s="1007" t="s">
        <v>935</v>
      </c>
      <c r="C1639" s="1361">
        <v>190</v>
      </c>
      <c r="D1639" s="1107" t="s">
        <v>43</v>
      </c>
      <c r="E1639" s="432"/>
      <c r="F1639" s="1361">
        <v>283.5</v>
      </c>
      <c r="G1639" s="1350"/>
      <c r="H1639" s="1362">
        <f t="shared" si="198"/>
        <v>53865</v>
      </c>
      <c r="I1639" s="1350"/>
    </row>
    <row r="1640" spans="1:9" customFormat="1" hidden="1" outlineLevel="2" x14ac:dyDescent="0.3">
      <c r="A1640" s="318" t="s">
        <v>3559</v>
      </c>
      <c r="B1640" s="1007" t="s">
        <v>936</v>
      </c>
      <c r="C1640" s="1361">
        <v>528</v>
      </c>
      <c r="D1640" s="1107" t="s">
        <v>43</v>
      </c>
      <c r="E1640" s="432"/>
      <c r="F1640" s="1361">
        <v>146.29</v>
      </c>
      <c r="G1640" s="1350"/>
      <c r="H1640" s="1362">
        <f t="shared" si="198"/>
        <v>77241.119999999995</v>
      </c>
      <c r="I1640" s="1350"/>
    </row>
    <row r="1641" spans="1:9" customFormat="1" hidden="1" outlineLevel="2" x14ac:dyDescent="0.3">
      <c r="A1641" s="318" t="s">
        <v>3560</v>
      </c>
      <c r="B1641" s="1007" t="s">
        <v>937</v>
      </c>
      <c r="C1641" s="1361">
        <v>3</v>
      </c>
      <c r="D1641" s="1107" t="s">
        <v>43</v>
      </c>
      <c r="E1641" s="432"/>
      <c r="F1641" s="1361">
        <v>649</v>
      </c>
      <c r="G1641" s="1350"/>
      <c r="H1641" s="1362">
        <f t="shared" si="198"/>
        <v>1947</v>
      </c>
      <c r="I1641" s="1350"/>
    </row>
    <row r="1642" spans="1:9" customFormat="1" hidden="1" outlineLevel="2" x14ac:dyDescent="0.3">
      <c r="A1642" s="318" t="s">
        <v>3561</v>
      </c>
      <c r="B1642" s="1007" t="s">
        <v>938</v>
      </c>
      <c r="C1642" s="1361">
        <v>900</v>
      </c>
      <c r="D1642" s="1107" t="s">
        <v>44</v>
      </c>
      <c r="E1642" s="432"/>
      <c r="F1642" s="1361">
        <v>165</v>
      </c>
      <c r="G1642" s="1350"/>
      <c r="H1642" s="1362">
        <f t="shared" si="198"/>
        <v>148500</v>
      </c>
      <c r="I1642" s="1350"/>
    </row>
    <row r="1643" spans="1:9" customFormat="1" hidden="1" outlineLevel="2" x14ac:dyDescent="0.3">
      <c r="A1643" s="318" t="s">
        <v>3562</v>
      </c>
      <c r="B1643" s="1007" t="s">
        <v>940</v>
      </c>
      <c r="C1643" s="1361">
        <v>1</v>
      </c>
      <c r="D1643" s="1107" t="s">
        <v>497</v>
      </c>
      <c r="E1643" s="432"/>
      <c r="F1643" s="1361">
        <v>12000</v>
      </c>
      <c r="G1643" s="1350"/>
      <c r="H1643" s="1362">
        <f t="shared" si="198"/>
        <v>12000</v>
      </c>
      <c r="I1643" s="1350"/>
    </row>
    <row r="1644" spans="1:9" customFormat="1" hidden="1" outlineLevel="2" x14ac:dyDescent="0.3">
      <c r="A1644" s="318" t="s">
        <v>3563</v>
      </c>
      <c r="B1644" s="1007" t="s">
        <v>932</v>
      </c>
      <c r="C1644" s="1361">
        <v>1</v>
      </c>
      <c r="D1644" s="1107" t="s">
        <v>497</v>
      </c>
      <c r="E1644" s="432"/>
      <c r="F1644" s="1361">
        <v>80000</v>
      </c>
      <c r="G1644" s="1350"/>
      <c r="H1644" s="1362">
        <f t="shared" si="198"/>
        <v>80000</v>
      </c>
      <c r="I1644" s="1350"/>
    </row>
    <row r="1645" spans="1:9" customFormat="1" hidden="1" outlineLevel="2" x14ac:dyDescent="0.3">
      <c r="A1645" s="1363"/>
      <c r="B1645" s="1363"/>
      <c r="C1645" s="1363"/>
      <c r="D1645" s="1363"/>
      <c r="E1645" s="155"/>
      <c r="F1645" s="1364" t="s">
        <v>941</v>
      </c>
      <c r="G1645" s="1351"/>
      <c r="H1645" s="1365">
        <f>SUM(H1584:H1644)</f>
        <v>5039417.76</v>
      </c>
      <c r="I1645" s="1351"/>
    </row>
    <row r="1646" spans="1:9" customFormat="1" hidden="1" outlineLevel="2" x14ac:dyDescent="0.3">
      <c r="A1646" s="1421" t="s">
        <v>939</v>
      </c>
      <c r="B1646" s="1421"/>
      <c r="C1646" s="1421"/>
      <c r="D1646" s="1421"/>
      <c r="E1646" s="1421"/>
      <c r="F1646" s="1421"/>
      <c r="G1646" s="1351"/>
      <c r="H1646" s="1351"/>
      <c r="I1646" s="1351"/>
    </row>
    <row r="1647" spans="1:9" customFormat="1" hidden="1" outlineLevel="2" x14ac:dyDescent="0.3">
      <c r="A1647" s="1305" t="s">
        <v>755</v>
      </c>
      <c r="B1647" s="1305" t="s">
        <v>1044</v>
      </c>
      <c r="C1647" s="1305" t="s">
        <v>882</v>
      </c>
      <c r="D1647" s="1366" t="s">
        <v>1045</v>
      </c>
      <c r="E1647" s="1305" t="s">
        <v>883</v>
      </c>
      <c r="F1647" s="1305" t="s">
        <v>1034</v>
      </c>
      <c r="G1647" s="1350"/>
      <c r="H1647" s="1350"/>
      <c r="I1647" s="1350"/>
    </row>
    <row r="1648" spans="1:9" customFormat="1" hidden="1" outlineLevel="2" x14ac:dyDescent="0.3">
      <c r="A1648" s="1367" t="s">
        <v>3564</v>
      </c>
      <c r="B1648" s="1368" t="s">
        <v>1051</v>
      </c>
      <c r="C1648" s="1107">
        <v>1</v>
      </c>
      <c r="D1648" s="1369" t="s">
        <v>44</v>
      </c>
      <c r="E1648" s="432"/>
      <c r="F1648" s="1107">
        <v>193810</v>
      </c>
      <c r="G1648" s="1350"/>
      <c r="H1648" s="1370">
        <f t="shared" ref="H1648:H1657" si="199">F1648*C1648</f>
        <v>193810</v>
      </c>
      <c r="I1648" s="1350"/>
    </row>
    <row r="1649" spans="1:9" customFormat="1" hidden="1" outlineLevel="2" x14ac:dyDescent="0.3">
      <c r="A1649" s="1367" t="s">
        <v>3565</v>
      </c>
      <c r="B1649" s="1368" t="s">
        <v>1052</v>
      </c>
      <c r="C1649" s="1107">
        <v>1</v>
      </c>
      <c r="D1649" s="1369" t="s">
        <v>44</v>
      </c>
      <c r="E1649" s="432"/>
      <c r="F1649" s="1107">
        <v>71370</v>
      </c>
      <c r="G1649" s="1350"/>
      <c r="H1649" s="1370">
        <f t="shared" si="199"/>
        <v>71370</v>
      </c>
      <c r="I1649" s="1350"/>
    </row>
    <row r="1650" spans="1:9" customFormat="1" hidden="1" outlineLevel="2" x14ac:dyDescent="0.3">
      <c r="A1650" s="1367" t="s">
        <v>3566</v>
      </c>
      <c r="B1650" s="1368" t="s">
        <v>3652</v>
      </c>
      <c r="C1650" s="1107">
        <v>1</v>
      </c>
      <c r="D1650" s="1369" t="s">
        <v>44</v>
      </c>
      <c r="E1650" s="432"/>
      <c r="F1650" s="1107">
        <v>58780</v>
      </c>
      <c r="G1650" s="1350"/>
      <c r="H1650" s="1370">
        <f t="shared" si="199"/>
        <v>58780</v>
      </c>
      <c r="I1650" s="1350"/>
    </row>
    <row r="1651" spans="1:9" customFormat="1" hidden="1" outlineLevel="2" x14ac:dyDescent="0.3">
      <c r="A1651" s="1367" t="s">
        <v>3567</v>
      </c>
      <c r="B1651" s="1368" t="s">
        <v>1054</v>
      </c>
      <c r="C1651" s="1107">
        <v>1</v>
      </c>
      <c r="D1651" s="1369" t="s">
        <v>44</v>
      </c>
      <c r="E1651" s="432"/>
      <c r="F1651" s="1107">
        <v>24800</v>
      </c>
      <c r="G1651" s="1350"/>
      <c r="H1651" s="1370">
        <f t="shared" si="199"/>
        <v>24800</v>
      </c>
      <c r="I1651" s="1350"/>
    </row>
    <row r="1652" spans="1:9" customFormat="1" hidden="1" outlineLevel="2" x14ac:dyDescent="0.3">
      <c r="A1652" s="1367" t="s">
        <v>3568</v>
      </c>
      <c r="B1652" s="1368" t="s">
        <v>1055</v>
      </c>
      <c r="C1652" s="1107">
        <v>1</v>
      </c>
      <c r="D1652" s="1369" t="s">
        <v>44</v>
      </c>
      <c r="E1652" s="432"/>
      <c r="F1652" s="1107">
        <v>53790</v>
      </c>
      <c r="G1652" s="1350"/>
      <c r="H1652" s="1370">
        <f t="shared" si="199"/>
        <v>53790</v>
      </c>
      <c r="I1652" s="1350"/>
    </row>
    <row r="1653" spans="1:9" customFormat="1" hidden="1" outlineLevel="2" x14ac:dyDescent="0.3">
      <c r="A1653" s="1367" t="s">
        <v>3569</v>
      </c>
      <c r="B1653" s="1368" t="s">
        <v>1056</v>
      </c>
      <c r="C1653" s="1107">
        <v>285</v>
      </c>
      <c r="D1653" s="1369" t="s">
        <v>44</v>
      </c>
      <c r="E1653" s="432"/>
      <c r="F1653" s="1107">
        <v>2050</v>
      </c>
      <c r="G1653" s="1350"/>
      <c r="H1653" s="1370">
        <f t="shared" si="199"/>
        <v>584250</v>
      </c>
      <c r="I1653" s="1350"/>
    </row>
    <row r="1654" spans="1:9" customFormat="1" hidden="1" outlineLevel="2" x14ac:dyDescent="0.3">
      <c r="A1654" s="1367" t="s">
        <v>3570</v>
      </c>
      <c r="B1654" s="1368" t="s">
        <v>1057</v>
      </c>
      <c r="C1654" s="1107">
        <v>1</v>
      </c>
      <c r="D1654" s="1369" t="s">
        <v>44</v>
      </c>
      <c r="E1654" s="432"/>
      <c r="F1654" s="1107">
        <v>4740</v>
      </c>
      <c r="G1654" s="1350"/>
      <c r="H1654" s="1370">
        <f t="shared" si="199"/>
        <v>4740</v>
      </c>
      <c r="I1654" s="1350"/>
    </row>
    <row r="1655" spans="1:9" customFormat="1" hidden="1" outlineLevel="2" x14ac:dyDescent="0.3">
      <c r="A1655" s="1367" t="s">
        <v>3571</v>
      </c>
      <c r="B1655" s="1368" t="s">
        <v>1058</v>
      </c>
      <c r="C1655" s="1107">
        <v>1</v>
      </c>
      <c r="D1655" s="1369" t="s">
        <v>44</v>
      </c>
      <c r="E1655" s="432"/>
      <c r="F1655" s="1371">
        <v>17228.16</v>
      </c>
      <c r="G1655" s="1350"/>
      <c r="H1655" s="1370">
        <f t="shared" si="199"/>
        <v>17228.16</v>
      </c>
      <c r="I1655" s="1350"/>
    </row>
    <row r="1656" spans="1:9" customFormat="1" hidden="1" outlineLevel="2" x14ac:dyDescent="0.3">
      <c r="A1656" s="1367" t="s">
        <v>3572</v>
      </c>
      <c r="B1656" s="1368" t="s">
        <v>1059</v>
      </c>
      <c r="C1656" s="1107">
        <v>1</v>
      </c>
      <c r="D1656" s="1369" t="s">
        <v>44</v>
      </c>
      <c r="E1656" s="432"/>
      <c r="F1656" s="1371">
        <v>20485.2</v>
      </c>
      <c r="G1656" s="1350"/>
      <c r="H1656" s="1370">
        <f t="shared" si="199"/>
        <v>20485.2</v>
      </c>
      <c r="I1656" s="1350"/>
    </row>
    <row r="1657" spans="1:9" customFormat="1" hidden="1" outlineLevel="2" x14ac:dyDescent="0.3">
      <c r="A1657" s="1367" t="s">
        <v>3573</v>
      </c>
      <c r="B1657" s="1372" t="s">
        <v>1060</v>
      </c>
      <c r="C1657" s="1107">
        <v>46</v>
      </c>
      <c r="D1657" s="1373" t="s">
        <v>44</v>
      </c>
      <c r="E1657" s="432"/>
      <c r="F1657" s="1371">
        <v>23342.240000000002</v>
      </c>
      <c r="G1657" s="1350"/>
      <c r="H1657" s="1370">
        <f t="shared" si="199"/>
        <v>1073743.04</v>
      </c>
      <c r="I1657" s="1350"/>
    </row>
    <row r="1658" spans="1:9" customFormat="1" hidden="1" outlineLevel="2" x14ac:dyDescent="0.3">
      <c r="A1658" s="1374"/>
      <c r="B1658" s="1375"/>
      <c r="C1658" s="1374"/>
      <c r="D1658" s="1374"/>
      <c r="E1658" s="155"/>
      <c r="F1658" s="1376" t="s">
        <v>941</v>
      </c>
      <c r="G1658" s="1351"/>
      <c r="H1658" s="1376">
        <f>SUM(H1648:H1657)</f>
        <v>2102996.4</v>
      </c>
      <c r="I1658" s="1351"/>
    </row>
    <row r="1659" spans="1:9" hidden="1" outlineLevel="1" collapsed="1" x14ac:dyDescent="0.3">
      <c r="A1659" s="1346" t="s">
        <v>1810</v>
      </c>
      <c r="B1659" s="1016" t="s">
        <v>1036</v>
      </c>
      <c r="C1659" s="1347"/>
      <c r="D1659" s="1347"/>
      <c r="E1659" s="1348"/>
      <c r="F1659" s="1348"/>
      <c r="G1659" s="1352"/>
      <c r="H1659" s="1353">
        <f>SUM(H1661:H1671,H1673:H1675)</f>
        <v>339985</v>
      </c>
      <c r="I1659" s="1352"/>
    </row>
    <row r="1660" spans="1:9" customFormat="1" ht="15.05" hidden="1" customHeight="1" outlineLevel="2" x14ac:dyDescent="0.3">
      <c r="A1660" s="1422" t="s">
        <v>1062</v>
      </c>
      <c r="B1660" s="1422"/>
      <c r="C1660" s="1422"/>
      <c r="D1660" s="1422"/>
      <c r="E1660" s="1422"/>
      <c r="F1660" s="1422"/>
      <c r="G1660" s="1422"/>
      <c r="H1660" s="1422"/>
      <c r="I1660" s="1422"/>
    </row>
    <row r="1661" spans="1:9" customFormat="1" hidden="1" outlineLevel="2" x14ac:dyDescent="0.3">
      <c r="A1661" s="318" t="s">
        <v>1811</v>
      </c>
      <c r="B1661" s="1007" t="s">
        <v>1003</v>
      </c>
      <c r="C1661" s="1361">
        <v>30</v>
      </c>
      <c r="D1661" s="1107" t="s">
        <v>44</v>
      </c>
      <c r="E1661" s="432"/>
      <c r="F1661" s="1361">
        <v>1250</v>
      </c>
      <c r="G1661" s="1350"/>
      <c r="H1661" s="1362">
        <f t="shared" ref="H1661:H1671" si="200">F1661*C1661</f>
        <v>37500</v>
      </c>
      <c r="I1661" s="1350"/>
    </row>
    <row r="1662" spans="1:9" customFormat="1" hidden="1" outlineLevel="2" x14ac:dyDescent="0.3">
      <c r="A1662" s="318" t="s">
        <v>1812</v>
      </c>
      <c r="B1662" s="1007" t="s">
        <v>1004</v>
      </c>
      <c r="C1662" s="1361">
        <v>3</v>
      </c>
      <c r="D1662" s="1107" t="s">
        <v>44</v>
      </c>
      <c r="E1662" s="432"/>
      <c r="F1662" s="1361">
        <v>4500</v>
      </c>
      <c r="G1662" s="1350"/>
      <c r="H1662" s="1362">
        <f t="shared" si="200"/>
        <v>13500</v>
      </c>
      <c r="I1662" s="1350"/>
    </row>
    <row r="1663" spans="1:9" customFormat="1" hidden="1" outlineLevel="2" x14ac:dyDescent="0.3">
      <c r="A1663" s="318" t="s">
        <v>1813</v>
      </c>
      <c r="B1663" s="1007" t="s">
        <v>1005</v>
      </c>
      <c r="C1663" s="1361">
        <v>6</v>
      </c>
      <c r="D1663" s="1107" t="s">
        <v>44</v>
      </c>
      <c r="E1663" s="432"/>
      <c r="F1663" s="1361">
        <v>3000</v>
      </c>
      <c r="G1663" s="1350"/>
      <c r="H1663" s="1362">
        <f t="shared" si="200"/>
        <v>18000</v>
      </c>
      <c r="I1663" s="1350"/>
    </row>
    <row r="1664" spans="1:9" customFormat="1" hidden="1" outlineLevel="2" x14ac:dyDescent="0.3">
      <c r="A1664" s="318" t="s">
        <v>1814</v>
      </c>
      <c r="B1664" s="1007" t="s">
        <v>1006</v>
      </c>
      <c r="C1664" s="1361">
        <v>1</v>
      </c>
      <c r="D1664" s="1107" t="s">
        <v>44</v>
      </c>
      <c r="E1664" s="432"/>
      <c r="F1664" s="1361">
        <v>6900</v>
      </c>
      <c r="G1664" s="1350"/>
      <c r="H1664" s="1362">
        <f t="shared" si="200"/>
        <v>6900</v>
      </c>
      <c r="I1664" s="1350"/>
    </row>
    <row r="1665" spans="1:9" customFormat="1" hidden="1" outlineLevel="2" x14ac:dyDescent="0.3">
      <c r="A1665" s="318" t="s">
        <v>1815</v>
      </c>
      <c r="B1665" s="1007" t="s">
        <v>1007</v>
      </c>
      <c r="C1665" s="1361">
        <v>350</v>
      </c>
      <c r="D1665" s="1107" t="s">
        <v>44</v>
      </c>
      <c r="E1665" s="432"/>
      <c r="F1665" s="1361">
        <v>260</v>
      </c>
      <c r="G1665" s="1350"/>
      <c r="H1665" s="1362">
        <f t="shared" si="200"/>
        <v>91000</v>
      </c>
      <c r="I1665" s="1350"/>
    </row>
    <row r="1666" spans="1:9" customFormat="1" hidden="1" outlineLevel="2" x14ac:dyDescent="0.3">
      <c r="A1666" s="318" t="s">
        <v>1816</v>
      </c>
      <c r="B1666" s="1007" t="s">
        <v>1008</v>
      </c>
      <c r="C1666" s="1361">
        <v>1</v>
      </c>
      <c r="D1666" s="1107" t="s">
        <v>44</v>
      </c>
      <c r="E1666" s="432"/>
      <c r="F1666" s="1361">
        <v>10000</v>
      </c>
      <c r="G1666" s="1350"/>
      <c r="H1666" s="1362">
        <f t="shared" si="200"/>
        <v>10000</v>
      </c>
      <c r="I1666" s="1350"/>
    </row>
    <row r="1667" spans="1:9" customFormat="1" hidden="1" outlineLevel="2" x14ac:dyDescent="0.3">
      <c r="A1667" s="318" t="s">
        <v>1817</v>
      </c>
      <c r="B1667" s="1007" t="s">
        <v>1009</v>
      </c>
      <c r="C1667" s="1361">
        <v>1</v>
      </c>
      <c r="D1667" s="1107" t="s">
        <v>44</v>
      </c>
      <c r="E1667" s="432"/>
      <c r="F1667" s="1361">
        <v>23310</v>
      </c>
      <c r="G1667" s="1350"/>
      <c r="H1667" s="1362">
        <f t="shared" si="200"/>
        <v>23310</v>
      </c>
      <c r="I1667" s="1350"/>
    </row>
    <row r="1668" spans="1:9" customFormat="1" hidden="1" outlineLevel="2" x14ac:dyDescent="0.3">
      <c r="A1668" s="318" t="s">
        <v>1818</v>
      </c>
      <c r="B1668" s="1007" t="s">
        <v>1010</v>
      </c>
      <c r="C1668" s="1361">
        <v>1</v>
      </c>
      <c r="D1668" s="1107" t="s">
        <v>44</v>
      </c>
      <c r="E1668" s="432"/>
      <c r="F1668" s="1361">
        <v>3000</v>
      </c>
      <c r="G1668" s="1350"/>
      <c r="H1668" s="1362">
        <f t="shared" si="200"/>
        <v>3000</v>
      </c>
      <c r="I1668" s="1350"/>
    </row>
    <row r="1669" spans="1:9" customFormat="1" hidden="1" outlineLevel="2" x14ac:dyDescent="0.3">
      <c r="A1669" s="318" t="s">
        <v>1819</v>
      </c>
      <c r="B1669" s="1007" t="s">
        <v>1011</v>
      </c>
      <c r="C1669" s="1361">
        <v>3</v>
      </c>
      <c r="D1669" s="1107" t="s">
        <v>44</v>
      </c>
      <c r="E1669" s="432"/>
      <c r="F1669" s="1361">
        <v>650</v>
      </c>
      <c r="G1669" s="1350"/>
      <c r="H1669" s="1362">
        <f t="shared" si="200"/>
        <v>1950</v>
      </c>
      <c r="I1669" s="1350"/>
    </row>
    <row r="1670" spans="1:9" customFormat="1" hidden="1" outlineLevel="2" x14ac:dyDescent="0.3">
      <c r="A1670" s="318" t="s">
        <v>3574</v>
      </c>
      <c r="B1670" s="1007" t="s">
        <v>1012</v>
      </c>
      <c r="C1670" s="1361">
        <v>1135</v>
      </c>
      <c r="D1670" s="1107" t="s">
        <v>44</v>
      </c>
      <c r="E1670" s="432"/>
      <c r="F1670" s="1361">
        <v>30</v>
      </c>
      <c r="G1670" s="1350"/>
      <c r="H1670" s="1362">
        <f t="shared" si="200"/>
        <v>34050</v>
      </c>
      <c r="I1670" s="1350"/>
    </row>
    <row r="1671" spans="1:9" customFormat="1" hidden="1" outlineLevel="2" x14ac:dyDescent="0.3">
      <c r="A1671" s="318" t="s">
        <v>3575</v>
      </c>
      <c r="B1671" s="1007" t="s">
        <v>1013</v>
      </c>
      <c r="C1671" s="1361">
        <v>150</v>
      </c>
      <c r="D1671" s="1107" t="s">
        <v>44</v>
      </c>
      <c r="E1671" s="432"/>
      <c r="F1671" s="1361">
        <v>30</v>
      </c>
      <c r="G1671" s="1350"/>
      <c r="H1671" s="1362">
        <f t="shared" si="200"/>
        <v>4500</v>
      </c>
      <c r="I1671" s="1350"/>
    </row>
    <row r="1672" spans="1:9" customFormat="1" ht="15.05" hidden="1" customHeight="1" outlineLevel="2" x14ac:dyDescent="0.3">
      <c r="A1672" s="1422" t="s">
        <v>1014</v>
      </c>
      <c r="B1672" s="1422"/>
      <c r="C1672" s="1422"/>
      <c r="D1672" s="1422"/>
      <c r="E1672" s="1422"/>
      <c r="F1672" s="1422"/>
      <c r="G1672" s="1422"/>
      <c r="H1672" s="1422"/>
      <c r="I1672" s="1422"/>
    </row>
    <row r="1673" spans="1:9" customFormat="1" hidden="1" outlineLevel="2" x14ac:dyDescent="0.3">
      <c r="A1673" s="318" t="s">
        <v>3576</v>
      </c>
      <c r="B1673" s="1007" t="s">
        <v>1015</v>
      </c>
      <c r="C1673" s="1361">
        <v>20</v>
      </c>
      <c r="D1673" s="1107" t="s">
        <v>79</v>
      </c>
      <c r="E1673" s="432"/>
      <c r="F1673" s="1361">
        <v>300</v>
      </c>
      <c r="G1673" s="1350"/>
      <c r="H1673" s="1362">
        <f>F1673*C1673</f>
        <v>6000</v>
      </c>
      <c r="I1673" s="1350"/>
    </row>
    <row r="1674" spans="1:9" customFormat="1" hidden="1" outlineLevel="2" x14ac:dyDescent="0.3">
      <c r="A1674" s="318" t="s">
        <v>3577</v>
      </c>
      <c r="B1674" s="1007" t="s">
        <v>1016</v>
      </c>
      <c r="C1674" s="1361">
        <v>2300</v>
      </c>
      <c r="D1674" s="1107" t="s">
        <v>44</v>
      </c>
      <c r="E1674" s="432"/>
      <c r="F1674" s="1361">
        <v>28.39</v>
      </c>
      <c r="G1674" s="1350"/>
      <c r="H1674" s="1362">
        <f>F1674*C1674</f>
        <v>65297</v>
      </c>
      <c r="I1674" s="1350"/>
    </row>
    <row r="1675" spans="1:9" customFormat="1" hidden="1" outlineLevel="2" x14ac:dyDescent="0.3">
      <c r="A1675" s="318" t="s">
        <v>3578</v>
      </c>
      <c r="B1675" s="1007" t="s">
        <v>1017</v>
      </c>
      <c r="C1675" s="1361">
        <v>2300</v>
      </c>
      <c r="D1675" s="1107" t="s">
        <v>43</v>
      </c>
      <c r="E1675" s="432"/>
      <c r="F1675" s="1361">
        <v>10.86</v>
      </c>
      <c r="G1675" s="1350"/>
      <c r="H1675" s="1362">
        <f>F1675*C1675</f>
        <v>24978</v>
      </c>
      <c r="I1675" s="1350"/>
    </row>
    <row r="1676" spans="1:9" hidden="1" outlineLevel="1" collapsed="1" x14ac:dyDescent="0.3">
      <c r="A1676" s="1346" t="s">
        <v>1820</v>
      </c>
      <c r="B1676" s="1016" t="s">
        <v>1037</v>
      </c>
      <c r="C1676" s="1347"/>
      <c r="D1676" s="1347"/>
      <c r="E1676" s="1348"/>
      <c r="F1676" s="1348"/>
      <c r="G1676" s="1354"/>
      <c r="H1676" s="1355">
        <f>SUM(H1677:H1698)</f>
        <v>1302848.2500000002</v>
      </c>
      <c r="I1676" s="1354"/>
    </row>
    <row r="1677" spans="1:9" customFormat="1" hidden="1" outlineLevel="2" x14ac:dyDescent="0.3">
      <c r="A1677" s="1377" t="s">
        <v>1821</v>
      </c>
      <c r="B1677" s="1378" t="s">
        <v>987</v>
      </c>
      <c r="C1677" s="1379">
        <v>5</v>
      </c>
      <c r="D1677" s="1380" t="s">
        <v>44</v>
      </c>
      <c r="E1677" s="432"/>
      <c r="F1677" s="1379">
        <v>1274.5</v>
      </c>
      <c r="G1677" s="1350"/>
      <c r="H1677" s="1381">
        <v>6372.5</v>
      </c>
      <c r="I1677" s="1350"/>
    </row>
    <row r="1678" spans="1:9" customFormat="1" hidden="1" outlineLevel="2" x14ac:dyDescent="0.3">
      <c r="A1678" s="1377" t="s">
        <v>1822</v>
      </c>
      <c r="B1678" s="1378" t="s">
        <v>988</v>
      </c>
      <c r="C1678" s="1379">
        <v>144</v>
      </c>
      <c r="D1678" s="1380" t="s">
        <v>44</v>
      </c>
      <c r="E1678" s="432"/>
      <c r="F1678" s="1379">
        <v>10.23</v>
      </c>
      <c r="G1678" s="1350"/>
      <c r="H1678" s="1381">
        <v>1473.1200000000001</v>
      </c>
      <c r="I1678" s="1350"/>
    </row>
    <row r="1679" spans="1:9" customFormat="1" hidden="1" outlineLevel="2" x14ac:dyDescent="0.3">
      <c r="A1679" s="1377" t="s">
        <v>1823</v>
      </c>
      <c r="B1679" s="1378" t="s">
        <v>989</v>
      </c>
      <c r="C1679" s="1379">
        <v>14</v>
      </c>
      <c r="D1679" s="1380" t="s">
        <v>44</v>
      </c>
      <c r="E1679" s="432"/>
      <c r="F1679" s="1379">
        <v>2211.58</v>
      </c>
      <c r="G1679" s="1350"/>
      <c r="H1679" s="1381">
        <v>30962.12</v>
      </c>
      <c r="I1679" s="1350"/>
    </row>
    <row r="1680" spans="1:9" customFormat="1" hidden="1" outlineLevel="2" x14ac:dyDescent="0.3">
      <c r="A1680" s="1377" t="s">
        <v>1824</v>
      </c>
      <c r="B1680" s="1378" t="s">
        <v>944</v>
      </c>
      <c r="C1680" s="1379">
        <v>1</v>
      </c>
      <c r="D1680" s="1380" t="s">
        <v>44</v>
      </c>
      <c r="E1680" s="432"/>
      <c r="F1680" s="1379">
        <v>7281.76</v>
      </c>
      <c r="G1680" s="1350"/>
      <c r="H1680" s="1381">
        <v>7281.76</v>
      </c>
      <c r="I1680" s="1350"/>
    </row>
    <row r="1681" spans="1:9" customFormat="1" hidden="1" outlineLevel="2" x14ac:dyDescent="0.3">
      <c r="A1681" s="1377" t="s">
        <v>1825</v>
      </c>
      <c r="B1681" s="1378" t="s">
        <v>990</v>
      </c>
      <c r="C1681" s="1379">
        <v>3</v>
      </c>
      <c r="D1681" s="1380" t="s">
        <v>44</v>
      </c>
      <c r="E1681" s="432"/>
      <c r="F1681" s="1379">
        <v>786</v>
      </c>
      <c r="G1681" s="1350"/>
      <c r="H1681" s="1381">
        <v>2358</v>
      </c>
      <c r="I1681" s="1350"/>
    </row>
    <row r="1682" spans="1:9" customFormat="1" hidden="1" outlineLevel="2" x14ac:dyDescent="0.3">
      <c r="A1682" s="1377" t="s">
        <v>1826</v>
      </c>
      <c r="B1682" s="1378" t="s">
        <v>991</v>
      </c>
      <c r="C1682" s="1379">
        <v>429</v>
      </c>
      <c r="D1682" s="1380" t="s">
        <v>44</v>
      </c>
      <c r="E1682" s="432"/>
      <c r="F1682" s="1379">
        <v>532.51</v>
      </c>
      <c r="G1682" s="1350"/>
      <c r="H1682" s="1381">
        <v>228446.79</v>
      </c>
      <c r="I1682" s="1350"/>
    </row>
    <row r="1683" spans="1:9" customFormat="1" hidden="1" outlineLevel="2" x14ac:dyDescent="0.3">
      <c r="A1683" s="1377" t="s">
        <v>1827</v>
      </c>
      <c r="B1683" s="1378" t="s">
        <v>992</v>
      </c>
      <c r="C1683" s="1379">
        <v>421</v>
      </c>
      <c r="D1683" s="1380" t="s">
        <v>44</v>
      </c>
      <c r="E1683" s="432"/>
      <c r="F1683" s="1379">
        <v>763.45</v>
      </c>
      <c r="G1683" s="1350"/>
      <c r="H1683" s="1381">
        <v>321412.45</v>
      </c>
      <c r="I1683" s="1350"/>
    </row>
    <row r="1684" spans="1:9" customFormat="1" hidden="1" outlineLevel="2" x14ac:dyDescent="0.3">
      <c r="A1684" s="1377" t="s">
        <v>3579</v>
      </c>
      <c r="B1684" s="1378" t="s">
        <v>993</v>
      </c>
      <c r="C1684" s="1379">
        <v>12</v>
      </c>
      <c r="D1684" s="1380" t="s">
        <v>44</v>
      </c>
      <c r="E1684" s="432"/>
      <c r="F1684" s="1379">
        <v>499</v>
      </c>
      <c r="G1684" s="1350"/>
      <c r="H1684" s="1381">
        <v>5988</v>
      </c>
      <c r="I1684" s="1350"/>
    </row>
    <row r="1685" spans="1:9" customFormat="1" hidden="1" outlineLevel="2" x14ac:dyDescent="0.3">
      <c r="A1685" s="1377" t="s">
        <v>3580</v>
      </c>
      <c r="B1685" s="1378" t="s">
        <v>994</v>
      </c>
      <c r="C1685" s="1379">
        <v>623</v>
      </c>
      <c r="D1685" s="1380" t="s">
        <v>44</v>
      </c>
      <c r="E1685" s="432"/>
      <c r="F1685" s="1379">
        <v>734.62</v>
      </c>
      <c r="G1685" s="1350"/>
      <c r="H1685" s="1381">
        <v>457668.26</v>
      </c>
      <c r="I1685" s="1350"/>
    </row>
    <row r="1686" spans="1:9" customFormat="1" hidden="1" outlineLevel="2" x14ac:dyDescent="0.3">
      <c r="A1686" s="1377" t="s">
        <v>3581</v>
      </c>
      <c r="B1686" s="1378" t="s">
        <v>945</v>
      </c>
      <c r="C1686" s="1379">
        <v>27</v>
      </c>
      <c r="D1686" s="1380" t="s">
        <v>44</v>
      </c>
      <c r="E1686" s="432"/>
      <c r="F1686" s="1379">
        <v>425.02</v>
      </c>
      <c r="G1686" s="1350"/>
      <c r="H1686" s="1381">
        <v>11475.539999999999</v>
      </c>
      <c r="I1686" s="1350"/>
    </row>
    <row r="1687" spans="1:9" customFormat="1" hidden="1" outlineLevel="2" x14ac:dyDescent="0.3">
      <c r="A1687" s="1377" t="s">
        <v>3582</v>
      </c>
      <c r="B1687" s="1378" t="s">
        <v>995</v>
      </c>
      <c r="C1687" s="1379">
        <v>5</v>
      </c>
      <c r="D1687" s="1380" t="s">
        <v>44</v>
      </c>
      <c r="E1687" s="432"/>
      <c r="F1687" s="1379">
        <v>4699</v>
      </c>
      <c r="G1687" s="1350"/>
      <c r="H1687" s="1381">
        <v>23495</v>
      </c>
      <c r="I1687" s="1350"/>
    </row>
    <row r="1688" spans="1:9" customFormat="1" hidden="1" outlineLevel="2" x14ac:dyDescent="0.3">
      <c r="A1688" s="1377" t="s">
        <v>3583</v>
      </c>
      <c r="B1688" s="1378" t="s">
        <v>996</v>
      </c>
      <c r="C1688" s="1379">
        <v>50</v>
      </c>
      <c r="D1688" s="1380" t="s">
        <v>44</v>
      </c>
      <c r="E1688" s="432"/>
      <c r="F1688" s="1379">
        <v>333.83</v>
      </c>
      <c r="G1688" s="1350"/>
      <c r="H1688" s="1381">
        <v>16691.5</v>
      </c>
      <c r="I1688" s="1350"/>
    </row>
    <row r="1689" spans="1:9" customFormat="1" hidden="1" outlineLevel="2" x14ac:dyDescent="0.3">
      <c r="A1689" s="1377" t="s">
        <v>3584</v>
      </c>
      <c r="B1689" s="1378" t="s">
        <v>948</v>
      </c>
      <c r="C1689" s="1379">
        <v>2</v>
      </c>
      <c r="D1689" s="1380" t="s">
        <v>44</v>
      </c>
      <c r="E1689" s="432"/>
      <c r="F1689" s="1379">
        <v>11134.5</v>
      </c>
      <c r="G1689" s="1350"/>
      <c r="H1689" s="1381">
        <v>22269</v>
      </c>
      <c r="I1689" s="1350"/>
    </row>
    <row r="1690" spans="1:9" customFormat="1" hidden="1" outlineLevel="2" x14ac:dyDescent="0.3">
      <c r="A1690" s="1377" t="s">
        <v>3585</v>
      </c>
      <c r="B1690" s="1382" t="s">
        <v>962</v>
      </c>
      <c r="C1690" s="1383">
        <v>103</v>
      </c>
      <c r="D1690" s="1384" t="s">
        <v>43</v>
      </c>
      <c r="E1690" s="432"/>
      <c r="F1690" s="1383">
        <v>10</v>
      </c>
      <c r="G1690" s="1350"/>
      <c r="H1690" s="1381">
        <v>1030</v>
      </c>
      <c r="I1690" s="1350"/>
    </row>
    <row r="1691" spans="1:9" customFormat="1" hidden="1" outlineLevel="2" x14ac:dyDescent="0.3">
      <c r="A1691" s="1377" t="s">
        <v>3586</v>
      </c>
      <c r="B1691" s="1382" t="s">
        <v>998</v>
      </c>
      <c r="C1691" s="1383">
        <v>6743</v>
      </c>
      <c r="D1691" s="1384" t="s">
        <v>43</v>
      </c>
      <c r="E1691" s="432"/>
      <c r="F1691" s="1383">
        <v>16.239999999999998</v>
      </c>
      <c r="G1691" s="1350"/>
      <c r="H1691" s="1381">
        <v>109506.31999999999</v>
      </c>
      <c r="I1691" s="1350"/>
    </row>
    <row r="1692" spans="1:9" customFormat="1" hidden="1" outlineLevel="2" x14ac:dyDescent="0.3">
      <c r="A1692" s="1377" t="s">
        <v>3587</v>
      </c>
      <c r="B1692" s="1382" t="s">
        <v>964</v>
      </c>
      <c r="C1692" s="1383">
        <v>200</v>
      </c>
      <c r="D1692" s="1384" t="s">
        <v>43</v>
      </c>
      <c r="E1692" s="432"/>
      <c r="F1692" s="1383">
        <v>16.239999999999998</v>
      </c>
      <c r="G1692" s="1350"/>
      <c r="H1692" s="1381">
        <v>3247.9999999999995</v>
      </c>
      <c r="I1692" s="1350"/>
    </row>
    <row r="1693" spans="1:9" customFormat="1" hidden="1" outlineLevel="2" x14ac:dyDescent="0.3">
      <c r="A1693" s="1377" t="s">
        <v>3588</v>
      </c>
      <c r="B1693" s="1382" t="s">
        <v>999</v>
      </c>
      <c r="C1693" s="1383">
        <v>40</v>
      </c>
      <c r="D1693" s="1384" t="s">
        <v>43</v>
      </c>
      <c r="E1693" s="432"/>
      <c r="F1693" s="1383">
        <v>23.14</v>
      </c>
      <c r="G1693" s="1350"/>
      <c r="H1693" s="1381">
        <v>925.6</v>
      </c>
      <c r="I1693" s="1350"/>
    </row>
    <row r="1694" spans="1:9" customFormat="1" hidden="1" outlineLevel="2" x14ac:dyDescent="0.3">
      <c r="A1694" s="1377" t="s">
        <v>3589</v>
      </c>
      <c r="B1694" s="1382" t="s">
        <v>969</v>
      </c>
      <c r="C1694" s="1383">
        <v>100</v>
      </c>
      <c r="D1694" s="1384" t="s">
        <v>43</v>
      </c>
      <c r="E1694" s="432"/>
      <c r="F1694" s="1383">
        <v>13.51</v>
      </c>
      <c r="G1694" s="1350"/>
      <c r="H1694" s="1381">
        <v>1351</v>
      </c>
      <c r="I1694" s="1350"/>
    </row>
    <row r="1695" spans="1:9" customFormat="1" hidden="1" outlineLevel="2" x14ac:dyDescent="0.3">
      <c r="A1695" s="1377" t="s">
        <v>3590</v>
      </c>
      <c r="B1695" s="1382" t="s">
        <v>1000</v>
      </c>
      <c r="C1695" s="1383">
        <v>3</v>
      </c>
      <c r="D1695" s="1384" t="s">
        <v>44</v>
      </c>
      <c r="E1695" s="432"/>
      <c r="F1695" s="1383">
        <v>3680.81</v>
      </c>
      <c r="G1695" s="1350"/>
      <c r="H1695" s="1381">
        <v>11042.43</v>
      </c>
      <c r="I1695" s="1350"/>
    </row>
    <row r="1696" spans="1:9" customFormat="1" hidden="1" outlineLevel="2" x14ac:dyDescent="0.3">
      <c r="A1696" s="1377" t="s">
        <v>3591</v>
      </c>
      <c r="B1696" s="1382" t="s">
        <v>1001</v>
      </c>
      <c r="C1696" s="1383">
        <v>1800</v>
      </c>
      <c r="D1696" s="1384" t="s">
        <v>43</v>
      </c>
      <c r="E1696" s="432"/>
      <c r="F1696" s="1383">
        <v>17.84</v>
      </c>
      <c r="G1696" s="1350"/>
      <c r="H1696" s="1381">
        <v>32112</v>
      </c>
      <c r="I1696" s="1350"/>
    </row>
    <row r="1697" spans="1:9" customFormat="1" hidden="1" outlineLevel="2" x14ac:dyDescent="0.3">
      <c r="A1697" s="1377" t="s">
        <v>3592</v>
      </c>
      <c r="B1697" s="1382" t="s">
        <v>1002</v>
      </c>
      <c r="C1697" s="1383">
        <v>20</v>
      </c>
      <c r="D1697" s="1384" t="s">
        <v>79</v>
      </c>
      <c r="E1697" s="432"/>
      <c r="F1697" s="1383">
        <v>300</v>
      </c>
      <c r="G1697" s="1350"/>
      <c r="H1697" s="1381">
        <v>6000</v>
      </c>
      <c r="I1697" s="1350"/>
    </row>
    <row r="1698" spans="1:9" customFormat="1" hidden="1" outlineLevel="2" x14ac:dyDescent="0.3">
      <c r="A1698" s="1377" t="s">
        <v>3593</v>
      </c>
      <c r="B1698" s="1382" t="s">
        <v>997</v>
      </c>
      <c r="C1698" s="1383">
        <v>1</v>
      </c>
      <c r="D1698" s="1384" t="s">
        <v>44</v>
      </c>
      <c r="E1698" s="432"/>
      <c r="F1698" s="1383">
        <v>1738.86</v>
      </c>
      <c r="G1698" s="1350"/>
      <c r="H1698" s="1381">
        <v>1738.86</v>
      </c>
      <c r="I1698" s="1350"/>
    </row>
    <row r="1699" spans="1:9" hidden="1" outlineLevel="1" collapsed="1" x14ac:dyDescent="0.3">
      <c r="A1699" s="1346" t="s">
        <v>1828</v>
      </c>
      <c r="B1699" s="1016" t="s">
        <v>1035</v>
      </c>
      <c r="C1699" s="1347"/>
      <c r="D1699" s="1347"/>
      <c r="E1699" s="1348"/>
      <c r="F1699" s="1348"/>
      <c r="G1699" s="1354"/>
      <c r="H1699" s="1355">
        <f>SUM(H1701:H1715,H1717:H1731,H1733:H1746)</f>
        <v>1042174.89</v>
      </c>
      <c r="I1699" s="1354"/>
    </row>
    <row r="1700" spans="1:9" customFormat="1" hidden="1" outlineLevel="2" x14ac:dyDescent="0.3">
      <c r="A1700" s="1418" t="s">
        <v>1065</v>
      </c>
      <c r="B1700" s="1418"/>
      <c r="C1700" s="1418"/>
      <c r="D1700" s="1418"/>
      <c r="E1700" s="1418"/>
      <c r="F1700" s="1418"/>
      <c r="G1700" s="1418"/>
      <c r="H1700" s="1418"/>
      <c r="I1700" s="1418"/>
    </row>
    <row r="1701" spans="1:9" customFormat="1" hidden="1" outlineLevel="2" x14ac:dyDescent="0.3">
      <c r="A1701" s="1377" t="s">
        <v>1829</v>
      </c>
      <c r="B1701" s="1378" t="s">
        <v>942</v>
      </c>
      <c r="C1701" s="1379">
        <v>96</v>
      </c>
      <c r="D1701" s="1380" t="s">
        <v>44</v>
      </c>
      <c r="E1701" s="432"/>
      <c r="F1701" s="1379">
        <v>560</v>
      </c>
      <c r="G1701" s="1350"/>
      <c r="H1701" s="1381">
        <v>53760</v>
      </c>
      <c r="I1701" s="1350"/>
    </row>
    <row r="1702" spans="1:9" customFormat="1" hidden="1" outlineLevel="2" x14ac:dyDescent="0.3">
      <c r="A1702" s="1377" t="s">
        <v>1830</v>
      </c>
      <c r="B1702" s="1378" t="s">
        <v>943</v>
      </c>
      <c r="C1702" s="1379">
        <v>93</v>
      </c>
      <c r="D1702" s="1380" t="s">
        <v>44</v>
      </c>
      <c r="E1702" s="432"/>
      <c r="F1702" s="1379">
        <v>169.45</v>
      </c>
      <c r="G1702" s="1350"/>
      <c r="H1702" s="1381">
        <v>15758.849999999999</v>
      </c>
      <c r="I1702" s="1350"/>
    </row>
    <row r="1703" spans="1:9" customFormat="1" hidden="1" outlineLevel="2" x14ac:dyDescent="0.3">
      <c r="A1703" s="1377" t="s">
        <v>1831</v>
      </c>
      <c r="B1703" s="1378" t="s">
        <v>944</v>
      </c>
      <c r="C1703" s="1379">
        <v>1</v>
      </c>
      <c r="D1703" s="1380" t="s">
        <v>44</v>
      </c>
      <c r="E1703" s="432"/>
      <c r="F1703" s="1379">
        <v>7281.76</v>
      </c>
      <c r="G1703" s="1350"/>
      <c r="H1703" s="1381">
        <v>7281.76</v>
      </c>
      <c r="I1703" s="1350"/>
    </row>
    <row r="1704" spans="1:9" customFormat="1" hidden="1" outlineLevel="2" x14ac:dyDescent="0.3">
      <c r="A1704" s="1377" t="s">
        <v>1832</v>
      </c>
      <c r="B1704" s="1378" t="s">
        <v>945</v>
      </c>
      <c r="C1704" s="1379">
        <v>27</v>
      </c>
      <c r="D1704" s="1380" t="s">
        <v>44</v>
      </c>
      <c r="E1704" s="432"/>
      <c r="F1704" s="1379">
        <v>425.02</v>
      </c>
      <c r="G1704" s="1350"/>
      <c r="H1704" s="1381">
        <v>11475.539999999999</v>
      </c>
      <c r="I1704" s="1350"/>
    </row>
    <row r="1705" spans="1:9" customFormat="1" hidden="1" outlineLevel="2" x14ac:dyDescent="0.3">
      <c r="A1705" s="1377" t="s">
        <v>1833</v>
      </c>
      <c r="B1705" s="1378" t="s">
        <v>946</v>
      </c>
      <c r="C1705" s="1379">
        <v>10</v>
      </c>
      <c r="D1705" s="1380" t="s">
        <v>44</v>
      </c>
      <c r="E1705" s="432"/>
      <c r="F1705" s="1379">
        <v>796.74</v>
      </c>
      <c r="G1705" s="1350"/>
      <c r="H1705" s="1381">
        <v>7967.4</v>
      </c>
      <c r="I1705" s="1350"/>
    </row>
    <row r="1706" spans="1:9" customFormat="1" hidden="1" outlineLevel="2" x14ac:dyDescent="0.3">
      <c r="A1706" s="1377" t="s">
        <v>3594</v>
      </c>
      <c r="B1706" s="1378" t="s">
        <v>947</v>
      </c>
      <c r="C1706" s="1379">
        <v>104</v>
      </c>
      <c r="D1706" s="1380" t="s">
        <v>44</v>
      </c>
      <c r="E1706" s="432"/>
      <c r="F1706" s="1379">
        <v>2222.69</v>
      </c>
      <c r="G1706" s="1350"/>
      <c r="H1706" s="1381">
        <v>231159.76</v>
      </c>
      <c r="I1706" s="1350"/>
    </row>
    <row r="1707" spans="1:9" customFormat="1" hidden="1" outlineLevel="2" x14ac:dyDescent="0.3">
      <c r="A1707" s="1377" t="s">
        <v>3595</v>
      </c>
      <c r="B1707" s="1378" t="s">
        <v>948</v>
      </c>
      <c r="C1707" s="1379">
        <v>1</v>
      </c>
      <c r="D1707" s="1380" t="s">
        <v>44</v>
      </c>
      <c r="E1707" s="432"/>
      <c r="F1707" s="1379">
        <v>11134.5</v>
      </c>
      <c r="G1707" s="1350"/>
      <c r="H1707" s="1381">
        <v>11134.5</v>
      </c>
      <c r="I1707" s="1350"/>
    </row>
    <row r="1708" spans="1:9" customFormat="1" hidden="1" outlineLevel="2" x14ac:dyDescent="0.3">
      <c r="A1708" s="1377" t="s">
        <v>3596</v>
      </c>
      <c r="B1708" s="1378" t="s">
        <v>949</v>
      </c>
      <c r="C1708" s="1379">
        <v>1</v>
      </c>
      <c r="D1708" s="1380" t="s">
        <v>44</v>
      </c>
      <c r="E1708" s="432"/>
      <c r="F1708" s="1379">
        <v>750</v>
      </c>
      <c r="G1708" s="1350"/>
      <c r="H1708" s="1381">
        <v>750</v>
      </c>
      <c r="I1708" s="1350"/>
    </row>
    <row r="1709" spans="1:9" customFormat="1" hidden="1" outlineLevel="2" x14ac:dyDescent="0.3">
      <c r="A1709" s="1377" t="s">
        <v>3597</v>
      </c>
      <c r="B1709" s="1378" t="s">
        <v>950</v>
      </c>
      <c r="C1709" s="1379">
        <v>1</v>
      </c>
      <c r="D1709" s="1380" t="s">
        <v>44</v>
      </c>
      <c r="E1709" s="432"/>
      <c r="F1709" s="1379">
        <v>1738.86</v>
      </c>
      <c r="G1709" s="1350"/>
      <c r="H1709" s="1381">
        <v>1738.86</v>
      </c>
      <c r="I1709" s="1350"/>
    </row>
    <row r="1710" spans="1:9" customFormat="1" hidden="1" outlineLevel="2" x14ac:dyDescent="0.3">
      <c r="A1710" s="1377" t="s">
        <v>3598</v>
      </c>
      <c r="B1710" s="1378" t="s">
        <v>951</v>
      </c>
      <c r="C1710" s="1379">
        <v>2</v>
      </c>
      <c r="D1710" s="1380" t="s">
        <v>44</v>
      </c>
      <c r="E1710" s="432"/>
      <c r="F1710" s="1379">
        <v>26000</v>
      </c>
      <c r="G1710" s="1350"/>
      <c r="H1710" s="1381">
        <v>52000</v>
      </c>
      <c r="I1710" s="1350"/>
    </row>
    <row r="1711" spans="1:9" customFormat="1" hidden="1" outlineLevel="2" x14ac:dyDescent="0.3">
      <c r="A1711" s="1377" t="s">
        <v>3599</v>
      </c>
      <c r="B1711" s="1378" t="s">
        <v>952</v>
      </c>
      <c r="C1711" s="1379">
        <v>2</v>
      </c>
      <c r="D1711" s="1380" t="s">
        <v>44</v>
      </c>
      <c r="E1711" s="432"/>
      <c r="F1711" s="1379">
        <v>26000</v>
      </c>
      <c r="G1711" s="1350"/>
      <c r="H1711" s="1381">
        <v>52000</v>
      </c>
      <c r="I1711" s="1350"/>
    </row>
    <row r="1712" spans="1:9" customFormat="1" hidden="1" outlineLevel="2" x14ac:dyDescent="0.3">
      <c r="A1712" s="1377" t="s">
        <v>3600</v>
      </c>
      <c r="B1712" s="1378" t="s">
        <v>953</v>
      </c>
      <c r="C1712" s="1379">
        <v>3</v>
      </c>
      <c r="D1712" s="1380" t="s">
        <v>44</v>
      </c>
      <c r="E1712" s="432"/>
      <c r="F1712" s="1379">
        <v>26000</v>
      </c>
      <c r="G1712" s="1350"/>
      <c r="H1712" s="1381">
        <v>78000</v>
      </c>
      <c r="I1712" s="1350"/>
    </row>
    <row r="1713" spans="1:9" customFormat="1" hidden="1" outlineLevel="2" x14ac:dyDescent="0.3">
      <c r="A1713" s="1377" t="s">
        <v>3601</v>
      </c>
      <c r="B1713" s="1378" t="s">
        <v>954</v>
      </c>
      <c r="C1713" s="1379">
        <v>1</v>
      </c>
      <c r="D1713" s="1380" t="s">
        <v>44</v>
      </c>
      <c r="E1713" s="432"/>
      <c r="F1713" s="1379">
        <v>27000</v>
      </c>
      <c r="G1713" s="1350"/>
      <c r="H1713" s="1381">
        <v>27000</v>
      </c>
      <c r="I1713" s="1350"/>
    </row>
    <row r="1714" spans="1:9" customFormat="1" hidden="1" outlineLevel="2" x14ac:dyDescent="0.3">
      <c r="A1714" s="1377" t="s">
        <v>3602</v>
      </c>
      <c r="B1714" s="1378" t="s">
        <v>955</v>
      </c>
      <c r="C1714" s="1379">
        <v>2</v>
      </c>
      <c r="D1714" s="1380" t="s">
        <v>44</v>
      </c>
      <c r="E1714" s="432"/>
      <c r="F1714" s="1379">
        <v>871.99</v>
      </c>
      <c r="G1714" s="1350"/>
      <c r="H1714" s="1381">
        <v>1743.98</v>
      </c>
      <c r="I1714" s="1350"/>
    </row>
    <row r="1715" spans="1:9" customFormat="1" hidden="1" outlineLevel="2" x14ac:dyDescent="0.3">
      <c r="A1715" s="1377" t="s">
        <v>3603</v>
      </c>
      <c r="B1715" s="1378" t="s">
        <v>956</v>
      </c>
      <c r="C1715" s="1379">
        <v>1</v>
      </c>
      <c r="D1715" s="1380" t="s">
        <v>44</v>
      </c>
      <c r="E1715" s="432"/>
      <c r="F1715" s="1379">
        <v>7000</v>
      </c>
      <c r="G1715" s="1350"/>
      <c r="H1715" s="1381">
        <v>7000</v>
      </c>
      <c r="I1715" s="1350"/>
    </row>
    <row r="1716" spans="1:9" customFormat="1" hidden="1" outlineLevel="2" x14ac:dyDescent="0.3">
      <c r="A1716" s="1418" t="s">
        <v>1014</v>
      </c>
      <c r="B1716" s="1418"/>
      <c r="C1716" s="1418"/>
      <c r="D1716" s="1418"/>
      <c r="E1716" s="1418"/>
      <c r="F1716" s="1418"/>
      <c r="G1716" s="1418"/>
      <c r="H1716" s="1418"/>
      <c r="I1716" s="1418"/>
    </row>
    <row r="1717" spans="1:9" customFormat="1" hidden="1" outlineLevel="2" x14ac:dyDescent="0.3">
      <c r="A1717" s="1377" t="s">
        <v>3604</v>
      </c>
      <c r="B1717" s="1378" t="s">
        <v>957</v>
      </c>
      <c r="C1717" s="1379">
        <v>92</v>
      </c>
      <c r="D1717" s="1380" t="s">
        <v>44</v>
      </c>
      <c r="E1717" s="432"/>
      <c r="F1717" s="1379">
        <v>3000</v>
      </c>
      <c r="G1717" s="1350"/>
      <c r="H1717" s="1381">
        <v>276000</v>
      </c>
      <c r="I1717" s="1350"/>
    </row>
    <row r="1718" spans="1:9" customFormat="1" hidden="1" outlineLevel="2" x14ac:dyDescent="0.3">
      <c r="A1718" s="1377" t="s">
        <v>3605</v>
      </c>
      <c r="B1718" s="1378" t="s">
        <v>958</v>
      </c>
      <c r="C1718" s="1379">
        <v>23</v>
      </c>
      <c r="D1718" s="1380" t="s">
        <v>44</v>
      </c>
      <c r="E1718" s="432"/>
      <c r="F1718" s="1379">
        <v>19.93</v>
      </c>
      <c r="G1718" s="1350"/>
      <c r="H1718" s="1381">
        <v>458.39</v>
      </c>
      <c r="I1718" s="1350"/>
    </row>
    <row r="1719" spans="1:9" customFormat="1" hidden="1" outlineLevel="2" x14ac:dyDescent="0.3">
      <c r="A1719" s="1377" t="s">
        <v>3606</v>
      </c>
      <c r="B1719" s="1378" t="s">
        <v>959</v>
      </c>
      <c r="C1719" s="1379">
        <v>520</v>
      </c>
      <c r="D1719" s="1380" t="s">
        <v>43</v>
      </c>
      <c r="E1719" s="432"/>
      <c r="F1719" s="1379">
        <v>12.51</v>
      </c>
      <c r="G1719" s="1350"/>
      <c r="H1719" s="1381">
        <v>6505.2</v>
      </c>
      <c r="I1719" s="1350"/>
    </row>
    <row r="1720" spans="1:9" customFormat="1" hidden="1" outlineLevel="2" x14ac:dyDescent="0.3">
      <c r="A1720" s="1377" t="s">
        <v>3607</v>
      </c>
      <c r="B1720" s="1378" t="s">
        <v>960</v>
      </c>
      <c r="C1720" s="1379">
        <v>30</v>
      </c>
      <c r="D1720" s="1380" t="s">
        <v>79</v>
      </c>
      <c r="E1720" s="432"/>
      <c r="F1720" s="1379">
        <v>300</v>
      </c>
      <c r="G1720" s="1350"/>
      <c r="H1720" s="1381">
        <v>9000</v>
      </c>
      <c r="I1720" s="1350"/>
    </row>
    <row r="1721" spans="1:9" customFormat="1" hidden="1" outlineLevel="2" x14ac:dyDescent="0.3">
      <c r="A1721" s="276"/>
      <c r="B1721" s="1378" t="s">
        <v>961</v>
      </c>
      <c r="C1721" s="1379">
        <v>572</v>
      </c>
      <c r="D1721" s="1380" t="s">
        <v>43</v>
      </c>
      <c r="E1721" s="432"/>
      <c r="F1721" s="1379">
        <v>62</v>
      </c>
      <c r="G1721" s="1350"/>
      <c r="H1721" s="1381">
        <v>35464</v>
      </c>
      <c r="I1721" s="1350"/>
    </row>
    <row r="1722" spans="1:9" customFormat="1" hidden="1" outlineLevel="2" x14ac:dyDescent="0.3">
      <c r="A1722" s="1377" t="s">
        <v>3608</v>
      </c>
      <c r="B1722" s="1378" t="s">
        <v>962</v>
      </c>
      <c r="C1722" s="1379">
        <v>2060</v>
      </c>
      <c r="D1722" s="1380" t="s">
        <v>43</v>
      </c>
      <c r="E1722" s="432"/>
      <c r="F1722" s="1379">
        <v>10</v>
      </c>
      <c r="G1722" s="1350"/>
      <c r="H1722" s="1381">
        <v>20600</v>
      </c>
      <c r="I1722" s="1350"/>
    </row>
    <row r="1723" spans="1:9" customFormat="1" hidden="1" outlineLevel="2" x14ac:dyDescent="0.3">
      <c r="A1723" s="1377" t="s">
        <v>3609</v>
      </c>
      <c r="B1723" s="1378" t="s">
        <v>963</v>
      </c>
      <c r="C1723" s="1379">
        <v>248</v>
      </c>
      <c r="D1723" s="1380" t="s">
        <v>43</v>
      </c>
      <c r="E1723" s="432"/>
      <c r="F1723" s="1379">
        <v>11.56</v>
      </c>
      <c r="G1723" s="1350"/>
      <c r="H1723" s="1381">
        <v>2866.88</v>
      </c>
      <c r="I1723" s="1350"/>
    </row>
    <row r="1724" spans="1:9" customFormat="1" hidden="1" outlineLevel="2" x14ac:dyDescent="0.3">
      <c r="A1724" s="1377" t="s">
        <v>3610</v>
      </c>
      <c r="B1724" s="1378" t="s">
        <v>964</v>
      </c>
      <c r="C1724" s="1379">
        <v>7</v>
      </c>
      <c r="D1724" s="1380" t="s">
        <v>43</v>
      </c>
      <c r="E1724" s="432"/>
      <c r="F1724" s="1379">
        <v>16.239999999999998</v>
      </c>
      <c r="G1724" s="1350"/>
      <c r="H1724" s="1381">
        <v>113.67999999999999</v>
      </c>
      <c r="I1724" s="1350"/>
    </row>
    <row r="1725" spans="1:9" customFormat="1" hidden="1" outlineLevel="2" x14ac:dyDescent="0.3">
      <c r="A1725" s="1377" t="s">
        <v>3611</v>
      </c>
      <c r="B1725" s="1378" t="s">
        <v>965</v>
      </c>
      <c r="C1725" s="1379">
        <v>343</v>
      </c>
      <c r="D1725" s="1380" t="s">
        <v>43</v>
      </c>
      <c r="E1725" s="432"/>
      <c r="F1725" s="1379">
        <v>16.52</v>
      </c>
      <c r="G1725" s="1350"/>
      <c r="H1725" s="1381">
        <v>5666.36</v>
      </c>
      <c r="I1725" s="1350"/>
    </row>
    <row r="1726" spans="1:9" customFormat="1" hidden="1" outlineLevel="2" x14ac:dyDescent="0.3">
      <c r="A1726" s="1377" t="s">
        <v>3612</v>
      </c>
      <c r="B1726" s="1378" t="s">
        <v>966</v>
      </c>
      <c r="C1726" s="1379">
        <v>191</v>
      </c>
      <c r="D1726" s="1380" t="s">
        <v>43</v>
      </c>
      <c r="E1726" s="432"/>
      <c r="F1726" s="1379">
        <v>9.73</v>
      </c>
      <c r="G1726" s="1350"/>
      <c r="H1726" s="1381">
        <v>1858.43</v>
      </c>
      <c r="I1726" s="1350"/>
    </row>
    <row r="1727" spans="1:9" customFormat="1" hidden="1" outlineLevel="2" x14ac:dyDescent="0.3">
      <c r="A1727" s="1377" t="s">
        <v>3613</v>
      </c>
      <c r="B1727" s="1378" t="s">
        <v>967</v>
      </c>
      <c r="C1727" s="1379">
        <v>160</v>
      </c>
      <c r="D1727" s="1380" t="s">
        <v>43</v>
      </c>
      <c r="E1727" s="432"/>
      <c r="F1727" s="1379">
        <v>16.2</v>
      </c>
      <c r="G1727" s="1350"/>
      <c r="H1727" s="1381">
        <v>2592</v>
      </c>
      <c r="I1727" s="1350"/>
    </row>
    <row r="1728" spans="1:9" customFormat="1" hidden="1" outlineLevel="2" x14ac:dyDescent="0.3">
      <c r="A1728" s="1377" t="s">
        <v>3614</v>
      </c>
      <c r="B1728" s="1382" t="s">
        <v>968</v>
      </c>
      <c r="C1728" s="1383">
        <v>2000</v>
      </c>
      <c r="D1728" s="1384" t="s">
        <v>43</v>
      </c>
      <c r="E1728" s="432"/>
      <c r="F1728" s="1383">
        <v>10.86</v>
      </c>
      <c r="G1728" s="1350"/>
      <c r="H1728" s="1381">
        <v>21720</v>
      </c>
      <c r="I1728" s="1350"/>
    </row>
    <row r="1729" spans="1:9" customFormat="1" hidden="1" outlineLevel="2" x14ac:dyDescent="0.3">
      <c r="A1729" s="1377" t="s">
        <v>3615</v>
      </c>
      <c r="B1729" s="1382" t="s">
        <v>969</v>
      </c>
      <c r="C1729" s="1383">
        <v>103</v>
      </c>
      <c r="D1729" s="1384" t="s">
        <v>43</v>
      </c>
      <c r="E1729" s="432"/>
      <c r="F1729" s="1383">
        <v>13.51</v>
      </c>
      <c r="G1729" s="1350"/>
      <c r="H1729" s="1381">
        <v>1391.53</v>
      </c>
      <c r="I1729" s="1350"/>
    </row>
    <row r="1730" spans="1:9" customFormat="1" hidden="1" outlineLevel="2" x14ac:dyDescent="0.3">
      <c r="A1730" s="1377" t="s">
        <v>3616</v>
      </c>
      <c r="B1730" s="1382" t="s">
        <v>970</v>
      </c>
      <c r="C1730" s="1383">
        <v>20</v>
      </c>
      <c r="D1730" s="1384" t="s">
        <v>43</v>
      </c>
      <c r="E1730" s="432"/>
      <c r="F1730" s="1383">
        <v>18.149999999999999</v>
      </c>
      <c r="G1730" s="1350"/>
      <c r="H1730" s="1381">
        <v>363</v>
      </c>
      <c r="I1730" s="1350"/>
    </row>
    <row r="1731" spans="1:9" customFormat="1" hidden="1" outlineLevel="2" x14ac:dyDescent="0.3">
      <c r="A1731" s="1377" t="s">
        <v>3617</v>
      </c>
      <c r="B1731" s="1382" t="s">
        <v>971</v>
      </c>
      <c r="C1731" s="1383">
        <v>25</v>
      </c>
      <c r="D1731" s="1384" t="s">
        <v>43</v>
      </c>
      <c r="E1731" s="432"/>
      <c r="F1731" s="1383">
        <v>60</v>
      </c>
      <c r="G1731" s="1350"/>
      <c r="H1731" s="1381">
        <v>1500</v>
      </c>
      <c r="I1731" s="1350"/>
    </row>
    <row r="1732" spans="1:9" customFormat="1" hidden="1" outlineLevel="2" x14ac:dyDescent="0.3">
      <c r="A1732" s="1418" t="s">
        <v>1066</v>
      </c>
      <c r="B1732" s="1418"/>
      <c r="C1732" s="1418"/>
      <c r="D1732" s="1418"/>
      <c r="E1732" s="1418"/>
      <c r="F1732" s="1418"/>
      <c r="G1732" s="1418"/>
      <c r="H1732" s="1418"/>
      <c r="I1732" s="1418"/>
    </row>
    <row r="1733" spans="1:9" customFormat="1" hidden="1" outlineLevel="2" x14ac:dyDescent="0.3">
      <c r="A1733" s="1385" t="s">
        <v>3618</v>
      </c>
      <c r="B1733" s="1380" t="s">
        <v>972</v>
      </c>
      <c r="C1733" s="1380">
        <v>1</v>
      </c>
      <c r="D1733" s="1380" t="s">
        <v>44</v>
      </c>
      <c r="E1733" s="432"/>
      <c r="F1733" s="1380">
        <v>518.77</v>
      </c>
      <c r="G1733" s="1350"/>
      <c r="H1733" s="1381">
        <v>518.77</v>
      </c>
      <c r="I1733" s="1350"/>
    </row>
    <row r="1734" spans="1:9" customFormat="1" hidden="1" outlineLevel="2" x14ac:dyDescent="0.3">
      <c r="A1734" s="1385" t="s">
        <v>3619</v>
      </c>
      <c r="B1734" s="1380" t="s">
        <v>973</v>
      </c>
      <c r="C1734" s="1380">
        <v>1</v>
      </c>
      <c r="D1734" s="1380" t="s">
        <v>44</v>
      </c>
      <c r="E1734" s="432"/>
      <c r="F1734" s="1380">
        <v>150</v>
      </c>
      <c r="G1734" s="1350"/>
      <c r="H1734" s="1381">
        <v>150</v>
      </c>
      <c r="I1734" s="1350"/>
    </row>
    <row r="1735" spans="1:9" customFormat="1" hidden="1" outlineLevel="2" x14ac:dyDescent="0.3">
      <c r="A1735" s="1385" t="s">
        <v>3620</v>
      </c>
      <c r="B1735" s="1380" t="s">
        <v>974</v>
      </c>
      <c r="C1735" s="1380">
        <v>3</v>
      </c>
      <c r="D1735" s="1380" t="s">
        <v>44</v>
      </c>
      <c r="E1735" s="432"/>
      <c r="F1735" s="1380">
        <v>13140</v>
      </c>
      <c r="G1735" s="1356"/>
      <c r="H1735" s="1381">
        <v>39420</v>
      </c>
      <c r="I1735" s="1350"/>
    </row>
    <row r="1736" spans="1:9" customFormat="1" hidden="1" outlineLevel="2" x14ac:dyDescent="0.3">
      <c r="A1736" s="1385" t="s">
        <v>3621</v>
      </c>
      <c r="B1736" s="1380" t="s">
        <v>975</v>
      </c>
      <c r="C1736" s="1380">
        <v>50</v>
      </c>
      <c r="D1736" s="1380" t="s">
        <v>43</v>
      </c>
      <c r="E1736" s="432"/>
      <c r="F1736" s="1380">
        <v>46.8</v>
      </c>
      <c r="G1736" s="1350"/>
      <c r="H1736" s="1381">
        <v>2340</v>
      </c>
      <c r="I1736" s="1350"/>
    </row>
    <row r="1737" spans="1:9" customFormat="1" hidden="1" outlineLevel="2" x14ac:dyDescent="0.3">
      <c r="A1737" s="1385" t="s">
        <v>3622</v>
      </c>
      <c r="B1737" s="1380" t="s">
        <v>976</v>
      </c>
      <c r="C1737" s="1380">
        <v>4</v>
      </c>
      <c r="D1737" s="1380" t="s">
        <v>44</v>
      </c>
      <c r="E1737" s="432"/>
      <c r="F1737" s="1380">
        <v>87</v>
      </c>
      <c r="G1737" s="1350"/>
      <c r="H1737" s="1381">
        <v>348</v>
      </c>
      <c r="I1737" s="1350"/>
    </row>
    <row r="1738" spans="1:9" customFormat="1" hidden="1" outlineLevel="2" x14ac:dyDescent="0.3">
      <c r="A1738" s="1385" t="s">
        <v>3623</v>
      </c>
      <c r="B1738" s="1380" t="s">
        <v>977</v>
      </c>
      <c r="C1738" s="1380">
        <v>50</v>
      </c>
      <c r="D1738" s="1380" t="s">
        <v>43</v>
      </c>
      <c r="E1738" s="432"/>
      <c r="F1738" s="1380">
        <v>12</v>
      </c>
      <c r="G1738" s="1350"/>
      <c r="H1738" s="1381">
        <v>600</v>
      </c>
      <c r="I1738" s="1350"/>
    </row>
    <row r="1739" spans="1:9" customFormat="1" hidden="1" outlineLevel="2" x14ac:dyDescent="0.3">
      <c r="A1739" s="1385" t="s">
        <v>3624</v>
      </c>
      <c r="B1739" s="1380" t="s">
        <v>978</v>
      </c>
      <c r="C1739" s="1380">
        <v>50</v>
      </c>
      <c r="D1739" s="1380" t="s">
        <v>43</v>
      </c>
      <c r="E1739" s="432"/>
      <c r="F1739" s="1380">
        <v>43.6</v>
      </c>
      <c r="G1739" s="1350"/>
      <c r="H1739" s="1381">
        <v>2180</v>
      </c>
      <c r="I1739" s="1350"/>
    </row>
    <row r="1740" spans="1:9" customFormat="1" hidden="1" outlineLevel="2" x14ac:dyDescent="0.3">
      <c r="A1740" s="1385" t="s">
        <v>3625</v>
      </c>
      <c r="B1740" s="1380" t="s">
        <v>979</v>
      </c>
      <c r="C1740" s="1380">
        <v>50</v>
      </c>
      <c r="D1740" s="1380" t="s">
        <v>43</v>
      </c>
      <c r="E1740" s="432"/>
      <c r="F1740" s="1380">
        <v>20</v>
      </c>
      <c r="G1740" s="1350"/>
      <c r="H1740" s="1381">
        <v>1000</v>
      </c>
      <c r="I1740" s="1350"/>
    </row>
    <row r="1741" spans="1:9" customFormat="1" hidden="1" outlineLevel="2" x14ac:dyDescent="0.3">
      <c r="A1741" s="1385" t="s">
        <v>3626</v>
      </c>
      <c r="B1741" s="1380" t="s">
        <v>980</v>
      </c>
      <c r="C1741" s="1380">
        <v>50</v>
      </c>
      <c r="D1741" s="1380" t="s">
        <v>43</v>
      </c>
      <c r="E1741" s="432"/>
      <c r="F1741" s="1380">
        <v>9.6</v>
      </c>
      <c r="G1741" s="1350"/>
      <c r="H1741" s="1381">
        <v>480</v>
      </c>
      <c r="I1741" s="1350"/>
    </row>
    <row r="1742" spans="1:9" customFormat="1" hidden="1" outlineLevel="2" x14ac:dyDescent="0.3">
      <c r="A1742" s="1385" t="s">
        <v>3627</v>
      </c>
      <c r="B1742" s="1380" t="s">
        <v>981</v>
      </c>
      <c r="C1742" s="1380">
        <v>2</v>
      </c>
      <c r="D1742" s="1380" t="s">
        <v>982</v>
      </c>
      <c r="E1742" s="432"/>
      <c r="F1742" s="1380">
        <v>120</v>
      </c>
      <c r="G1742" s="1350"/>
      <c r="H1742" s="1381">
        <v>240</v>
      </c>
      <c r="I1742" s="1350"/>
    </row>
    <row r="1743" spans="1:9" customFormat="1" hidden="1" outlineLevel="2" x14ac:dyDescent="0.3">
      <c r="A1743" s="1385" t="s">
        <v>3628</v>
      </c>
      <c r="B1743" s="1380" t="s">
        <v>983</v>
      </c>
      <c r="C1743" s="1380">
        <v>1</v>
      </c>
      <c r="D1743" s="1380" t="s">
        <v>44</v>
      </c>
      <c r="E1743" s="432"/>
      <c r="F1743" s="1380">
        <v>3840</v>
      </c>
      <c r="G1743" s="1350"/>
      <c r="H1743" s="1381">
        <v>3840</v>
      </c>
      <c r="I1743" s="1350"/>
    </row>
    <row r="1744" spans="1:9" customFormat="1" hidden="1" outlineLevel="2" x14ac:dyDescent="0.3">
      <c r="A1744" s="1385" t="s">
        <v>3629</v>
      </c>
      <c r="B1744" s="1380" t="s">
        <v>984</v>
      </c>
      <c r="C1744" s="1380">
        <v>1</v>
      </c>
      <c r="D1744" s="1380" t="s">
        <v>44</v>
      </c>
      <c r="E1744" s="432"/>
      <c r="F1744" s="1380">
        <v>3348</v>
      </c>
      <c r="G1744" s="1350"/>
      <c r="H1744" s="1381">
        <v>3348</v>
      </c>
      <c r="I1744" s="1350"/>
    </row>
    <row r="1745" spans="1:10" customFormat="1" hidden="1" outlineLevel="2" x14ac:dyDescent="0.3">
      <c r="A1745" s="1385" t="s">
        <v>3630</v>
      </c>
      <c r="B1745" s="1380" t="s">
        <v>985</v>
      </c>
      <c r="C1745" s="276">
        <v>3</v>
      </c>
      <c r="D1745" s="1380" t="s">
        <v>44</v>
      </c>
      <c r="E1745" s="432"/>
      <c r="F1745" s="1380">
        <v>10200</v>
      </c>
      <c r="G1745" s="1350"/>
      <c r="H1745" s="1381">
        <v>30600</v>
      </c>
      <c r="I1745" s="1350"/>
    </row>
    <row r="1746" spans="1:10" customFormat="1" hidden="1" outlineLevel="2" x14ac:dyDescent="0.3">
      <c r="A1746" s="1385" t="s">
        <v>3631</v>
      </c>
      <c r="B1746" s="1380" t="s">
        <v>986</v>
      </c>
      <c r="C1746" s="276">
        <v>3</v>
      </c>
      <c r="D1746" s="1380" t="s">
        <v>44</v>
      </c>
      <c r="E1746" s="432"/>
      <c r="F1746" s="1380">
        <v>4080</v>
      </c>
      <c r="G1746" s="1350"/>
      <c r="H1746" s="1381">
        <v>12240</v>
      </c>
      <c r="I1746" s="1350"/>
    </row>
    <row r="1747" spans="1:10" collapsed="1" x14ac:dyDescent="0.3">
      <c r="A1747" s="1033" t="s">
        <v>3632</v>
      </c>
      <c r="B1747" s="1013" t="s">
        <v>17</v>
      </c>
      <c r="C1747" s="1014" t="s">
        <v>44</v>
      </c>
      <c r="D1747" s="1357">
        <f>D1748+D1760+D1765</f>
        <v>16</v>
      </c>
      <c r="E1747" s="156"/>
      <c r="F1747" s="156"/>
      <c r="G1747" s="1358">
        <f>G1748+G1760+G1765</f>
        <v>2523950</v>
      </c>
      <c r="H1747" s="1358">
        <f>H1748+H1760+H1765</f>
        <v>9036971.9597523808</v>
      </c>
      <c r="I1747" s="1358">
        <f>I1748+I1760+I1765</f>
        <v>11560921.959752381</v>
      </c>
    </row>
    <row r="1748" spans="1:10" hidden="1" outlineLevel="1" collapsed="1" x14ac:dyDescent="0.3">
      <c r="A1748" s="39" t="s">
        <v>3633</v>
      </c>
      <c r="B1748" s="41" t="s">
        <v>1108</v>
      </c>
      <c r="C1748" s="42" t="s">
        <v>44</v>
      </c>
      <c r="D1748" s="1023">
        <v>1</v>
      </c>
      <c r="E1748" s="108"/>
      <c r="F1748" s="108"/>
      <c r="G1748" s="1359">
        <f>G1749+G1750+G1756</f>
        <v>2523950</v>
      </c>
      <c r="H1748" s="1359">
        <f>H1749+H1750+H1756</f>
        <v>5834186.2266666666</v>
      </c>
      <c r="I1748" s="1359">
        <f t="shared" ref="I1748" si="201">I1749+I1750+I1756</f>
        <v>8358136.2266666666</v>
      </c>
    </row>
    <row r="1749" spans="1:10" hidden="1" outlineLevel="2" x14ac:dyDescent="0.3">
      <c r="A1749" s="39" t="s">
        <v>3634</v>
      </c>
      <c r="B1749" s="29" t="s">
        <v>1126</v>
      </c>
      <c r="C1749" s="30" t="s">
        <v>44</v>
      </c>
      <c r="D1749" s="69">
        <v>1</v>
      </c>
      <c r="E1749" s="109">
        <v>64000</v>
      </c>
      <c r="F1749" s="109">
        <v>5383744.5599999996</v>
      </c>
      <c r="G1749" s="1039">
        <f t="shared" ref="G1749:G1759" si="202">D1749*E1749</f>
        <v>64000</v>
      </c>
      <c r="H1749" s="1039">
        <f t="shared" ref="H1749:H1759" si="203">D1749*F1749</f>
        <v>5383744.5599999996</v>
      </c>
      <c r="I1749" s="1039">
        <f t="shared" ref="I1749:I1759" si="204">G1749+H1749</f>
        <v>5447744.5599999996</v>
      </c>
    </row>
    <row r="1750" spans="1:10" hidden="1" outlineLevel="2" x14ac:dyDescent="0.3">
      <c r="A1750" s="39" t="s">
        <v>3641</v>
      </c>
      <c r="B1750" s="41" t="s">
        <v>1127</v>
      </c>
      <c r="C1750" s="42" t="s">
        <v>44</v>
      </c>
      <c r="D1750" s="1023">
        <v>1</v>
      </c>
      <c r="E1750" s="108"/>
      <c r="F1750" s="108"/>
      <c r="G1750" s="1359">
        <f t="shared" ref="G1750:H1750" si="205">SUM(G1751:G1755)</f>
        <v>259950</v>
      </c>
      <c r="H1750" s="1359">
        <f t="shared" si="205"/>
        <v>383775</v>
      </c>
      <c r="I1750" s="1359">
        <f>SUM(I1751:I1755)</f>
        <v>643725</v>
      </c>
    </row>
    <row r="1751" spans="1:10" hidden="1" outlineLevel="2" x14ac:dyDescent="0.3">
      <c r="A1751" s="23"/>
      <c r="B1751" s="45" t="s">
        <v>1117</v>
      </c>
      <c r="C1751" s="30" t="s">
        <v>44</v>
      </c>
      <c r="D1751" s="69">
        <v>1</v>
      </c>
      <c r="E1751" s="109">
        <v>30000</v>
      </c>
      <c r="F1751" s="109">
        <v>30000</v>
      </c>
      <c r="G1751" s="1039">
        <f t="shared" si="202"/>
        <v>30000</v>
      </c>
      <c r="H1751" s="1039">
        <f t="shared" si="203"/>
        <v>30000</v>
      </c>
      <c r="I1751" s="1039">
        <f t="shared" si="204"/>
        <v>60000</v>
      </c>
    </row>
    <row r="1752" spans="1:10" hidden="1" outlineLevel="2" x14ac:dyDescent="0.3">
      <c r="A1752" s="23"/>
      <c r="B1752" s="45" t="s">
        <v>1112</v>
      </c>
      <c r="C1752" s="30" t="s">
        <v>1110</v>
      </c>
      <c r="D1752" s="69">
        <v>45</v>
      </c>
      <c r="E1752" s="109">
        <v>555</v>
      </c>
      <c r="F1752" s="109">
        <v>1100</v>
      </c>
      <c r="G1752" s="1039">
        <f t="shared" si="202"/>
        <v>24975</v>
      </c>
      <c r="H1752" s="1039">
        <f t="shared" si="203"/>
        <v>49500</v>
      </c>
      <c r="I1752" s="1039">
        <f t="shared" si="204"/>
        <v>74475</v>
      </c>
    </row>
    <row r="1753" spans="1:10" hidden="1" outlineLevel="2" x14ac:dyDescent="0.3">
      <c r="A1753" s="23"/>
      <c r="B1753" s="45" t="s">
        <v>1111</v>
      </c>
      <c r="C1753" s="30" t="s">
        <v>1110</v>
      </c>
      <c r="D1753" s="69">
        <v>45</v>
      </c>
      <c r="E1753" s="116">
        <v>555</v>
      </c>
      <c r="F1753" s="109">
        <v>895</v>
      </c>
      <c r="G1753" s="1039">
        <f t="shared" si="202"/>
        <v>24975</v>
      </c>
      <c r="H1753" s="1039">
        <f t="shared" si="203"/>
        <v>40275</v>
      </c>
      <c r="I1753" s="1039">
        <f t="shared" si="204"/>
        <v>65250</v>
      </c>
    </row>
    <row r="1754" spans="1:10" hidden="1" outlineLevel="2" x14ac:dyDescent="0.3">
      <c r="A1754" s="23"/>
      <c r="B1754" s="45" t="s">
        <v>1113</v>
      </c>
      <c r="C1754" s="30" t="s">
        <v>44</v>
      </c>
      <c r="D1754" s="34">
        <v>42</v>
      </c>
      <c r="E1754" s="116"/>
      <c r="F1754" s="109"/>
      <c r="G1754" s="1039">
        <f t="shared" si="202"/>
        <v>0</v>
      </c>
      <c r="H1754" s="1039">
        <f t="shared" si="203"/>
        <v>0</v>
      </c>
      <c r="I1754" s="1039">
        <f t="shared" si="204"/>
        <v>0</v>
      </c>
      <c r="J1754" s="9" t="s">
        <v>1116</v>
      </c>
    </row>
    <row r="1755" spans="1:10" hidden="1" outlineLevel="2" x14ac:dyDescent="0.3">
      <c r="A1755" s="23"/>
      <c r="B1755" s="45" t="s">
        <v>1114</v>
      </c>
      <c r="C1755" s="30" t="s">
        <v>44</v>
      </c>
      <c r="D1755" s="34">
        <v>12</v>
      </c>
      <c r="E1755" s="116"/>
      <c r="F1755" s="109">
        <v>22000</v>
      </c>
      <c r="G1755" s="1039">
        <v>180000</v>
      </c>
      <c r="H1755" s="1039">
        <f t="shared" si="203"/>
        <v>264000</v>
      </c>
      <c r="I1755" s="1039">
        <f t="shared" si="204"/>
        <v>444000</v>
      </c>
    </row>
    <row r="1756" spans="1:10" hidden="1" outlineLevel="2" x14ac:dyDescent="0.3">
      <c r="A1756" s="39" t="s">
        <v>3641</v>
      </c>
      <c r="B1756" s="63" t="s">
        <v>1134</v>
      </c>
      <c r="C1756" s="30"/>
      <c r="D1756" s="34"/>
      <c r="E1756" s="116"/>
      <c r="F1756" s="109"/>
      <c r="G1756" s="1359">
        <f t="shared" ref="G1756:H1756" si="206">SUM(G1757:G1759)</f>
        <v>2200000</v>
      </c>
      <c r="H1756" s="1359">
        <f t="shared" si="206"/>
        <v>66666.666666666672</v>
      </c>
      <c r="I1756" s="1359">
        <f>SUM(I1757:I1759)</f>
        <v>2266666.6666666665</v>
      </c>
    </row>
    <row r="1757" spans="1:10" hidden="1" outlineLevel="2" x14ac:dyDescent="0.3">
      <c r="A1757" s="23"/>
      <c r="B1757" s="45" t="s">
        <v>1135</v>
      </c>
      <c r="C1757" s="30" t="s">
        <v>1115</v>
      </c>
      <c r="D1757" s="34">
        <v>10</v>
      </c>
      <c r="E1757" s="116">
        <f>210000/3</f>
        <v>70000</v>
      </c>
      <c r="F1757" s="109"/>
      <c r="G1757" s="1039">
        <f t="shared" si="202"/>
        <v>700000</v>
      </c>
      <c r="H1757" s="1039">
        <f t="shared" si="203"/>
        <v>0</v>
      </c>
      <c r="I1757" s="1039">
        <f t="shared" si="204"/>
        <v>700000</v>
      </c>
    </row>
    <row r="1758" spans="1:10" hidden="1" outlineLevel="2" x14ac:dyDescent="0.3">
      <c r="A1758" s="23"/>
      <c r="B1758" s="45" t="s">
        <v>1192</v>
      </c>
      <c r="C1758" s="30" t="s">
        <v>1115</v>
      </c>
      <c r="D1758" s="34">
        <v>10</v>
      </c>
      <c r="E1758" s="116">
        <v>150000</v>
      </c>
      <c r="F1758" s="109"/>
      <c r="G1758" s="1039">
        <f t="shared" si="202"/>
        <v>1500000</v>
      </c>
      <c r="H1758" s="1039">
        <f t="shared" si="203"/>
        <v>0</v>
      </c>
      <c r="I1758" s="1039">
        <f t="shared" si="204"/>
        <v>1500000</v>
      </c>
    </row>
    <row r="1759" spans="1:10" hidden="1" outlineLevel="2" x14ac:dyDescent="0.3">
      <c r="A1759" s="23"/>
      <c r="B1759" s="45" t="s">
        <v>1136</v>
      </c>
      <c r="C1759" s="30" t="s">
        <v>1115</v>
      </c>
      <c r="D1759" s="34">
        <v>10</v>
      </c>
      <c r="E1759" s="116"/>
      <c r="F1759" s="109">
        <f>20000/3</f>
        <v>6666.666666666667</v>
      </c>
      <c r="G1759" s="1039">
        <f t="shared" si="202"/>
        <v>0</v>
      </c>
      <c r="H1759" s="1039">
        <f t="shared" si="203"/>
        <v>66666.666666666672</v>
      </c>
      <c r="I1759" s="1039">
        <f t="shared" si="204"/>
        <v>66666.666666666672</v>
      </c>
    </row>
    <row r="1760" spans="1:10" s="22" customFormat="1" hidden="1" outlineLevel="1" collapsed="1" x14ac:dyDescent="0.3">
      <c r="A1760" s="39" t="s">
        <v>3635</v>
      </c>
      <c r="B1760" s="63" t="s">
        <v>3642</v>
      </c>
      <c r="C1760" s="42" t="s">
        <v>44</v>
      </c>
      <c r="D1760" s="43">
        <v>3</v>
      </c>
      <c r="E1760" s="163"/>
      <c r="F1760" s="108"/>
      <c r="G1760" s="1359">
        <f>SUM(G1761:G1764)</f>
        <v>0</v>
      </c>
      <c r="H1760" s="1359">
        <f>SUM(H1761:H1764)</f>
        <v>1182285.7170857142</v>
      </c>
      <c r="I1760" s="1359">
        <f t="shared" ref="I1760" si="207">SUM(I1761:I1764)</f>
        <v>1182285.7170857142</v>
      </c>
    </row>
    <row r="1761" spans="1:10" hidden="1" outlineLevel="2" x14ac:dyDescent="0.3">
      <c r="A1761" s="23"/>
      <c r="B1761" s="45" t="s">
        <v>3645</v>
      </c>
      <c r="C1761" s="30" t="s">
        <v>44</v>
      </c>
      <c r="D1761" s="34">
        <v>1</v>
      </c>
      <c r="E1761" s="116"/>
      <c r="F1761" s="109">
        <f>900847.46*1.18</f>
        <v>1063000.0027999999</v>
      </c>
      <c r="G1761" s="1039"/>
      <c r="H1761" s="1039">
        <f>F1761*D1761</f>
        <v>1063000.0027999999</v>
      </c>
      <c r="I1761" s="1039">
        <f>G1761+H1761</f>
        <v>1063000.0027999999</v>
      </c>
    </row>
    <row r="1762" spans="1:10" hidden="1" outlineLevel="2" x14ac:dyDescent="0.3">
      <c r="A1762" s="23"/>
      <c r="B1762" s="45" t="s">
        <v>3645</v>
      </c>
      <c r="C1762" s="30" t="s">
        <v>44</v>
      </c>
      <c r="D1762" s="34">
        <v>0</v>
      </c>
      <c r="E1762" s="116"/>
      <c r="F1762" s="109">
        <f>806666.67*1.2</f>
        <v>968000.00399999996</v>
      </c>
      <c r="G1762" s="1039"/>
      <c r="H1762" s="1039">
        <f>F1762*D1762</f>
        <v>0</v>
      </c>
      <c r="I1762" s="1039">
        <f>G1762+H1762</f>
        <v>0</v>
      </c>
    </row>
    <row r="1763" spans="1:10" hidden="1" outlineLevel="2" x14ac:dyDescent="0.3">
      <c r="A1763" s="23"/>
      <c r="B1763" s="45" t="s">
        <v>3647</v>
      </c>
      <c r="C1763" s="30" t="s">
        <v>44</v>
      </c>
      <c r="D1763" s="34">
        <f>1/7</f>
        <v>0.14285714285714285</v>
      </c>
      <c r="E1763" s="116"/>
      <c r="F1763" s="109">
        <f>163000</f>
        <v>163000</v>
      </c>
      <c r="G1763" s="1039"/>
      <c r="H1763" s="1039">
        <f>F1763*D1763</f>
        <v>23285.714285714286</v>
      </c>
      <c r="I1763" s="1039">
        <f>G1763+H1763</f>
        <v>23285.714285714286</v>
      </c>
    </row>
    <row r="1764" spans="1:10" hidden="1" outlineLevel="2" x14ac:dyDescent="0.3">
      <c r="A1764" s="23"/>
      <c r="B1764" s="45" t="s">
        <v>3644</v>
      </c>
      <c r="C1764" s="30" t="s">
        <v>1115</v>
      </c>
      <c r="D1764" s="34">
        <v>24</v>
      </c>
      <c r="E1764" s="443"/>
      <c r="F1764" s="116">
        <f>4000</f>
        <v>4000</v>
      </c>
      <c r="G1764" s="1039"/>
      <c r="H1764" s="1039">
        <f>F1764*D1764</f>
        <v>96000</v>
      </c>
      <c r="I1764" s="1039">
        <f>G1764+H1764</f>
        <v>96000</v>
      </c>
    </row>
    <row r="1765" spans="1:10" s="22" customFormat="1" hidden="1" outlineLevel="1" collapsed="1" x14ac:dyDescent="0.3">
      <c r="A1765" s="39" t="s">
        <v>3636</v>
      </c>
      <c r="B1765" s="63" t="s">
        <v>3643</v>
      </c>
      <c r="C1765" s="42" t="s">
        <v>44</v>
      </c>
      <c r="D1765" s="43">
        <v>12</v>
      </c>
      <c r="E1765" s="163"/>
      <c r="F1765" s="108"/>
      <c r="G1765" s="1359">
        <f>SUM(G1766:G1769)</f>
        <v>0</v>
      </c>
      <c r="H1765" s="1359">
        <f t="shared" ref="H1765:I1765" si="208">SUM(H1766:H1769)</f>
        <v>2020500.0160000001</v>
      </c>
      <c r="I1765" s="1359">
        <f t="shared" si="208"/>
        <v>2020500.0160000001</v>
      </c>
    </row>
    <row r="1766" spans="1:10" hidden="1" outlineLevel="2" x14ac:dyDescent="0.3">
      <c r="A1766" s="23"/>
      <c r="B1766" s="45" t="s">
        <v>3646</v>
      </c>
      <c r="C1766" s="30" t="s">
        <v>44</v>
      </c>
      <c r="D1766" s="34">
        <v>4</v>
      </c>
      <c r="E1766" s="116"/>
      <c r="F1766" s="109">
        <f>143750*1.2</f>
        <v>172500</v>
      </c>
      <c r="G1766" s="1039"/>
      <c r="H1766" s="1039">
        <f>D1766*F1766</f>
        <v>690000</v>
      </c>
      <c r="I1766" s="1039">
        <f>G1766+H1766</f>
        <v>690000</v>
      </c>
    </row>
    <row r="1767" spans="1:10" hidden="1" outlineLevel="2" x14ac:dyDescent="0.3">
      <c r="A1767" s="23"/>
      <c r="B1767" s="45" t="s">
        <v>3646</v>
      </c>
      <c r="C1767" s="30" t="s">
        <v>44</v>
      </c>
      <c r="D1767" s="34">
        <v>4</v>
      </c>
      <c r="E1767" s="116"/>
      <c r="F1767" s="109">
        <f>140416.67*1.2</f>
        <v>168500.00400000002</v>
      </c>
      <c r="G1767" s="1039"/>
      <c r="H1767" s="1039">
        <f t="shared" ref="H1767:H1769" si="209">D1767*F1767</f>
        <v>674000.01600000006</v>
      </c>
      <c r="I1767" s="1039">
        <f t="shared" ref="I1767:I1769" si="210">G1767+H1767</f>
        <v>674000.01600000006</v>
      </c>
    </row>
    <row r="1768" spans="1:10" hidden="1" outlineLevel="2" x14ac:dyDescent="0.3">
      <c r="A1768" s="23"/>
      <c r="B1768" s="45" t="s">
        <v>3646</v>
      </c>
      <c r="C1768" s="30" t="s">
        <v>44</v>
      </c>
      <c r="D1768" s="34">
        <v>3</v>
      </c>
      <c r="E1768" s="116"/>
      <c r="F1768" s="109">
        <f>163000</f>
        <v>163000</v>
      </c>
      <c r="G1768" s="1039"/>
      <c r="H1768" s="1039">
        <f t="shared" si="209"/>
        <v>489000</v>
      </c>
      <c r="I1768" s="1039">
        <f t="shared" si="210"/>
        <v>489000</v>
      </c>
    </row>
    <row r="1769" spans="1:10" hidden="1" outlineLevel="2" x14ac:dyDescent="0.3">
      <c r="A1769" s="23"/>
      <c r="B1769" s="45" t="s">
        <v>3646</v>
      </c>
      <c r="C1769" s="30" t="s">
        <v>44</v>
      </c>
      <c r="D1769" s="34">
        <v>1</v>
      </c>
      <c r="E1769" s="116"/>
      <c r="F1769" s="109">
        <f>167500</f>
        <v>167500</v>
      </c>
      <c r="G1769" s="1039"/>
      <c r="H1769" s="1039">
        <f t="shared" si="209"/>
        <v>167500</v>
      </c>
      <c r="I1769" s="1039">
        <f t="shared" si="210"/>
        <v>167500</v>
      </c>
    </row>
    <row r="1770" spans="1:10" hidden="1" outlineLevel="2" x14ac:dyDescent="0.3">
      <c r="A1770" s="23"/>
      <c r="B1770" s="45" t="s">
        <v>3644</v>
      </c>
      <c r="C1770" s="30" t="s">
        <v>1115</v>
      </c>
      <c r="D1770" s="34">
        <v>24</v>
      </c>
      <c r="E1770" s="116"/>
      <c r="F1770" s="109">
        <f>4000*(D1766+D1767+D1768+D1769)/7</f>
        <v>6857.1428571428569</v>
      </c>
      <c r="G1770" s="1039"/>
      <c r="H1770" s="1039">
        <f t="shared" ref="H1770" si="211">D1770*F1770</f>
        <v>164571.42857142858</v>
      </c>
      <c r="I1770" s="1039">
        <f t="shared" ref="I1770" si="212">G1770+H1770</f>
        <v>164571.42857142858</v>
      </c>
    </row>
    <row r="1771" spans="1:10" x14ac:dyDescent="0.3">
      <c r="A1771" s="1033" t="s">
        <v>3637</v>
      </c>
      <c r="B1771" s="1013" t="s">
        <v>2575</v>
      </c>
      <c r="C1771" s="1077"/>
      <c r="D1771" s="1077"/>
      <c r="E1771" s="156"/>
      <c r="F1771" s="156"/>
      <c r="G1771" s="1360"/>
      <c r="H1771" s="1360"/>
      <c r="I1771" s="1360"/>
      <c r="J1771" s="1036" t="s">
        <v>3638</v>
      </c>
    </row>
    <row r="1773" spans="1:10" x14ac:dyDescent="0.3">
      <c r="I1773" s="1386">
        <f>I3+I11+I17+I276+I363+I436+I484+I499+I502+I555+I583+I708+I846+I985+I993+I1213+I1388+I1481+I1582+I1747+I1771</f>
        <v>262722795.29558587</v>
      </c>
    </row>
  </sheetData>
  <mergeCells count="17">
    <mergeCell ref="I1:I2"/>
    <mergeCell ref="E1479:I1480"/>
    <mergeCell ref="B1560:F1560"/>
    <mergeCell ref="A1:A2"/>
    <mergeCell ref="B1:B2"/>
    <mergeCell ref="C1:C2"/>
    <mergeCell ref="D1:D2"/>
    <mergeCell ref="E1:F1"/>
    <mergeCell ref="G1:H1"/>
    <mergeCell ref="A1732:I1732"/>
    <mergeCell ref="A1716:I1716"/>
    <mergeCell ref="A1700:I1700"/>
    <mergeCell ref="B1562:J1562"/>
    <mergeCell ref="A1564:F1564"/>
    <mergeCell ref="A1646:F1646"/>
    <mergeCell ref="A1660:I1660"/>
    <mergeCell ref="A1672:I1672"/>
  </mergeCells>
  <phoneticPr fontId="38" type="noConversion"/>
  <pageMargins left="0.7" right="0.7" top="0.75" bottom="0.75" header="0.3" footer="0.3"/>
  <pageSetup paperSize="9" orientation="portrait" r:id="rId1"/>
  <ignoredErrors>
    <ignoredError sqref="A11:J16 A277:J362 A276:B276 E276:J276 A18:J275 A17:D17 G17:J17 A364:J435 A363:B363 E363:J363 A437:J498 A436:B436 E436:J436 A500:J501 A499:B499 E499:J499 A503:J554 A502:B502 E502:J502 A556:J582 A555:B555 E555:J555 A584:J707 A583:C583 E583:J583 A709:J845 A708:B708 E708:J708 A847:J984 A846:B846 E846:J846 A986:J1746 A985:B985 E985:J985 A1747:B1747 E1747:J1747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B14" sqref="B14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2.109375" style="37" customWidth="1"/>
    <col min="6" max="6" width="12.44140625" style="37" customWidth="1"/>
    <col min="7" max="7" width="17.33203125" style="9" customWidth="1"/>
    <col min="8" max="8" width="16.88671875" style="9" customWidth="1"/>
    <col min="9" max="9" width="15.88671875" style="9" customWidth="1"/>
    <col min="10" max="257" width="9.109375" style="9"/>
    <col min="258" max="258" width="63.109375" style="9" customWidth="1"/>
    <col min="259" max="259" width="9.109375" style="9"/>
    <col min="260" max="260" width="14.109375" style="9" customWidth="1"/>
    <col min="261" max="261" width="12.109375" style="9" customWidth="1"/>
    <col min="262" max="262" width="12.44140625" style="9" customWidth="1"/>
    <col min="263" max="263" width="17.33203125" style="9" customWidth="1"/>
    <col min="264" max="264" width="16.88671875" style="9" customWidth="1"/>
    <col min="265" max="265" width="15.88671875" style="9" customWidth="1"/>
    <col min="266" max="513" width="9.109375" style="9"/>
    <col min="514" max="514" width="63.109375" style="9" customWidth="1"/>
    <col min="515" max="515" width="9.109375" style="9"/>
    <col min="516" max="516" width="14.109375" style="9" customWidth="1"/>
    <col min="517" max="517" width="12.109375" style="9" customWidth="1"/>
    <col min="518" max="518" width="12.44140625" style="9" customWidth="1"/>
    <col min="519" max="519" width="17.33203125" style="9" customWidth="1"/>
    <col min="520" max="520" width="16.88671875" style="9" customWidth="1"/>
    <col min="521" max="521" width="15.88671875" style="9" customWidth="1"/>
    <col min="522" max="769" width="9.109375" style="9"/>
    <col min="770" max="770" width="63.109375" style="9" customWidth="1"/>
    <col min="771" max="771" width="9.109375" style="9"/>
    <col min="772" max="772" width="14.109375" style="9" customWidth="1"/>
    <col min="773" max="773" width="12.109375" style="9" customWidth="1"/>
    <col min="774" max="774" width="12.44140625" style="9" customWidth="1"/>
    <col min="775" max="775" width="17.33203125" style="9" customWidth="1"/>
    <col min="776" max="776" width="16.88671875" style="9" customWidth="1"/>
    <col min="777" max="777" width="15.88671875" style="9" customWidth="1"/>
    <col min="778" max="1025" width="9.109375" style="9"/>
    <col min="1026" max="1026" width="63.109375" style="9" customWidth="1"/>
    <col min="1027" max="1027" width="9.109375" style="9"/>
    <col min="1028" max="1028" width="14.109375" style="9" customWidth="1"/>
    <col min="1029" max="1029" width="12.109375" style="9" customWidth="1"/>
    <col min="1030" max="1030" width="12.44140625" style="9" customWidth="1"/>
    <col min="1031" max="1031" width="17.33203125" style="9" customWidth="1"/>
    <col min="1032" max="1032" width="16.88671875" style="9" customWidth="1"/>
    <col min="1033" max="1033" width="15.88671875" style="9" customWidth="1"/>
    <col min="1034" max="1281" width="9.109375" style="9"/>
    <col min="1282" max="1282" width="63.109375" style="9" customWidth="1"/>
    <col min="1283" max="1283" width="9.109375" style="9"/>
    <col min="1284" max="1284" width="14.109375" style="9" customWidth="1"/>
    <col min="1285" max="1285" width="12.109375" style="9" customWidth="1"/>
    <col min="1286" max="1286" width="12.44140625" style="9" customWidth="1"/>
    <col min="1287" max="1287" width="17.33203125" style="9" customWidth="1"/>
    <col min="1288" max="1288" width="16.88671875" style="9" customWidth="1"/>
    <col min="1289" max="1289" width="15.88671875" style="9" customWidth="1"/>
    <col min="1290" max="1537" width="9.109375" style="9"/>
    <col min="1538" max="1538" width="63.109375" style="9" customWidth="1"/>
    <col min="1539" max="1539" width="9.109375" style="9"/>
    <col min="1540" max="1540" width="14.109375" style="9" customWidth="1"/>
    <col min="1541" max="1541" width="12.109375" style="9" customWidth="1"/>
    <col min="1542" max="1542" width="12.44140625" style="9" customWidth="1"/>
    <col min="1543" max="1543" width="17.33203125" style="9" customWidth="1"/>
    <col min="1544" max="1544" width="16.88671875" style="9" customWidth="1"/>
    <col min="1545" max="1545" width="15.88671875" style="9" customWidth="1"/>
    <col min="1546" max="1793" width="9.109375" style="9"/>
    <col min="1794" max="1794" width="63.109375" style="9" customWidth="1"/>
    <col min="1795" max="1795" width="9.109375" style="9"/>
    <col min="1796" max="1796" width="14.109375" style="9" customWidth="1"/>
    <col min="1797" max="1797" width="12.109375" style="9" customWidth="1"/>
    <col min="1798" max="1798" width="12.44140625" style="9" customWidth="1"/>
    <col min="1799" max="1799" width="17.33203125" style="9" customWidth="1"/>
    <col min="1800" max="1800" width="16.88671875" style="9" customWidth="1"/>
    <col min="1801" max="1801" width="15.88671875" style="9" customWidth="1"/>
    <col min="1802" max="2049" width="9.109375" style="9"/>
    <col min="2050" max="2050" width="63.109375" style="9" customWidth="1"/>
    <col min="2051" max="2051" width="9.109375" style="9"/>
    <col min="2052" max="2052" width="14.109375" style="9" customWidth="1"/>
    <col min="2053" max="2053" width="12.109375" style="9" customWidth="1"/>
    <col min="2054" max="2054" width="12.44140625" style="9" customWidth="1"/>
    <col min="2055" max="2055" width="17.33203125" style="9" customWidth="1"/>
    <col min="2056" max="2056" width="16.88671875" style="9" customWidth="1"/>
    <col min="2057" max="2057" width="15.88671875" style="9" customWidth="1"/>
    <col min="2058" max="2305" width="9.109375" style="9"/>
    <col min="2306" max="2306" width="63.109375" style="9" customWidth="1"/>
    <col min="2307" max="2307" width="9.109375" style="9"/>
    <col min="2308" max="2308" width="14.109375" style="9" customWidth="1"/>
    <col min="2309" max="2309" width="12.109375" style="9" customWidth="1"/>
    <col min="2310" max="2310" width="12.44140625" style="9" customWidth="1"/>
    <col min="2311" max="2311" width="17.33203125" style="9" customWidth="1"/>
    <col min="2312" max="2312" width="16.88671875" style="9" customWidth="1"/>
    <col min="2313" max="2313" width="15.88671875" style="9" customWidth="1"/>
    <col min="2314" max="2561" width="9.109375" style="9"/>
    <col min="2562" max="2562" width="63.109375" style="9" customWidth="1"/>
    <col min="2563" max="2563" width="9.109375" style="9"/>
    <col min="2564" max="2564" width="14.109375" style="9" customWidth="1"/>
    <col min="2565" max="2565" width="12.109375" style="9" customWidth="1"/>
    <col min="2566" max="2566" width="12.44140625" style="9" customWidth="1"/>
    <col min="2567" max="2567" width="17.33203125" style="9" customWidth="1"/>
    <col min="2568" max="2568" width="16.88671875" style="9" customWidth="1"/>
    <col min="2569" max="2569" width="15.88671875" style="9" customWidth="1"/>
    <col min="2570" max="2817" width="9.109375" style="9"/>
    <col min="2818" max="2818" width="63.109375" style="9" customWidth="1"/>
    <col min="2819" max="2819" width="9.109375" style="9"/>
    <col min="2820" max="2820" width="14.109375" style="9" customWidth="1"/>
    <col min="2821" max="2821" width="12.109375" style="9" customWidth="1"/>
    <col min="2822" max="2822" width="12.44140625" style="9" customWidth="1"/>
    <col min="2823" max="2823" width="17.33203125" style="9" customWidth="1"/>
    <col min="2824" max="2824" width="16.88671875" style="9" customWidth="1"/>
    <col min="2825" max="2825" width="15.88671875" style="9" customWidth="1"/>
    <col min="2826" max="3073" width="9.109375" style="9"/>
    <col min="3074" max="3074" width="63.109375" style="9" customWidth="1"/>
    <col min="3075" max="3075" width="9.109375" style="9"/>
    <col min="3076" max="3076" width="14.109375" style="9" customWidth="1"/>
    <col min="3077" max="3077" width="12.109375" style="9" customWidth="1"/>
    <col min="3078" max="3078" width="12.44140625" style="9" customWidth="1"/>
    <col min="3079" max="3079" width="17.33203125" style="9" customWidth="1"/>
    <col min="3080" max="3080" width="16.88671875" style="9" customWidth="1"/>
    <col min="3081" max="3081" width="15.88671875" style="9" customWidth="1"/>
    <col min="3082" max="3329" width="9.109375" style="9"/>
    <col min="3330" max="3330" width="63.109375" style="9" customWidth="1"/>
    <col min="3331" max="3331" width="9.109375" style="9"/>
    <col min="3332" max="3332" width="14.109375" style="9" customWidth="1"/>
    <col min="3333" max="3333" width="12.109375" style="9" customWidth="1"/>
    <col min="3334" max="3334" width="12.44140625" style="9" customWidth="1"/>
    <col min="3335" max="3335" width="17.33203125" style="9" customWidth="1"/>
    <col min="3336" max="3336" width="16.88671875" style="9" customWidth="1"/>
    <col min="3337" max="3337" width="15.88671875" style="9" customWidth="1"/>
    <col min="3338" max="3585" width="9.109375" style="9"/>
    <col min="3586" max="3586" width="63.109375" style="9" customWidth="1"/>
    <col min="3587" max="3587" width="9.109375" style="9"/>
    <col min="3588" max="3588" width="14.109375" style="9" customWidth="1"/>
    <col min="3589" max="3589" width="12.109375" style="9" customWidth="1"/>
    <col min="3590" max="3590" width="12.44140625" style="9" customWidth="1"/>
    <col min="3591" max="3591" width="17.33203125" style="9" customWidth="1"/>
    <col min="3592" max="3592" width="16.88671875" style="9" customWidth="1"/>
    <col min="3593" max="3593" width="15.88671875" style="9" customWidth="1"/>
    <col min="3594" max="3841" width="9.109375" style="9"/>
    <col min="3842" max="3842" width="63.109375" style="9" customWidth="1"/>
    <col min="3843" max="3843" width="9.109375" style="9"/>
    <col min="3844" max="3844" width="14.109375" style="9" customWidth="1"/>
    <col min="3845" max="3845" width="12.109375" style="9" customWidth="1"/>
    <col min="3846" max="3846" width="12.44140625" style="9" customWidth="1"/>
    <col min="3847" max="3847" width="17.33203125" style="9" customWidth="1"/>
    <col min="3848" max="3848" width="16.88671875" style="9" customWidth="1"/>
    <col min="3849" max="3849" width="15.88671875" style="9" customWidth="1"/>
    <col min="3850" max="4097" width="9.109375" style="9"/>
    <col min="4098" max="4098" width="63.109375" style="9" customWidth="1"/>
    <col min="4099" max="4099" width="9.109375" style="9"/>
    <col min="4100" max="4100" width="14.109375" style="9" customWidth="1"/>
    <col min="4101" max="4101" width="12.109375" style="9" customWidth="1"/>
    <col min="4102" max="4102" width="12.44140625" style="9" customWidth="1"/>
    <col min="4103" max="4103" width="17.33203125" style="9" customWidth="1"/>
    <col min="4104" max="4104" width="16.88671875" style="9" customWidth="1"/>
    <col min="4105" max="4105" width="15.88671875" style="9" customWidth="1"/>
    <col min="4106" max="4353" width="9.109375" style="9"/>
    <col min="4354" max="4354" width="63.109375" style="9" customWidth="1"/>
    <col min="4355" max="4355" width="9.109375" style="9"/>
    <col min="4356" max="4356" width="14.109375" style="9" customWidth="1"/>
    <col min="4357" max="4357" width="12.109375" style="9" customWidth="1"/>
    <col min="4358" max="4358" width="12.44140625" style="9" customWidth="1"/>
    <col min="4359" max="4359" width="17.33203125" style="9" customWidth="1"/>
    <col min="4360" max="4360" width="16.88671875" style="9" customWidth="1"/>
    <col min="4361" max="4361" width="15.88671875" style="9" customWidth="1"/>
    <col min="4362" max="4609" width="9.109375" style="9"/>
    <col min="4610" max="4610" width="63.109375" style="9" customWidth="1"/>
    <col min="4611" max="4611" width="9.109375" style="9"/>
    <col min="4612" max="4612" width="14.109375" style="9" customWidth="1"/>
    <col min="4613" max="4613" width="12.109375" style="9" customWidth="1"/>
    <col min="4614" max="4614" width="12.44140625" style="9" customWidth="1"/>
    <col min="4615" max="4615" width="17.33203125" style="9" customWidth="1"/>
    <col min="4616" max="4616" width="16.88671875" style="9" customWidth="1"/>
    <col min="4617" max="4617" width="15.88671875" style="9" customWidth="1"/>
    <col min="4618" max="4865" width="9.109375" style="9"/>
    <col min="4866" max="4866" width="63.109375" style="9" customWidth="1"/>
    <col min="4867" max="4867" width="9.109375" style="9"/>
    <col min="4868" max="4868" width="14.109375" style="9" customWidth="1"/>
    <col min="4869" max="4869" width="12.109375" style="9" customWidth="1"/>
    <col min="4870" max="4870" width="12.44140625" style="9" customWidth="1"/>
    <col min="4871" max="4871" width="17.33203125" style="9" customWidth="1"/>
    <col min="4872" max="4872" width="16.88671875" style="9" customWidth="1"/>
    <col min="4873" max="4873" width="15.88671875" style="9" customWidth="1"/>
    <col min="4874" max="5121" width="9.109375" style="9"/>
    <col min="5122" max="5122" width="63.109375" style="9" customWidth="1"/>
    <col min="5123" max="5123" width="9.109375" style="9"/>
    <col min="5124" max="5124" width="14.109375" style="9" customWidth="1"/>
    <col min="5125" max="5125" width="12.109375" style="9" customWidth="1"/>
    <col min="5126" max="5126" width="12.44140625" style="9" customWidth="1"/>
    <col min="5127" max="5127" width="17.33203125" style="9" customWidth="1"/>
    <col min="5128" max="5128" width="16.88671875" style="9" customWidth="1"/>
    <col min="5129" max="5129" width="15.88671875" style="9" customWidth="1"/>
    <col min="5130" max="5377" width="9.109375" style="9"/>
    <col min="5378" max="5378" width="63.109375" style="9" customWidth="1"/>
    <col min="5379" max="5379" width="9.109375" style="9"/>
    <col min="5380" max="5380" width="14.109375" style="9" customWidth="1"/>
    <col min="5381" max="5381" width="12.109375" style="9" customWidth="1"/>
    <col min="5382" max="5382" width="12.44140625" style="9" customWidth="1"/>
    <col min="5383" max="5383" width="17.33203125" style="9" customWidth="1"/>
    <col min="5384" max="5384" width="16.88671875" style="9" customWidth="1"/>
    <col min="5385" max="5385" width="15.88671875" style="9" customWidth="1"/>
    <col min="5386" max="5633" width="9.109375" style="9"/>
    <col min="5634" max="5634" width="63.109375" style="9" customWidth="1"/>
    <col min="5635" max="5635" width="9.109375" style="9"/>
    <col min="5636" max="5636" width="14.109375" style="9" customWidth="1"/>
    <col min="5637" max="5637" width="12.109375" style="9" customWidth="1"/>
    <col min="5638" max="5638" width="12.44140625" style="9" customWidth="1"/>
    <col min="5639" max="5639" width="17.33203125" style="9" customWidth="1"/>
    <col min="5640" max="5640" width="16.88671875" style="9" customWidth="1"/>
    <col min="5641" max="5641" width="15.88671875" style="9" customWidth="1"/>
    <col min="5642" max="5889" width="9.109375" style="9"/>
    <col min="5890" max="5890" width="63.109375" style="9" customWidth="1"/>
    <col min="5891" max="5891" width="9.109375" style="9"/>
    <col min="5892" max="5892" width="14.109375" style="9" customWidth="1"/>
    <col min="5893" max="5893" width="12.109375" style="9" customWidth="1"/>
    <col min="5894" max="5894" width="12.44140625" style="9" customWidth="1"/>
    <col min="5895" max="5895" width="17.33203125" style="9" customWidth="1"/>
    <col min="5896" max="5896" width="16.88671875" style="9" customWidth="1"/>
    <col min="5897" max="5897" width="15.88671875" style="9" customWidth="1"/>
    <col min="5898" max="6145" width="9.109375" style="9"/>
    <col min="6146" max="6146" width="63.109375" style="9" customWidth="1"/>
    <col min="6147" max="6147" width="9.109375" style="9"/>
    <col min="6148" max="6148" width="14.109375" style="9" customWidth="1"/>
    <col min="6149" max="6149" width="12.109375" style="9" customWidth="1"/>
    <col min="6150" max="6150" width="12.44140625" style="9" customWidth="1"/>
    <col min="6151" max="6151" width="17.33203125" style="9" customWidth="1"/>
    <col min="6152" max="6152" width="16.88671875" style="9" customWidth="1"/>
    <col min="6153" max="6153" width="15.88671875" style="9" customWidth="1"/>
    <col min="6154" max="6401" width="9.109375" style="9"/>
    <col min="6402" max="6402" width="63.109375" style="9" customWidth="1"/>
    <col min="6403" max="6403" width="9.109375" style="9"/>
    <col min="6404" max="6404" width="14.109375" style="9" customWidth="1"/>
    <col min="6405" max="6405" width="12.109375" style="9" customWidth="1"/>
    <col min="6406" max="6406" width="12.44140625" style="9" customWidth="1"/>
    <col min="6407" max="6407" width="17.33203125" style="9" customWidth="1"/>
    <col min="6408" max="6408" width="16.88671875" style="9" customWidth="1"/>
    <col min="6409" max="6409" width="15.88671875" style="9" customWidth="1"/>
    <col min="6410" max="6657" width="9.109375" style="9"/>
    <col min="6658" max="6658" width="63.109375" style="9" customWidth="1"/>
    <col min="6659" max="6659" width="9.109375" style="9"/>
    <col min="6660" max="6660" width="14.109375" style="9" customWidth="1"/>
    <col min="6661" max="6661" width="12.109375" style="9" customWidth="1"/>
    <col min="6662" max="6662" width="12.44140625" style="9" customWidth="1"/>
    <col min="6663" max="6663" width="17.33203125" style="9" customWidth="1"/>
    <col min="6664" max="6664" width="16.88671875" style="9" customWidth="1"/>
    <col min="6665" max="6665" width="15.88671875" style="9" customWidth="1"/>
    <col min="6666" max="6913" width="9.109375" style="9"/>
    <col min="6914" max="6914" width="63.109375" style="9" customWidth="1"/>
    <col min="6915" max="6915" width="9.109375" style="9"/>
    <col min="6916" max="6916" width="14.109375" style="9" customWidth="1"/>
    <col min="6917" max="6917" width="12.109375" style="9" customWidth="1"/>
    <col min="6918" max="6918" width="12.44140625" style="9" customWidth="1"/>
    <col min="6919" max="6919" width="17.33203125" style="9" customWidth="1"/>
    <col min="6920" max="6920" width="16.88671875" style="9" customWidth="1"/>
    <col min="6921" max="6921" width="15.88671875" style="9" customWidth="1"/>
    <col min="6922" max="7169" width="9.109375" style="9"/>
    <col min="7170" max="7170" width="63.109375" style="9" customWidth="1"/>
    <col min="7171" max="7171" width="9.109375" style="9"/>
    <col min="7172" max="7172" width="14.109375" style="9" customWidth="1"/>
    <col min="7173" max="7173" width="12.109375" style="9" customWidth="1"/>
    <col min="7174" max="7174" width="12.44140625" style="9" customWidth="1"/>
    <col min="7175" max="7175" width="17.33203125" style="9" customWidth="1"/>
    <col min="7176" max="7176" width="16.88671875" style="9" customWidth="1"/>
    <col min="7177" max="7177" width="15.88671875" style="9" customWidth="1"/>
    <col min="7178" max="7425" width="9.109375" style="9"/>
    <col min="7426" max="7426" width="63.109375" style="9" customWidth="1"/>
    <col min="7427" max="7427" width="9.109375" style="9"/>
    <col min="7428" max="7428" width="14.109375" style="9" customWidth="1"/>
    <col min="7429" max="7429" width="12.109375" style="9" customWidth="1"/>
    <col min="7430" max="7430" width="12.44140625" style="9" customWidth="1"/>
    <col min="7431" max="7431" width="17.33203125" style="9" customWidth="1"/>
    <col min="7432" max="7432" width="16.88671875" style="9" customWidth="1"/>
    <col min="7433" max="7433" width="15.88671875" style="9" customWidth="1"/>
    <col min="7434" max="7681" width="9.109375" style="9"/>
    <col min="7682" max="7682" width="63.109375" style="9" customWidth="1"/>
    <col min="7683" max="7683" width="9.109375" style="9"/>
    <col min="7684" max="7684" width="14.109375" style="9" customWidth="1"/>
    <col min="7685" max="7685" width="12.109375" style="9" customWidth="1"/>
    <col min="7686" max="7686" width="12.44140625" style="9" customWidth="1"/>
    <col min="7687" max="7687" width="17.33203125" style="9" customWidth="1"/>
    <col min="7688" max="7688" width="16.88671875" style="9" customWidth="1"/>
    <col min="7689" max="7689" width="15.88671875" style="9" customWidth="1"/>
    <col min="7690" max="7937" width="9.109375" style="9"/>
    <col min="7938" max="7938" width="63.109375" style="9" customWidth="1"/>
    <col min="7939" max="7939" width="9.109375" style="9"/>
    <col min="7940" max="7940" width="14.109375" style="9" customWidth="1"/>
    <col min="7941" max="7941" width="12.109375" style="9" customWidth="1"/>
    <col min="7942" max="7942" width="12.44140625" style="9" customWidth="1"/>
    <col min="7943" max="7943" width="17.33203125" style="9" customWidth="1"/>
    <col min="7944" max="7944" width="16.88671875" style="9" customWidth="1"/>
    <col min="7945" max="7945" width="15.88671875" style="9" customWidth="1"/>
    <col min="7946" max="8193" width="9.109375" style="9"/>
    <col min="8194" max="8194" width="63.109375" style="9" customWidth="1"/>
    <col min="8195" max="8195" width="9.109375" style="9"/>
    <col min="8196" max="8196" width="14.109375" style="9" customWidth="1"/>
    <col min="8197" max="8197" width="12.109375" style="9" customWidth="1"/>
    <col min="8198" max="8198" width="12.44140625" style="9" customWidth="1"/>
    <col min="8199" max="8199" width="17.33203125" style="9" customWidth="1"/>
    <col min="8200" max="8200" width="16.88671875" style="9" customWidth="1"/>
    <col min="8201" max="8201" width="15.88671875" style="9" customWidth="1"/>
    <col min="8202" max="8449" width="9.109375" style="9"/>
    <col min="8450" max="8450" width="63.109375" style="9" customWidth="1"/>
    <col min="8451" max="8451" width="9.109375" style="9"/>
    <col min="8452" max="8452" width="14.109375" style="9" customWidth="1"/>
    <col min="8453" max="8453" width="12.109375" style="9" customWidth="1"/>
    <col min="8454" max="8454" width="12.44140625" style="9" customWidth="1"/>
    <col min="8455" max="8455" width="17.33203125" style="9" customWidth="1"/>
    <col min="8456" max="8456" width="16.88671875" style="9" customWidth="1"/>
    <col min="8457" max="8457" width="15.88671875" style="9" customWidth="1"/>
    <col min="8458" max="8705" width="9.109375" style="9"/>
    <col min="8706" max="8706" width="63.109375" style="9" customWidth="1"/>
    <col min="8707" max="8707" width="9.109375" style="9"/>
    <col min="8708" max="8708" width="14.109375" style="9" customWidth="1"/>
    <col min="8709" max="8709" width="12.109375" style="9" customWidth="1"/>
    <col min="8710" max="8710" width="12.44140625" style="9" customWidth="1"/>
    <col min="8711" max="8711" width="17.33203125" style="9" customWidth="1"/>
    <col min="8712" max="8712" width="16.88671875" style="9" customWidth="1"/>
    <col min="8713" max="8713" width="15.88671875" style="9" customWidth="1"/>
    <col min="8714" max="8961" width="9.109375" style="9"/>
    <col min="8962" max="8962" width="63.109375" style="9" customWidth="1"/>
    <col min="8963" max="8963" width="9.109375" style="9"/>
    <col min="8964" max="8964" width="14.109375" style="9" customWidth="1"/>
    <col min="8965" max="8965" width="12.109375" style="9" customWidth="1"/>
    <col min="8966" max="8966" width="12.44140625" style="9" customWidth="1"/>
    <col min="8967" max="8967" width="17.33203125" style="9" customWidth="1"/>
    <col min="8968" max="8968" width="16.88671875" style="9" customWidth="1"/>
    <col min="8969" max="8969" width="15.88671875" style="9" customWidth="1"/>
    <col min="8970" max="9217" width="9.109375" style="9"/>
    <col min="9218" max="9218" width="63.109375" style="9" customWidth="1"/>
    <col min="9219" max="9219" width="9.109375" style="9"/>
    <col min="9220" max="9220" width="14.109375" style="9" customWidth="1"/>
    <col min="9221" max="9221" width="12.109375" style="9" customWidth="1"/>
    <col min="9222" max="9222" width="12.44140625" style="9" customWidth="1"/>
    <col min="9223" max="9223" width="17.33203125" style="9" customWidth="1"/>
    <col min="9224" max="9224" width="16.88671875" style="9" customWidth="1"/>
    <col min="9225" max="9225" width="15.88671875" style="9" customWidth="1"/>
    <col min="9226" max="9473" width="9.109375" style="9"/>
    <col min="9474" max="9474" width="63.109375" style="9" customWidth="1"/>
    <col min="9475" max="9475" width="9.109375" style="9"/>
    <col min="9476" max="9476" width="14.109375" style="9" customWidth="1"/>
    <col min="9477" max="9477" width="12.109375" style="9" customWidth="1"/>
    <col min="9478" max="9478" width="12.44140625" style="9" customWidth="1"/>
    <col min="9479" max="9479" width="17.33203125" style="9" customWidth="1"/>
    <col min="9480" max="9480" width="16.88671875" style="9" customWidth="1"/>
    <col min="9481" max="9481" width="15.88671875" style="9" customWidth="1"/>
    <col min="9482" max="9729" width="9.109375" style="9"/>
    <col min="9730" max="9730" width="63.109375" style="9" customWidth="1"/>
    <col min="9731" max="9731" width="9.109375" style="9"/>
    <col min="9732" max="9732" width="14.109375" style="9" customWidth="1"/>
    <col min="9733" max="9733" width="12.109375" style="9" customWidth="1"/>
    <col min="9734" max="9734" width="12.44140625" style="9" customWidth="1"/>
    <col min="9735" max="9735" width="17.33203125" style="9" customWidth="1"/>
    <col min="9736" max="9736" width="16.88671875" style="9" customWidth="1"/>
    <col min="9737" max="9737" width="15.88671875" style="9" customWidth="1"/>
    <col min="9738" max="9985" width="9.109375" style="9"/>
    <col min="9986" max="9986" width="63.109375" style="9" customWidth="1"/>
    <col min="9987" max="9987" width="9.109375" style="9"/>
    <col min="9988" max="9988" width="14.109375" style="9" customWidth="1"/>
    <col min="9989" max="9989" width="12.109375" style="9" customWidth="1"/>
    <col min="9990" max="9990" width="12.44140625" style="9" customWidth="1"/>
    <col min="9991" max="9991" width="17.33203125" style="9" customWidth="1"/>
    <col min="9992" max="9992" width="16.88671875" style="9" customWidth="1"/>
    <col min="9993" max="9993" width="15.88671875" style="9" customWidth="1"/>
    <col min="9994" max="10241" width="9.109375" style="9"/>
    <col min="10242" max="10242" width="63.109375" style="9" customWidth="1"/>
    <col min="10243" max="10243" width="9.109375" style="9"/>
    <col min="10244" max="10244" width="14.109375" style="9" customWidth="1"/>
    <col min="10245" max="10245" width="12.109375" style="9" customWidth="1"/>
    <col min="10246" max="10246" width="12.44140625" style="9" customWidth="1"/>
    <col min="10247" max="10247" width="17.33203125" style="9" customWidth="1"/>
    <col min="10248" max="10248" width="16.88671875" style="9" customWidth="1"/>
    <col min="10249" max="10249" width="15.88671875" style="9" customWidth="1"/>
    <col min="10250" max="10497" width="9.109375" style="9"/>
    <col min="10498" max="10498" width="63.109375" style="9" customWidth="1"/>
    <col min="10499" max="10499" width="9.109375" style="9"/>
    <col min="10500" max="10500" width="14.109375" style="9" customWidth="1"/>
    <col min="10501" max="10501" width="12.109375" style="9" customWidth="1"/>
    <col min="10502" max="10502" width="12.44140625" style="9" customWidth="1"/>
    <col min="10503" max="10503" width="17.33203125" style="9" customWidth="1"/>
    <col min="10504" max="10504" width="16.88671875" style="9" customWidth="1"/>
    <col min="10505" max="10505" width="15.88671875" style="9" customWidth="1"/>
    <col min="10506" max="10753" width="9.109375" style="9"/>
    <col min="10754" max="10754" width="63.109375" style="9" customWidth="1"/>
    <col min="10755" max="10755" width="9.109375" style="9"/>
    <col min="10756" max="10756" width="14.109375" style="9" customWidth="1"/>
    <col min="10757" max="10757" width="12.109375" style="9" customWidth="1"/>
    <col min="10758" max="10758" width="12.44140625" style="9" customWidth="1"/>
    <col min="10759" max="10759" width="17.33203125" style="9" customWidth="1"/>
    <col min="10760" max="10760" width="16.88671875" style="9" customWidth="1"/>
    <col min="10761" max="10761" width="15.88671875" style="9" customWidth="1"/>
    <col min="10762" max="11009" width="9.109375" style="9"/>
    <col min="11010" max="11010" width="63.109375" style="9" customWidth="1"/>
    <col min="11011" max="11011" width="9.109375" style="9"/>
    <col min="11012" max="11012" width="14.109375" style="9" customWidth="1"/>
    <col min="11013" max="11013" width="12.109375" style="9" customWidth="1"/>
    <col min="11014" max="11014" width="12.44140625" style="9" customWidth="1"/>
    <col min="11015" max="11015" width="17.33203125" style="9" customWidth="1"/>
    <col min="11016" max="11016" width="16.88671875" style="9" customWidth="1"/>
    <col min="11017" max="11017" width="15.88671875" style="9" customWidth="1"/>
    <col min="11018" max="11265" width="9.109375" style="9"/>
    <col min="11266" max="11266" width="63.109375" style="9" customWidth="1"/>
    <col min="11267" max="11267" width="9.109375" style="9"/>
    <col min="11268" max="11268" width="14.109375" style="9" customWidth="1"/>
    <col min="11269" max="11269" width="12.109375" style="9" customWidth="1"/>
    <col min="11270" max="11270" width="12.44140625" style="9" customWidth="1"/>
    <col min="11271" max="11271" width="17.33203125" style="9" customWidth="1"/>
    <col min="11272" max="11272" width="16.88671875" style="9" customWidth="1"/>
    <col min="11273" max="11273" width="15.88671875" style="9" customWidth="1"/>
    <col min="11274" max="11521" width="9.109375" style="9"/>
    <col min="11522" max="11522" width="63.109375" style="9" customWidth="1"/>
    <col min="11523" max="11523" width="9.109375" style="9"/>
    <col min="11524" max="11524" width="14.109375" style="9" customWidth="1"/>
    <col min="11525" max="11525" width="12.109375" style="9" customWidth="1"/>
    <col min="11526" max="11526" width="12.44140625" style="9" customWidth="1"/>
    <col min="11527" max="11527" width="17.33203125" style="9" customWidth="1"/>
    <col min="11528" max="11528" width="16.88671875" style="9" customWidth="1"/>
    <col min="11529" max="11529" width="15.88671875" style="9" customWidth="1"/>
    <col min="11530" max="11777" width="9.109375" style="9"/>
    <col min="11778" max="11778" width="63.109375" style="9" customWidth="1"/>
    <col min="11779" max="11779" width="9.109375" style="9"/>
    <col min="11780" max="11780" width="14.109375" style="9" customWidth="1"/>
    <col min="11781" max="11781" width="12.109375" style="9" customWidth="1"/>
    <col min="11782" max="11782" width="12.44140625" style="9" customWidth="1"/>
    <col min="11783" max="11783" width="17.33203125" style="9" customWidth="1"/>
    <col min="11784" max="11784" width="16.88671875" style="9" customWidth="1"/>
    <col min="11785" max="11785" width="15.88671875" style="9" customWidth="1"/>
    <col min="11786" max="12033" width="9.109375" style="9"/>
    <col min="12034" max="12034" width="63.109375" style="9" customWidth="1"/>
    <col min="12035" max="12035" width="9.109375" style="9"/>
    <col min="12036" max="12036" width="14.109375" style="9" customWidth="1"/>
    <col min="12037" max="12037" width="12.109375" style="9" customWidth="1"/>
    <col min="12038" max="12038" width="12.44140625" style="9" customWidth="1"/>
    <col min="12039" max="12039" width="17.33203125" style="9" customWidth="1"/>
    <col min="12040" max="12040" width="16.88671875" style="9" customWidth="1"/>
    <col min="12041" max="12041" width="15.88671875" style="9" customWidth="1"/>
    <col min="12042" max="12289" width="9.109375" style="9"/>
    <col min="12290" max="12290" width="63.109375" style="9" customWidth="1"/>
    <col min="12291" max="12291" width="9.109375" style="9"/>
    <col min="12292" max="12292" width="14.109375" style="9" customWidth="1"/>
    <col min="12293" max="12293" width="12.109375" style="9" customWidth="1"/>
    <col min="12294" max="12294" width="12.44140625" style="9" customWidth="1"/>
    <col min="12295" max="12295" width="17.33203125" style="9" customWidth="1"/>
    <col min="12296" max="12296" width="16.88671875" style="9" customWidth="1"/>
    <col min="12297" max="12297" width="15.88671875" style="9" customWidth="1"/>
    <col min="12298" max="12545" width="9.109375" style="9"/>
    <col min="12546" max="12546" width="63.109375" style="9" customWidth="1"/>
    <col min="12547" max="12547" width="9.109375" style="9"/>
    <col min="12548" max="12548" width="14.109375" style="9" customWidth="1"/>
    <col min="12549" max="12549" width="12.109375" style="9" customWidth="1"/>
    <col min="12550" max="12550" width="12.44140625" style="9" customWidth="1"/>
    <col min="12551" max="12551" width="17.33203125" style="9" customWidth="1"/>
    <col min="12552" max="12552" width="16.88671875" style="9" customWidth="1"/>
    <col min="12553" max="12553" width="15.88671875" style="9" customWidth="1"/>
    <col min="12554" max="12801" width="9.109375" style="9"/>
    <col min="12802" max="12802" width="63.109375" style="9" customWidth="1"/>
    <col min="12803" max="12803" width="9.109375" style="9"/>
    <col min="12804" max="12804" width="14.109375" style="9" customWidth="1"/>
    <col min="12805" max="12805" width="12.109375" style="9" customWidth="1"/>
    <col min="12806" max="12806" width="12.44140625" style="9" customWidth="1"/>
    <col min="12807" max="12807" width="17.33203125" style="9" customWidth="1"/>
    <col min="12808" max="12808" width="16.88671875" style="9" customWidth="1"/>
    <col min="12809" max="12809" width="15.88671875" style="9" customWidth="1"/>
    <col min="12810" max="13057" width="9.109375" style="9"/>
    <col min="13058" max="13058" width="63.109375" style="9" customWidth="1"/>
    <col min="13059" max="13059" width="9.109375" style="9"/>
    <col min="13060" max="13060" width="14.109375" style="9" customWidth="1"/>
    <col min="13061" max="13061" width="12.109375" style="9" customWidth="1"/>
    <col min="13062" max="13062" width="12.44140625" style="9" customWidth="1"/>
    <col min="13063" max="13063" width="17.33203125" style="9" customWidth="1"/>
    <col min="13064" max="13064" width="16.88671875" style="9" customWidth="1"/>
    <col min="13065" max="13065" width="15.88671875" style="9" customWidth="1"/>
    <col min="13066" max="13313" width="9.109375" style="9"/>
    <col min="13314" max="13314" width="63.109375" style="9" customWidth="1"/>
    <col min="13315" max="13315" width="9.109375" style="9"/>
    <col min="13316" max="13316" width="14.109375" style="9" customWidth="1"/>
    <col min="13317" max="13317" width="12.109375" style="9" customWidth="1"/>
    <col min="13318" max="13318" width="12.44140625" style="9" customWidth="1"/>
    <col min="13319" max="13319" width="17.33203125" style="9" customWidth="1"/>
    <col min="13320" max="13320" width="16.88671875" style="9" customWidth="1"/>
    <col min="13321" max="13321" width="15.88671875" style="9" customWidth="1"/>
    <col min="13322" max="13569" width="9.109375" style="9"/>
    <col min="13570" max="13570" width="63.109375" style="9" customWidth="1"/>
    <col min="13571" max="13571" width="9.109375" style="9"/>
    <col min="13572" max="13572" width="14.109375" style="9" customWidth="1"/>
    <col min="13573" max="13573" width="12.109375" style="9" customWidth="1"/>
    <col min="13574" max="13574" width="12.44140625" style="9" customWidth="1"/>
    <col min="13575" max="13575" width="17.33203125" style="9" customWidth="1"/>
    <col min="13576" max="13576" width="16.88671875" style="9" customWidth="1"/>
    <col min="13577" max="13577" width="15.88671875" style="9" customWidth="1"/>
    <col min="13578" max="13825" width="9.109375" style="9"/>
    <col min="13826" max="13826" width="63.109375" style="9" customWidth="1"/>
    <col min="13827" max="13827" width="9.109375" style="9"/>
    <col min="13828" max="13828" width="14.109375" style="9" customWidth="1"/>
    <col min="13829" max="13829" width="12.109375" style="9" customWidth="1"/>
    <col min="13830" max="13830" width="12.44140625" style="9" customWidth="1"/>
    <col min="13831" max="13831" width="17.33203125" style="9" customWidth="1"/>
    <col min="13832" max="13832" width="16.88671875" style="9" customWidth="1"/>
    <col min="13833" max="13833" width="15.88671875" style="9" customWidth="1"/>
    <col min="13834" max="14081" width="9.109375" style="9"/>
    <col min="14082" max="14082" width="63.109375" style="9" customWidth="1"/>
    <col min="14083" max="14083" width="9.109375" style="9"/>
    <col min="14084" max="14084" width="14.109375" style="9" customWidth="1"/>
    <col min="14085" max="14085" width="12.109375" style="9" customWidth="1"/>
    <col min="14086" max="14086" width="12.44140625" style="9" customWidth="1"/>
    <col min="14087" max="14087" width="17.33203125" style="9" customWidth="1"/>
    <col min="14088" max="14088" width="16.88671875" style="9" customWidth="1"/>
    <col min="14089" max="14089" width="15.88671875" style="9" customWidth="1"/>
    <col min="14090" max="14337" width="9.109375" style="9"/>
    <col min="14338" max="14338" width="63.109375" style="9" customWidth="1"/>
    <col min="14339" max="14339" width="9.109375" style="9"/>
    <col min="14340" max="14340" width="14.109375" style="9" customWidth="1"/>
    <col min="14341" max="14341" width="12.109375" style="9" customWidth="1"/>
    <col min="14342" max="14342" width="12.44140625" style="9" customWidth="1"/>
    <col min="14343" max="14343" width="17.33203125" style="9" customWidth="1"/>
    <col min="14344" max="14344" width="16.88671875" style="9" customWidth="1"/>
    <col min="14345" max="14345" width="15.88671875" style="9" customWidth="1"/>
    <col min="14346" max="14593" width="9.109375" style="9"/>
    <col min="14594" max="14594" width="63.109375" style="9" customWidth="1"/>
    <col min="14595" max="14595" width="9.109375" style="9"/>
    <col min="14596" max="14596" width="14.109375" style="9" customWidth="1"/>
    <col min="14597" max="14597" width="12.109375" style="9" customWidth="1"/>
    <col min="14598" max="14598" width="12.44140625" style="9" customWidth="1"/>
    <col min="14599" max="14599" width="17.33203125" style="9" customWidth="1"/>
    <col min="14600" max="14600" width="16.88671875" style="9" customWidth="1"/>
    <col min="14601" max="14601" width="15.88671875" style="9" customWidth="1"/>
    <col min="14602" max="14849" width="9.109375" style="9"/>
    <col min="14850" max="14850" width="63.109375" style="9" customWidth="1"/>
    <col min="14851" max="14851" width="9.109375" style="9"/>
    <col min="14852" max="14852" width="14.109375" style="9" customWidth="1"/>
    <col min="14853" max="14853" width="12.109375" style="9" customWidth="1"/>
    <col min="14854" max="14854" width="12.44140625" style="9" customWidth="1"/>
    <col min="14855" max="14855" width="17.33203125" style="9" customWidth="1"/>
    <col min="14856" max="14856" width="16.88671875" style="9" customWidth="1"/>
    <col min="14857" max="14857" width="15.88671875" style="9" customWidth="1"/>
    <col min="14858" max="15105" width="9.109375" style="9"/>
    <col min="15106" max="15106" width="63.109375" style="9" customWidth="1"/>
    <col min="15107" max="15107" width="9.109375" style="9"/>
    <col min="15108" max="15108" width="14.109375" style="9" customWidth="1"/>
    <col min="15109" max="15109" width="12.109375" style="9" customWidth="1"/>
    <col min="15110" max="15110" width="12.44140625" style="9" customWidth="1"/>
    <col min="15111" max="15111" width="17.33203125" style="9" customWidth="1"/>
    <col min="15112" max="15112" width="16.88671875" style="9" customWidth="1"/>
    <col min="15113" max="15113" width="15.88671875" style="9" customWidth="1"/>
    <col min="15114" max="15361" width="9.109375" style="9"/>
    <col min="15362" max="15362" width="63.109375" style="9" customWidth="1"/>
    <col min="15363" max="15363" width="9.109375" style="9"/>
    <col min="15364" max="15364" width="14.109375" style="9" customWidth="1"/>
    <col min="15365" max="15365" width="12.109375" style="9" customWidth="1"/>
    <col min="15366" max="15366" width="12.44140625" style="9" customWidth="1"/>
    <col min="15367" max="15367" width="17.33203125" style="9" customWidth="1"/>
    <col min="15368" max="15368" width="16.88671875" style="9" customWidth="1"/>
    <col min="15369" max="15369" width="15.88671875" style="9" customWidth="1"/>
    <col min="15370" max="15617" width="9.109375" style="9"/>
    <col min="15618" max="15618" width="63.109375" style="9" customWidth="1"/>
    <col min="15619" max="15619" width="9.109375" style="9"/>
    <col min="15620" max="15620" width="14.109375" style="9" customWidth="1"/>
    <col min="15621" max="15621" width="12.109375" style="9" customWidth="1"/>
    <col min="15622" max="15622" width="12.44140625" style="9" customWidth="1"/>
    <col min="15623" max="15623" width="17.33203125" style="9" customWidth="1"/>
    <col min="15624" max="15624" width="16.88671875" style="9" customWidth="1"/>
    <col min="15625" max="15625" width="15.88671875" style="9" customWidth="1"/>
    <col min="15626" max="15873" width="9.109375" style="9"/>
    <col min="15874" max="15874" width="63.109375" style="9" customWidth="1"/>
    <col min="15875" max="15875" width="9.109375" style="9"/>
    <col min="15876" max="15876" width="14.109375" style="9" customWidth="1"/>
    <col min="15877" max="15877" width="12.109375" style="9" customWidth="1"/>
    <col min="15878" max="15878" width="12.44140625" style="9" customWidth="1"/>
    <col min="15879" max="15879" width="17.33203125" style="9" customWidth="1"/>
    <col min="15880" max="15880" width="16.88671875" style="9" customWidth="1"/>
    <col min="15881" max="15881" width="15.88671875" style="9" customWidth="1"/>
    <col min="15882" max="16129" width="9.109375" style="9"/>
    <col min="16130" max="16130" width="63.109375" style="9" customWidth="1"/>
    <col min="16131" max="16131" width="9.109375" style="9"/>
    <col min="16132" max="16132" width="14.109375" style="9" customWidth="1"/>
    <col min="16133" max="16133" width="12.109375" style="9" customWidth="1"/>
    <col min="16134" max="16134" width="12.44140625" style="9" customWidth="1"/>
    <col min="16135" max="16135" width="17.33203125" style="9" customWidth="1"/>
    <col min="16136" max="16136" width="16.88671875" style="9" customWidth="1"/>
    <col min="16137" max="16137" width="15.88671875" style="9" customWidth="1"/>
    <col min="16138" max="16384" width="9.109375" style="9"/>
  </cols>
  <sheetData>
    <row r="1" spans="1:9" x14ac:dyDescent="0.3">
      <c r="A1" s="1388" t="s">
        <v>22</v>
      </c>
      <c r="B1" s="1389" t="s">
        <v>1</v>
      </c>
      <c r="C1" s="1390" t="s">
        <v>23</v>
      </c>
      <c r="D1" s="1441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9" x14ac:dyDescent="0.3">
      <c r="A2" s="1388"/>
      <c r="B2" s="1389"/>
      <c r="C2" s="1390"/>
      <c r="D2" s="1441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9" x14ac:dyDescent="0.3">
      <c r="A3" s="11"/>
      <c r="B3" s="12" t="s">
        <v>3653</v>
      </c>
      <c r="C3" s="13"/>
      <c r="D3" s="14"/>
      <c r="E3" s="15"/>
      <c r="F3" s="15"/>
      <c r="G3" s="16"/>
      <c r="H3" s="16"/>
      <c r="I3" s="16"/>
    </row>
    <row r="4" spans="1:9" s="22" customFormat="1" x14ac:dyDescent="0.3">
      <c r="A4" s="17"/>
      <c r="B4" s="18" t="s">
        <v>3654</v>
      </c>
      <c r="C4" s="19" t="s">
        <v>34</v>
      </c>
      <c r="D4" s="20">
        <f>SUM(D5,D9:D11)</f>
        <v>4624.26</v>
      </c>
      <c r="E4" s="21"/>
      <c r="F4" s="21"/>
      <c r="G4" s="21">
        <f>SUM(G5:G11)</f>
        <v>644704.19999999995</v>
      </c>
      <c r="H4" s="21"/>
      <c r="I4" s="21">
        <f>SUM(I5:I11)</f>
        <v>644704.19999999995</v>
      </c>
    </row>
    <row r="5" spans="1:9" x14ac:dyDescent="0.3">
      <c r="A5" s="23" t="s">
        <v>282</v>
      </c>
      <c r="B5" s="24" t="s">
        <v>1084</v>
      </c>
      <c r="C5" s="25" t="s">
        <v>34</v>
      </c>
      <c r="D5" s="298">
        <f>SUM(D6:D7)</f>
        <v>3385.16</v>
      </c>
      <c r="E5" s="27"/>
      <c r="F5" s="28"/>
      <c r="G5" s="28"/>
      <c r="H5" s="28"/>
      <c r="I5" s="28"/>
    </row>
    <row r="6" spans="1:9" x14ac:dyDescent="0.3">
      <c r="A6" s="23" t="s">
        <v>35</v>
      </c>
      <c r="B6" s="24" t="s">
        <v>1079</v>
      </c>
      <c r="C6" s="25" t="s">
        <v>34</v>
      </c>
      <c r="D6" s="295">
        <v>2659</v>
      </c>
      <c r="E6" s="28">
        <v>120</v>
      </c>
      <c r="F6" s="28"/>
      <c r="G6" s="28">
        <f t="shared" ref="G6:G9" si="0">D6*E6</f>
        <v>319080</v>
      </c>
      <c r="H6" s="28"/>
      <c r="I6" s="28">
        <f t="shared" ref="I6:I11" si="1">G6+H6</f>
        <v>319080</v>
      </c>
    </row>
    <row r="7" spans="1:9" x14ac:dyDescent="0.3">
      <c r="A7" s="23" t="s">
        <v>37</v>
      </c>
      <c r="B7" s="24" t="s">
        <v>1080</v>
      </c>
      <c r="C7" s="25" t="s">
        <v>34</v>
      </c>
      <c r="D7" s="295">
        <v>726.16</v>
      </c>
      <c r="E7" s="28">
        <v>120</v>
      </c>
      <c r="F7" s="28"/>
      <c r="G7" s="28">
        <f t="shared" si="0"/>
        <v>87139.199999999997</v>
      </c>
      <c r="H7" s="28"/>
      <c r="I7" s="28">
        <f t="shared" si="1"/>
        <v>87139.199999999997</v>
      </c>
    </row>
    <row r="8" spans="1:9" x14ac:dyDescent="0.3">
      <c r="A8" s="23" t="s">
        <v>39</v>
      </c>
      <c r="B8" s="24" t="s">
        <v>1081</v>
      </c>
      <c r="C8" s="25" t="s">
        <v>34</v>
      </c>
      <c r="D8" s="295">
        <v>105.24</v>
      </c>
      <c r="E8" s="72">
        <v>500</v>
      </c>
      <c r="F8" s="28"/>
      <c r="G8" s="28">
        <f t="shared" si="0"/>
        <v>52620</v>
      </c>
      <c r="H8" s="28"/>
      <c r="I8" s="28">
        <f t="shared" si="1"/>
        <v>52620</v>
      </c>
    </row>
    <row r="9" spans="1:9" x14ac:dyDescent="0.3">
      <c r="A9" s="23" t="s">
        <v>495</v>
      </c>
      <c r="B9" s="29" t="s">
        <v>36</v>
      </c>
      <c r="C9" s="30" t="s">
        <v>34</v>
      </c>
      <c r="D9" s="299">
        <f>SUM(D5,-2163)</f>
        <v>1222.1599999999999</v>
      </c>
      <c r="E9" s="28">
        <v>150</v>
      </c>
      <c r="F9" s="28"/>
      <c r="G9" s="28">
        <f t="shared" si="0"/>
        <v>183323.99999999997</v>
      </c>
      <c r="H9" s="28"/>
      <c r="I9" s="28">
        <f t="shared" si="1"/>
        <v>183323.99999999997</v>
      </c>
    </row>
    <row r="10" spans="1:9" ht="28.8" x14ac:dyDescent="0.3">
      <c r="A10" s="23" t="s">
        <v>1685</v>
      </c>
      <c r="B10" s="31" t="s">
        <v>38</v>
      </c>
      <c r="C10" s="32" t="s">
        <v>34</v>
      </c>
      <c r="D10" s="296">
        <f>7.87+3.68</f>
        <v>11.55</v>
      </c>
      <c r="E10" s="28">
        <v>150</v>
      </c>
      <c r="F10" s="28"/>
      <c r="G10" s="28">
        <f>D10*E10</f>
        <v>1732.5</v>
      </c>
      <c r="H10" s="28"/>
      <c r="I10" s="28">
        <f t="shared" si="1"/>
        <v>1732.5</v>
      </c>
    </row>
    <row r="11" spans="1:9" ht="28.8" x14ac:dyDescent="0.3">
      <c r="A11" s="23" t="s">
        <v>1691</v>
      </c>
      <c r="B11" s="31" t="s">
        <v>40</v>
      </c>
      <c r="C11" s="30" t="s">
        <v>34</v>
      </c>
      <c r="D11" s="297">
        <v>5.39</v>
      </c>
      <c r="E11" s="28">
        <v>150</v>
      </c>
      <c r="F11" s="28"/>
      <c r="G11" s="28">
        <f>D11*E11</f>
        <v>808.5</v>
      </c>
      <c r="H11" s="28"/>
      <c r="I11" s="28">
        <f t="shared" si="1"/>
        <v>808.5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  <ignoredErrors>
    <ignoredError sqref="D5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F11" sqref="F11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2.109375" style="37" customWidth="1"/>
    <col min="6" max="6" width="12.44140625" style="37" customWidth="1"/>
    <col min="7" max="7" width="17.33203125" style="9" customWidth="1"/>
    <col min="8" max="8" width="16.88671875" style="9" customWidth="1"/>
    <col min="9" max="9" width="15.88671875" style="9" customWidth="1"/>
    <col min="10" max="257" width="9.109375" style="9"/>
    <col min="258" max="258" width="63.109375" style="9" customWidth="1"/>
    <col min="259" max="259" width="9.109375" style="9"/>
    <col min="260" max="260" width="14.109375" style="9" customWidth="1"/>
    <col min="261" max="261" width="12.109375" style="9" customWidth="1"/>
    <col min="262" max="262" width="12.44140625" style="9" customWidth="1"/>
    <col min="263" max="263" width="17.33203125" style="9" customWidth="1"/>
    <col min="264" max="264" width="16.88671875" style="9" customWidth="1"/>
    <col min="265" max="265" width="15.88671875" style="9" customWidth="1"/>
    <col min="266" max="513" width="9.109375" style="9"/>
    <col min="514" max="514" width="63.109375" style="9" customWidth="1"/>
    <col min="515" max="515" width="9.109375" style="9"/>
    <col min="516" max="516" width="14.109375" style="9" customWidth="1"/>
    <col min="517" max="517" width="12.109375" style="9" customWidth="1"/>
    <col min="518" max="518" width="12.44140625" style="9" customWidth="1"/>
    <col min="519" max="519" width="17.33203125" style="9" customWidth="1"/>
    <col min="520" max="520" width="16.88671875" style="9" customWidth="1"/>
    <col min="521" max="521" width="15.88671875" style="9" customWidth="1"/>
    <col min="522" max="769" width="9.109375" style="9"/>
    <col min="770" max="770" width="63.109375" style="9" customWidth="1"/>
    <col min="771" max="771" width="9.109375" style="9"/>
    <col min="772" max="772" width="14.109375" style="9" customWidth="1"/>
    <col min="773" max="773" width="12.109375" style="9" customWidth="1"/>
    <col min="774" max="774" width="12.44140625" style="9" customWidth="1"/>
    <col min="775" max="775" width="17.33203125" style="9" customWidth="1"/>
    <col min="776" max="776" width="16.88671875" style="9" customWidth="1"/>
    <col min="777" max="777" width="15.88671875" style="9" customWidth="1"/>
    <col min="778" max="1025" width="9.109375" style="9"/>
    <col min="1026" max="1026" width="63.109375" style="9" customWidth="1"/>
    <col min="1027" max="1027" width="9.109375" style="9"/>
    <col min="1028" max="1028" width="14.109375" style="9" customWidth="1"/>
    <col min="1029" max="1029" width="12.109375" style="9" customWidth="1"/>
    <col min="1030" max="1030" width="12.44140625" style="9" customWidth="1"/>
    <col min="1031" max="1031" width="17.33203125" style="9" customWidth="1"/>
    <col min="1032" max="1032" width="16.88671875" style="9" customWidth="1"/>
    <col min="1033" max="1033" width="15.88671875" style="9" customWidth="1"/>
    <col min="1034" max="1281" width="9.109375" style="9"/>
    <col min="1282" max="1282" width="63.109375" style="9" customWidth="1"/>
    <col min="1283" max="1283" width="9.109375" style="9"/>
    <col min="1284" max="1284" width="14.109375" style="9" customWidth="1"/>
    <col min="1285" max="1285" width="12.109375" style="9" customWidth="1"/>
    <col min="1286" max="1286" width="12.44140625" style="9" customWidth="1"/>
    <col min="1287" max="1287" width="17.33203125" style="9" customWidth="1"/>
    <col min="1288" max="1288" width="16.88671875" style="9" customWidth="1"/>
    <col min="1289" max="1289" width="15.88671875" style="9" customWidth="1"/>
    <col min="1290" max="1537" width="9.109375" style="9"/>
    <col min="1538" max="1538" width="63.109375" style="9" customWidth="1"/>
    <col min="1539" max="1539" width="9.109375" style="9"/>
    <col min="1540" max="1540" width="14.109375" style="9" customWidth="1"/>
    <col min="1541" max="1541" width="12.109375" style="9" customWidth="1"/>
    <col min="1542" max="1542" width="12.44140625" style="9" customWidth="1"/>
    <col min="1543" max="1543" width="17.33203125" style="9" customWidth="1"/>
    <col min="1544" max="1544" width="16.88671875" style="9" customWidth="1"/>
    <col min="1545" max="1545" width="15.88671875" style="9" customWidth="1"/>
    <col min="1546" max="1793" width="9.109375" style="9"/>
    <col min="1794" max="1794" width="63.109375" style="9" customWidth="1"/>
    <col min="1795" max="1795" width="9.109375" style="9"/>
    <col min="1796" max="1796" width="14.109375" style="9" customWidth="1"/>
    <col min="1797" max="1797" width="12.109375" style="9" customWidth="1"/>
    <col min="1798" max="1798" width="12.44140625" style="9" customWidth="1"/>
    <col min="1799" max="1799" width="17.33203125" style="9" customWidth="1"/>
    <col min="1800" max="1800" width="16.88671875" style="9" customWidth="1"/>
    <col min="1801" max="1801" width="15.88671875" style="9" customWidth="1"/>
    <col min="1802" max="2049" width="9.109375" style="9"/>
    <col min="2050" max="2050" width="63.109375" style="9" customWidth="1"/>
    <col min="2051" max="2051" width="9.109375" style="9"/>
    <col min="2052" max="2052" width="14.109375" style="9" customWidth="1"/>
    <col min="2053" max="2053" width="12.109375" style="9" customWidth="1"/>
    <col min="2054" max="2054" width="12.44140625" style="9" customWidth="1"/>
    <col min="2055" max="2055" width="17.33203125" style="9" customWidth="1"/>
    <col min="2056" max="2056" width="16.88671875" style="9" customWidth="1"/>
    <col min="2057" max="2057" width="15.88671875" style="9" customWidth="1"/>
    <col min="2058" max="2305" width="9.109375" style="9"/>
    <col min="2306" max="2306" width="63.109375" style="9" customWidth="1"/>
    <col min="2307" max="2307" width="9.109375" style="9"/>
    <col min="2308" max="2308" width="14.109375" style="9" customWidth="1"/>
    <col min="2309" max="2309" width="12.109375" style="9" customWidth="1"/>
    <col min="2310" max="2310" width="12.44140625" style="9" customWidth="1"/>
    <col min="2311" max="2311" width="17.33203125" style="9" customWidth="1"/>
    <col min="2312" max="2312" width="16.88671875" style="9" customWidth="1"/>
    <col min="2313" max="2313" width="15.88671875" style="9" customWidth="1"/>
    <col min="2314" max="2561" width="9.109375" style="9"/>
    <col min="2562" max="2562" width="63.109375" style="9" customWidth="1"/>
    <col min="2563" max="2563" width="9.109375" style="9"/>
    <col min="2564" max="2564" width="14.109375" style="9" customWidth="1"/>
    <col min="2565" max="2565" width="12.109375" style="9" customWidth="1"/>
    <col min="2566" max="2566" width="12.44140625" style="9" customWidth="1"/>
    <col min="2567" max="2567" width="17.33203125" style="9" customWidth="1"/>
    <col min="2568" max="2568" width="16.88671875" style="9" customWidth="1"/>
    <col min="2569" max="2569" width="15.88671875" style="9" customWidth="1"/>
    <col min="2570" max="2817" width="9.109375" style="9"/>
    <col min="2818" max="2818" width="63.109375" style="9" customWidth="1"/>
    <col min="2819" max="2819" width="9.109375" style="9"/>
    <col min="2820" max="2820" width="14.109375" style="9" customWidth="1"/>
    <col min="2821" max="2821" width="12.109375" style="9" customWidth="1"/>
    <col min="2822" max="2822" width="12.44140625" style="9" customWidth="1"/>
    <col min="2823" max="2823" width="17.33203125" style="9" customWidth="1"/>
    <col min="2824" max="2824" width="16.88671875" style="9" customWidth="1"/>
    <col min="2825" max="2825" width="15.88671875" style="9" customWidth="1"/>
    <col min="2826" max="3073" width="9.109375" style="9"/>
    <col min="3074" max="3074" width="63.109375" style="9" customWidth="1"/>
    <col min="3075" max="3075" width="9.109375" style="9"/>
    <col min="3076" max="3076" width="14.109375" style="9" customWidth="1"/>
    <col min="3077" max="3077" width="12.109375" style="9" customWidth="1"/>
    <col min="3078" max="3078" width="12.44140625" style="9" customWidth="1"/>
    <col min="3079" max="3079" width="17.33203125" style="9" customWidth="1"/>
    <col min="3080" max="3080" width="16.88671875" style="9" customWidth="1"/>
    <col min="3081" max="3081" width="15.88671875" style="9" customWidth="1"/>
    <col min="3082" max="3329" width="9.109375" style="9"/>
    <col min="3330" max="3330" width="63.109375" style="9" customWidth="1"/>
    <col min="3331" max="3331" width="9.109375" style="9"/>
    <col min="3332" max="3332" width="14.109375" style="9" customWidth="1"/>
    <col min="3333" max="3333" width="12.109375" style="9" customWidth="1"/>
    <col min="3334" max="3334" width="12.44140625" style="9" customWidth="1"/>
    <col min="3335" max="3335" width="17.33203125" style="9" customWidth="1"/>
    <col min="3336" max="3336" width="16.88671875" style="9" customWidth="1"/>
    <col min="3337" max="3337" width="15.88671875" style="9" customWidth="1"/>
    <col min="3338" max="3585" width="9.109375" style="9"/>
    <col min="3586" max="3586" width="63.109375" style="9" customWidth="1"/>
    <col min="3587" max="3587" width="9.109375" style="9"/>
    <col min="3588" max="3588" width="14.109375" style="9" customWidth="1"/>
    <col min="3589" max="3589" width="12.109375" style="9" customWidth="1"/>
    <col min="3590" max="3590" width="12.44140625" style="9" customWidth="1"/>
    <col min="3591" max="3591" width="17.33203125" style="9" customWidth="1"/>
    <col min="3592" max="3592" width="16.88671875" style="9" customWidth="1"/>
    <col min="3593" max="3593" width="15.88671875" style="9" customWidth="1"/>
    <col min="3594" max="3841" width="9.109375" style="9"/>
    <col min="3842" max="3842" width="63.109375" style="9" customWidth="1"/>
    <col min="3843" max="3843" width="9.109375" style="9"/>
    <col min="3844" max="3844" width="14.109375" style="9" customWidth="1"/>
    <col min="3845" max="3845" width="12.109375" style="9" customWidth="1"/>
    <col min="3846" max="3846" width="12.44140625" style="9" customWidth="1"/>
    <col min="3847" max="3847" width="17.33203125" style="9" customWidth="1"/>
    <col min="3848" max="3848" width="16.88671875" style="9" customWidth="1"/>
    <col min="3849" max="3849" width="15.88671875" style="9" customWidth="1"/>
    <col min="3850" max="4097" width="9.109375" style="9"/>
    <col min="4098" max="4098" width="63.109375" style="9" customWidth="1"/>
    <col min="4099" max="4099" width="9.109375" style="9"/>
    <col min="4100" max="4100" width="14.109375" style="9" customWidth="1"/>
    <col min="4101" max="4101" width="12.109375" style="9" customWidth="1"/>
    <col min="4102" max="4102" width="12.44140625" style="9" customWidth="1"/>
    <col min="4103" max="4103" width="17.33203125" style="9" customWidth="1"/>
    <col min="4104" max="4104" width="16.88671875" style="9" customWidth="1"/>
    <col min="4105" max="4105" width="15.88671875" style="9" customWidth="1"/>
    <col min="4106" max="4353" width="9.109375" style="9"/>
    <col min="4354" max="4354" width="63.109375" style="9" customWidth="1"/>
    <col min="4355" max="4355" width="9.109375" style="9"/>
    <col min="4356" max="4356" width="14.109375" style="9" customWidth="1"/>
    <col min="4357" max="4357" width="12.109375" style="9" customWidth="1"/>
    <col min="4358" max="4358" width="12.44140625" style="9" customWidth="1"/>
    <col min="4359" max="4359" width="17.33203125" style="9" customWidth="1"/>
    <col min="4360" max="4360" width="16.88671875" style="9" customWidth="1"/>
    <col min="4361" max="4361" width="15.88671875" style="9" customWidth="1"/>
    <col min="4362" max="4609" width="9.109375" style="9"/>
    <col min="4610" max="4610" width="63.109375" style="9" customWidth="1"/>
    <col min="4611" max="4611" width="9.109375" style="9"/>
    <col min="4612" max="4612" width="14.109375" style="9" customWidth="1"/>
    <col min="4613" max="4613" width="12.109375" style="9" customWidth="1"/>
    <col min="4614" max="4614" width="12.44140625" style="9" customWidth="1"/>
    <col min="4615" max="4615" width="17.33203125" style="9" customWidth="1"/>
    <col min="4616" max="4616" width="16.88671875" style="9" customWidth="1"/>
    <col min="4617" max="4617" width="15.88671875" style="9" customWidth="1"/>
    <col min="4618" max="4865" width="9.109375" style="9"/>
    <col min="4866" max="4866" width="63.109375" style="9" customWidth="1"/>
    <col min="4867" max="4867" width="9.109375" style="9"/>
    <col min="4868" max="4868" width="14.109375" style="9" customWidth="1"/>
    <col min="4869" max="4869" width="12.109375" style="9" customWidth="1"/>
    <col min="4870" max="4870" width="12.44140625" style="9" customWidth="1"/>
    <col min="4871" max="4871" width="17.33203125" style="9" customWidth="1"/>
    <col min="4872" max="4872" width="16.88671875" style="9" customWidth="1"/>
    <col min="4873" max="4873" width="15.88671875" style="9" customWidth="1"/>
    <col min="4874" max="5121" width="9.109375" style="9"/>
    <col min="5122" max="5122" width="63.109375" style="9" customWidth="1"/>
    <col min="5123" max="5123" width="9.109375" style="9"/>
    <col min="5124" max="5124" width="14.109375" style="9" customWidth="1"/>
    <col min="5125" max="5125" width="12.109375" style="9" customWidth="1"/>
    <col min="5126" max="5126" width="12.44140625" style="9" customWidth="1"/>
    <col min="5127" max="5127" width="17.33203125" style="9" customWidth="1"/>
    <col min="5128" max="5128" width="16.88671875" style="9" customWidth="1"/>
    <col min="5129" max="5129" width="15.88671875" style="9" customWidth="1"/>
    <col min="5130" max="5377" width="9.109375" style="9"/>
    <col min="5378" max="5378" width="63.109375" style="9" customWidth="1"/>
    <col min="5379" max="5379" width="9.109375" style="9"/>
    <col min="5380" max="5380" width="14.109375" style="9" customWidth="1"/>
    <col min="5381" max="5381" width="12.109375" style="9" customWidth="1"/>
    <col min="5382" max="5382" width="12.44140625" style="9" customWidth="1"/>
    <col min="5383" max="5383" width="17.33203125" style="9" customWidth="1"/>
    <col min="5384" max="5384" width="16.88671875" style="9" customWidth="1"/>
    <col min="5385" max="5385" width="15.88671875" style="9" customWidth="1"/>
    <col min="5386" max="5633" width="9.109375" style="9"/>
    <col min="5634" max="5634" width="63.109375" style="9" customWidth="1"/>
    <col min="5635" max="5635" width="9.109375" style="9"/>
    <col min="5636" max="5636" width="14.109375" style="9" customWidth="1"/>
    <col min="5637" max="5637" width="12.109375" style="9" customWidth="1"/>
    <col min="5638" max="5638" width="12.44140625" style="9" customWidth="1"/>
    <col min="5639" max="5639" width="17.33203125" style="9" customWidth="1"/>
    <col min="5640" max="5640" width="16.88671875" style="9" customWidth="1"/>
    <col min="5641" max="5641" width="15.88671875" style="9" customWidth="1"/>
    <col min="5642" max="5889" width="9.109375" style="9"/>
    <col min="5890" max="5890" width="63.109375" style="9" customWidth="1"/>
    <col min="5891" max="5891" width="9.109375" style="9"/>
    <col min="5892" max="5892" width="14.109375" style="9" customWidth="1"/>
    <col min="5893" max="5893" width="12.109375" style="9" customWidth="1"/>
    <col min="5894" max="5894" width="12.44140625" style="9" customWidth="1"/>
    <col min="5895" max="5895" width="17.33203125" style="9" customWidth="1"/>
    <col min="5896" max="5896" width="16.88671875" style="9" customWidth="1"/>
    <col min="5897" max="5897" width="15.88671875" style="9" customWidth="1"/>
    <col min="5898" max="6145" width="9.109375" style="9"/>
    <col min="6146" max="6146" width="63.109375" style="9" customWidth="1"/>
    <col min="6147" max="6147" width="9.109375" style="9"/>
    <col min="6148" max="6148" width="14.109375" style="9" customWidth="1"/>
    <col min="6149" max="6149" width="12.109375" style="9" customWidth="1"/>
    <col min="6150" max="6150" width="12.44140625" style="9" customWidth="1"/>
    <col min="6151" max="6151" width="17.33203125" style="9" customWidth="1"/>
    <col min="6152" max="6152" width="16.88671875" style="9" customWidth="1"/>
    <col min="6153" max="6153" width="15.88671875" style="9" customWidth="1"/>
    <col min="6154" max="6401" width="9.109375" style="9"/>
    <col min="6402" max="6402" width="63.109375" style="9" customWidth="1"/>
    <col min="6403" max="6403" width="9.109375" style="9"/>
    <col min="6404" max="6404" width="14.109375" style="9" customWidth="1"/>
    <col min="6405" max="6405" width="12.109375" style="9" customWidth="1"/>
    <col min="6406" max="6406" width="12.44140625" style="9" customWidth="1"/>
    <col min="6407" max="6407" width="17.33203125" style="9" customWidth="1"/>
    <col min="6408" max="6408" width="16.88671875" style="9" customWidth="1"/>
    <col min="6409" max="6409" width="15.88671875" style="9" customWidth="1"/>
    <col min="6410" max="6657" width="9.109375" style="9"/>
    <col min="6658" max="6658" width="63.109375" style="9" customWidth="1"/>
    <col min="6659" max="6659" width="9.109375" style="9"/>
    <col min="6660" max="6660" width="14.109375" style="9" customWidth="1"/>
    <col min="6661" max="6661" width="12.109375" style="9" customWidth="1"/>
    <col min="6662" max="6662" width="12.44140625" style="9" customWidth="1"/>
    <col min="6663" max="6663" width="17.33203125" style="9" customWidth="1"/>
    <col min="6664" max="6664" width="16.88671875" style="9" customWidth="1"/>
    <col min="6665" max="6665" width="15.88671875" style="9" customWidth="1"/>
    <col min="6666" max="6913" width="9.109375" style="9"/>
    <col min="6914" max="6914" width="63.109375" style="9" customWidth="1"/>
    <col min="6915" max="6915" width="9.109375" style="9"/>
    <col min="6916" max="6916" width="14.109375" style="9" customWidth="1"/>
    <col min="6917" max="6917" width="12.109375" style="9" customWidth="1"/>
    <col min="6918" max="6918" width="12.44140625" style="9" customWidth="1"/>
    <col min="6919" max="6919" width="17.33203125" style="9" customWidth="1"/>
    <col min="6920" max="6920" width="16.88671875" style="9" customWidth="1"/>
    <col min="6921" max="6921" width="15.88671875" style="9" customWidth="1"/>
    <col min="6922" max="7169" width="9.109375" style="9"/>
    <col min="7170" max="7170" width="63.109375" style="9" customWidth="1"/>
    <col min="7171" max="7171" width="9.109375" style="9"/>
    <col min="7172" max="7172" width="14.109375" style="9" customWidth="1"/>
    <col min="7173" max="7173" width="12.109375" style="9" customWidth="1"/>
    <col min="7174" max="7174" width="12.44140625" style="9" customWidth="1"/>
    <col min="7175" max="7175" width="17.33203125" style="9" customWidth="1"/>
    <col min="7176" max="7176" width="16.88671875" style="9" customWidth="1"/>
    <col min="7177" max="7177" width="15.88671875" style="9" customWidth="1"/>
    <col min="7178" max="7425" width="9.109375" style="9"/>
    <col min="7426" max="7426" width="63.109375" style="9" customWidth="1"/>
    <col min="7427" max="7427" width="9.109375" style="9"/>
    <col min="7428" max="7428" width="14.109375" style="9" customWidth="1"/>
    <col min="7429" max="7429" width="12.109375" style="9" customWidth="1"/>
    <col min="7430" max="7430" width="12.44140625" style="9" customWidth="1"/>
    <col min="7431" max="7431" width="17.33203125" style="9" customWidth="1"/>
    <col min="7432" max="7432" width="16.88671875" style="9" customWidth="1"/>
    <col min="7433" max="7433" width="15.88671875" style="9" customWidth="1"/>
    <col min="7434" max="7681" width="9.109375" style="9"/>
    <col min="7682" max="7682" width="63.109375" style="9" customWidth="1"/>
    <col min="7683" max="7683" width="9.109375" style="9"/>
    <col min="7684" max="7684" width="14.109375" style="9" customWidth="1"/>
    <col min="7685" max="7685" width="12.109375" style="9" customWidth="1"/>
    <col min="7686" max="7686" width="12.44140625" style="9" customWidth="1"/>
    <col min="7687" max="7687" width="17.33203125" style="9" customWidth="1"/>
    <col min="7688" max="7688" width="16.88671875" style="9" customWidth="1"/>
    <col min="7689" max="7689" width="15.88671875" style="9" customWidth="1"/>
    <col min="7690" max="7937" width="9.109375" style="9"/>
    <col min="7938" max="7938" width="63.109375" style="9" customWidth="1"/>
    <col min="7939" max="7939" width="9.109375" style="9"/>
    <col min="7940" max="7940" width="14.109375" style="9" customWidth="1"/>
    <col min="7941" max="7941" width="12.109375" style="9" customWidth="1"/>
    <col min="7942" max="7942" width="12.44140625" style="9" customWidth="1"/>
    <col min="7943" max="7943" width="17.33203125" style="9" customWidth="1"/>
    <col min="7944" max="7944" width="16.88671875" style="9" customWidth="1"/>
    <col min="7945" max="7945" width="15.88671875" style="9" customWidth="1"/>
    <col min="7946" max="8193" width="9.109375" style="9"/>
    <col min="8194" max="8194" width="63.109375" style="9" customWidth="1"/>
    <col min="8195" max="8195" width="9.109375" style="9"/>
    <col min="8196" max="8196" width="14.109375" style="9" customWidth="1"/>
    <col min="8197" max="8197" width="12.109375" style="9" customWidth="1"/>
    <col min="8198" max="8198" width="12.44140625" style="9" customWidth="1"/>
    <col min="8199" max="8199" width="17.33203125" style="9" customWidth="1"/>
    <col min="8200" max="8200" width="16.88671875" style="9" customWidth="1"/>
    <col min="8201" max="8201" width="15.88671875" style="9" customWidth="1"/>
    <col min="8202" max="8449" width="9.109375" style="9"/>
    <col min="8450" max="8450" width="63.109375" style="9" customWidth="1"/>
    <col min="8451" max="8451" width="9.109375" style="9"/>
    <col min="8452" max="8452" width="14.109375" style="9" customWidth="1"/>
    <col min="8453" max="8453" width="12.109375" style="9" customWidth="1"/>
    <col min="8454" max="8454" width="12.44140625" style="9" customWidth="1"/>
    <col min="8455" max="8455" width="17.33203125" style="9" customWidth="1"/>
    <col min="8456" max="8456" width="16.88671875" style="9" customWidth="1"/>
    <col min="8457" max="8457" width="15.88671875" style="9" customWidth="1"/>
    <col min="8458" max="8705" width="9.109375" style="9"/>
    <col min="8706" max="8706" width="63.109375" style="9" customWidth="1"/>
    <col min="8707" max="8707" width="9.109375" style="9"/>
    <col min="8708" max="8708" width="14.109375" style="9" customWidth="1"/>
    <col min="8709" max="8709" width="12.109375" style="9" customWidth="1"/>
    <col min="8710" max="8710" width="12.44140625" style="9" customWidth="1"/>
    <col min="8711" max="8711" width="17.33203125" style="9" customWidth="1"/>
    <col min="8712" max="8712" width="16.88671875" style="9" customWidth="1"/>
    <col min="8713" max="8713" width="15.88671875" style="9" customWidth="1"/>
    <col min="8714" max="8961" width="9.109375" style="9"/>
    <col min="8962" max="8962" width="63.109375" style="9" customWidth="1"/>
    <col min="8963" max="8963" width="9.109375" style="9"/>
    <col min="8964" max="8964" width="14.109375" style="9" customWidth="1"/>
    <col min="8965" max="8965" width="12.109375" style="9" customWidth="1"/>
    <col min="8966" max="8966" width="12.44140625" style="9" customWidth="1"/>
    <col min="8967" max="8967" width="17.33203125" style="9" customWidth="1"/>
    <col min="8968" max="8968" width="16.88671875" style="9" customWidth="1"/>
    <col min="8969" max="8969" width="15.88671875" style="9" customWidth="1"/>
    <col min="8970" max="9217" width="9.109375" style="9"/>
    <col min="9218" max="9218" width="63.109375" style="9" customWidth="1"/>
    <col min="9219" max="9219" width="9.109375" style="9"/>
    <col min="9220" max="9220" width="14.109375" style="9" customWidth="1"/>
    <col min="9221" max="9221" width="12.109375" style="9" customWidth="1"/>
    <col min="9222" max="9222" width="12.44140625" style="9" customWidth="1"/>
    <col min="9223" max="9223" width="17.33203125" style="9" customWidth="1"/>
    <col min="9224" max="9224" width="16.88671875" style="9" customWidth="1"/>
    <col min="9225" max="9225" width="15.88671875" style="9" customWidth="1"/>
    <col min="9226" max="9473" width="9.109375" style="9"/>
    <col min="9474" max="9474" width="63.109375" style="9" customWidth="1"/>
    <col min="9475" max="9475" width="9.109375" style="9"/>
    <col min="9476" max="9476" width="14.109375" style="9" customWidth="1"/>
    <col min="9477" max="9477" width="12.109375" style="9" customWidth="1"/>
    <col min="9478" max="9478" width="12.44140625" style="9" customWidth="1"/>
    <col min="9479" max="9479" width="17.33203125" style="9" customWidth="1"/>
    <col min="9480" max="9480" width="16.88671875" style="9" customWidth="1"/>
    <col min="9481" max="9481" width="15.88671875" style="9" customWidth="1"/>
    <col min="9482" max="9729" width="9.109375" style="9"/>
    <col min="9730" max="9730" width="63.109375" style="9" customWidth="1"/>
    <col min="9731" max="9731" width="9.109375" style="9"/>
    <col min="9732" max="9732" width="14.109375" style="9" customWidth="1"/>
    <col min="9733" max="9733" width="12.109375" style="9" customWidth="1"/>
    <col min="9734" max="9734" width="12.44140625" style="9" customWidth="1"/>
    <col min="9735" max="9735" width="17.33203125" style="9" customWidth="1"/>
    <col min="9736" max="9736" width="16.88671875" style="9" customWidth="1"/>
    <col min="9737" max="9737" width="15.88671875" style="9" customWidth="1"/>
    <col min="9738" max="9985" width="9.109375" style="9"/>
    <col min="9986" max="9986" width="63.109375" style="9" customWidth="1"/>
    <col min="9987" max="9987" width="9.109375" style="9"/>
    <col min="9988" max="9988" width="14.109375" style="9" customWidth="1"/>
    <col min="9989" max="9989" width="12.109375" style="9" customWidth="1"/>
    <col min="9990" max="9990" width="12.44140625" style="9" customWidth="1"/>
    <col min="9991" max="9991" width="17.33203125" style="9" customWidth="1"/>
    <col min="9992" max="9992" width="16.88671875" style="9" customWidth="1"/>
    <col min="9993" max="9993" width="15.88671875" style="9" customWidth="1"/>
    <col min="9994" max="10241" width="9.109375" style="9"/>
    <col min="10242" max="10242" width="63.109375" style="9" customWidth="1"/>
    <col min="10243" max="10243" width="9.109375" style="9"/>
    <col min="10244" max="10244" width="14.109375" style="9" customWidth="1"/>
    <col min="10245" max="10245" width="12.109375" style="9" customWidth="1"/>
    <col min="10246" max="10246" width="12.44140625" style="9" customWidth="1"/>
    <col min="10247" max="10247" width="17.33203125" style="9" customWidth="1"/>
    <col min="10248" max="10248" width="16.88671875" style="9" customWidth="1"/>
    <col min="10249" max="10249" width="15.88671875" style="9" customWidth="1"/>
    <col min="10250" max="10497" width="9.109375" style="9"/>
    <col min="10498" max="10498" width="63.109375" style="9" customWidth="1"/>
    <col min="10499" max="10499" width="9.109375" style="9"/>
    <col min="10500" max="10500" width="14.109375" style="9" customWidth="1"/>
    <col min="10501" max="10501" width="12.109375" style="9" customWidth="1"/>
    <col min="10502" max="10502" width="12.44140625" style="9" customWidth="1"/>
    <col min="10503" max="10503" width="17.33203125" style="9" customWidth="1"/>
    <col min="10504" max="10504" width="16.88671875" style="9" customWidth="1"/>
    <col min="10505" max="10505" width="15.88671875" style="9" customWidth="1"/>
    <col min="10506" max="10753" width="9.109375" style="9"/>
    <col min="10754" max="10754" width="63.109375" style="9" customWidth="1"/>
    <col min="10755" max="10755" width="9.109375" style="9"/>
    <col min="10756" max="10756" width="14.109375" style="9" customWidth="1"/>
    <col min="10757" max="10757" width="12.109375" style="9" customWidth="1"/>
    <col min="10758" max="10758" width="12.44140625" style="9" customWidth="1"/>
    <col min="10759" max="10759" width="17.33203125" style="9" customWidth="1"/>
    <col min="10760" max="10760" width="16.88671875" style="9" customWidth="1"/>
    <col min="10761" max="10761" width="15.88671875" style="9" customWidth="1"/>
    <col min="10762" max="11009" width="9.109375" style="9"/>
    <col min="11010" max="11010" width="63.109375" style="9" customWidth="1"/>
    <col min="11011" max="11011" width="9.109375" style="9"/>
    <col min="11012" max="11012" width="14.109375" style="9" customWidth="1"/>
    <col min="11013" max="11013" width="12.109375" style="9" customWidth="1"/>
    <col min="11014" max="11014" width="12.44140625" style="9" customWidth="1"/>
    <col min="11015" max="11015" width="17.33203125" style="9" customWidth="1"/>
    <col min="11016" max="11016" width="16.88671875" style="9" customWidth="1"/>
    <col min="11017" max="11017" width="15.88671875" style="9" customWidth="1"/>
    <col min="11018" max="11265" width="9.109375" style="9"/>
    <col min="11266" max="11266" width="63.109375" style="9" customWidth="1"/>
    <col min="11267" max="11267" width="9.109375" style="9"/>
    <col min="11268" max="11268" width="14.109375" style="9" customWidth="1"/>
    <col min="11269" max="11269" width="12.109375" style="9" customWidth="1"/>
    <col min="11270" max="11270" width="12.44140625" style="9" customWidth="1"/>
    <col min="11271" max="11271" width="17.33203125" style="9" customWidth="1"/>
    <col min="11272" max="11272" width="16.88671875" style="9" customWidth="1"/>
    <col min="11273" max="11273" width="15.88671875" style="9" customWidth="1"/>
    <col min="11274" max="11521" width="9.109375" style="9"/>
    <col min="11522" max="11522" width="63.109375" style="9" customWidth="1"/>
    <col min="11523" max="11523" width="9.109375" style="9"/>
    <col min="11524" max="11524" width="14.109375" style="9" customWidth="1"/>
    <col min="11525" max="11525" width="12.109375" style="9" customWidth="1"/>
    <col min="11526" max="11526" width="12.44140625" style="9" customWidth="1"/>
    <col min="11527" max="11527" width="17.33203125" style="9" customWidth="1"/>
    <col min="11528" max="11528" width="16.88671875" style="9" customWidth="1"/>
    <col min="11529" max="11529" width="15.88671875" style="9" customWidth="1"/>
    <col min="11530" max="11777" width="9.109375" style="9"/>
    <col min="11778" max="11778" width="63.109375" style="9" customWidth="1"/>
    <col min="11779" max="11779" width="9.109375" style="9"/>
    <col min="11780" max="11780" width="14.109375" style="9" customWidth="1"/>
    <col min="11781" max="11781" width="12.109375" style="9" customWidth="1"/>
    <col min="11782" max="11782" width="12.44140625" style="9" customWidth="1"/>
    <col min="11783" max="11783" width="17.33203125" style="9" customWidth="1"/>
    <col min="11784" max="11784" width="16.88671875" style="9" customWidth="1"/>
    <col min="11785" max="11785" width="15.88671875" style="9" customWidth="1"/>
    <col min="11786" max="12033" width="9.109375" style="9"/>
    <col min="12034" max="12034" width="63.109375" style="9" customWidth="1"/>
    <col min="12035" max="12035" width="9.109375" style="9"/>
    <col min="12036" max="12036" width="14.109375" style="9" customWidth="1"/>
    <col min="12037" max="12037" width="12.109375" style="9" customWidth="1"/>
    <col min="12038" max="12038" width="12.44140625" style="9" customWidth="1"/>
    <col min="12039" max="12039" width="17.33203125" style="9" customWidth="1"/>
    <col min="12040" max="12040" width="16.88671875" style="9" customWidth="1"/>
    <col min="12041" max="12041" width="15.88671875" style="9" customWidth="1"/>
    <col min="12042" max="12289" width="9.109375" style="9"/>
    <col min="12290" max="12290" width="63.109375" style="9" customWidth="1"/>
    <col min="12291" max="12291" width="9.109375" style="9"/>
    <col min="12292" max="12292" width="14.109375" style="9" customWidth="1"/>
    <col min="12293" max="12293" width="12.109375" style="9" customWidth="1"/>
    <col min="12294" max="12294" width="12.44140625" style="9" customWidth="1"/>
    <col min="12295" max="12295" width="17.33203125" style="9" customWidth="1"/>
    <col min="12296" max="12296" width="16.88671875" style="9" customWidth="1"/>
    <col min="12297" max="12297" width="15.88671875" style="9" customWidth="1"/>
    <col min="12298" max="12545" width="9.109375" style="9"/>
    <col min="12546" max="12546" width="63.109375" style="9" customWidth="1"/>
    <col min="12547" max="12547" width="9.109375" style="9"/>
    <col min="12548" max="12548" width="14.109375" style="9" customWidth="1"/>
    <col min="12549" max="12549" width="12.109375" style="9" customWidth="1"/>
    <col min="12550" max="12550" width="12.44140625" style="9" customWidth="1"/>
    <col min="12551" max="12551" width="17.33203125" style="9" customWidth="1"/>
    <col min="12552" max="12552" width="16.88671875" style="9" customWidth="1"/>
    <col min="12553" max="12553" width="15.88671875" style="9" customWidth="1"/>
    <col min="12554" max="12801" width="9.109375" style="9"/>
    <col min="12802" max="12802" width="63.109375" style="9" customWidth="1"/>
    <col min="12803" max="12803" width="9.109375" style="9"/>
    <col min="12804" max="12804" width="14.109375" style="9" customWidth="1"/>
    <col min="12805" max="12805" width="12.109375" style="9" customWidth="1"/>
    <col min="12806" max="12806" width="12.44140625" style="9" customWidth="1"/>
    <col min="12807" max="12807" width="17.33203125" style="9" customWidth="1"/>
    <col min="12808" max="12808" width="16.88671875" style="9" customWidth="1"/>
    <col min="12809" max="12809" width="15.88671875" style="9" customWidth="1"/>
    <col min="12810" max="13057" width="9.109375" style="9"/>
    <col min="13058" max="13058" width="63.109375" style="9" customWidth="1"/>
    <col min="13059" max="13059" width="9.109375" style="9"/>
    <col min="13060" max="13060" width="14.109375" style="9" customWidth="1"/>
    <col min="13061" max="13061" width="12.109375" style="9" customWidth="1"/>
    <col min="13062" max="13062" width="12.44140625" style="9" customWidth="1"/>
    <col min="13063" max="13063" width="17.33203125" style="9" customWidth="1"/>
    <col min="13064" max="13064" width="16.88671875" style="9" customWidth="1"/>
    <col min="13065" max="13065" width="15.88671875" style="9" customWidth="1"/>
    <col min="13066" max="13313" width="9.109375" style="9"/>
    <col min="13314" max="13314" width="63.109375" style="9" customWidth="1"/>
    <col min="13315" max="13315" width="9.109375" style="9"/>
    <col min="13316" max="13316" width="14.109375" style="9" customWidth="1"/>
    <col min="13317" max="13317" width="12.109375" style="9" customWidth="1"/>
    <col min="13318" max="13318" width="12.44140625" style="9" customWidth="1"/>
    <col min="13319" max="13319" width="17.33203125" style="9" customWidth="1"/>
    <col min="13320" max="13320" width="16.88671875" style="9" customWidth="1"/>
    <col min="13321" max="13321" width="15.88671875" style="9" customWidth="1"/>
    <col min="13322" max="13569" width="9.109375" style="9"/>
    <col min="13570" max="13570" width="63.109375" style="9" customWidth="1"/>
    <col min="13571" max="13571" width="9.109375" style="9"/>
    <col min="13572" max="13572" width="14.109375" style="9" customWidth="1"/>
    <col min="13573" max="13573" width="12.109375" style="9" customWidth="1"/>
    <col min="13574" max="13574" width="12.44140625" style="9" customWidth="1"/>
    <col min="13575" max="13575" width="17.33203125" style="9" customWidth="1"/>
    <col min="13576" max="13576" width="16.88671875" style="9" customWidth="1"/>
    <col min="13577" max="13577" width="15.88671875" style="9" customWidth="1"/>
    <col min="13578" max="13825" width="9.109375" style="9"/>
    <col min="13826" max="13826" width="63.109375" style="9" customWidth="1"/>
    <col min="13827" max="13827" width="9.109375" style="9"/>
    <col min="13828" max="13828" width="14.109375" style="9" customWidth="1"/>
    <col min="13829" max="13829" width="12.109375" style="9" customWidth="1"/>
    <col min="13830" max="13830" width="12.44140625" style="9" customWidth="1"/>
    <col min="13831" max="13831" width="17.33203125" style="9" customWidth="1"/>
    <col min="13832" max="13832" width="16.88671875" style="9" customWidth="1"/>
    <col min="13833" max="13833" width="15.88671875" style="9" customWidth="1"/>
    <col min="13834" max="14081" width="9.109375" style="9"/>
    <col min="14082" max="14082" width="63.109375" style="9" customWidth="1"/>
    <col min="14083" max="14083" width="9.109375" style="9"/>
    <col min="14084" max="14084" width="14.109375" style="9" customWidth="1"/>
    <col min="14085" max="14085" width="12.109375" style="9" customWidth="1"/>
    <col min="14086" max="14086" width="12.44140625" style="9" customWidth="1"/>
    <col min="14087" max="14087" width="17.33203125" style="9" customWidth="1"/>
    <col min="14088" max="14088" width="16.88671875" style="9" customWidth="1"/>
    <col min="14089" max="14089" width="15.88671875" style="9" customWidth="1"/>
    <col min="14090" max="14337" width="9.109375" style="9"/>
    <col min="14338" max="14338" width="63.109375" style="9" customWidth="1"/>
    <col min="14339" max="14339" width="9.109375" style="9"/>
    <col min="14340" max="14340" width="14.109375" style="9" customWidth="1"/>
    <col min="14341" max="14341" width="12.109375" style="9" customWidth="1"/>
    <col min="14342" max="14342" width="12.44140625" style="9" customWidth="1"/>
    <col min="14343" max="14343" width="17.33203125" style="9" customWidth="1"/>
    <col min="14344" max="14344" width="16.88671875" style="9" customWidth="1"/>
    <col min="14345" max="14345" width="15.88671875" style="9" customWidth="1"/>
    <col min="14346" max="14593" width="9.109375" style="9"/>
    <col min="14594" max="14594" width="63.109375" style="9" customWidth="1"/>
    <col min="14595" max="14595" width="9.109375" style="9"/>
    <col min="14596" max="14596" width="14.109375" style="9" customWidth="1"/>
    <col min="14597" max="14597" width="12.109375" style="9" customWidth="1"/>
    <col min="14598" max="14598" width="12.44140625" style="9" customWidth="1"/>
    <col min="14599" max="14599" width="17.33203125" style="9" customWidth="1"/>
    <col min="14600" max="14600" width="16.88671875" style="9" customWidth="1"/>
    <col min="14601" max="14601" width="15.88671875" style="9" customWidth="1"/>
    <col min="14602" max="14849" width="9.109375" style="9"/>
    <col min="14850" max="14850" width="63.109375" style="9" customWidth="1"/>
    <col min="14851" max="14851" width="9.109375" style="9"/>
    <col min="14852" max="14852" width="14.109375" style="9" customWidth="1"/>
    <col min="14853" max="14853" width="12.109375" style="9" customWidth="1"/>
    <col min="14854" max="14854" width="12.44140625" style="9" customWidth="1"/>
    <col min="14855" max="14855" width="17.33203125" style="9" customWidth="1"/>
    <col min="14856" max="14856" width="16.88671875" style="9" customWidth="1"/>
    <col min="14857" max="14857" width="15.88671875" style="9" customWidth="1"/>
    <col min="14858" max="15105" width="9.109375" style="9"/>
    <col min="15106" max="15106" width="63.109375" style="9" customWidth="1"/>
    <col min="15107" max="15107" width="9.109375" style="9"/>
    <col min="15108" max="15108" width="14.109375" style="9" customWidth="1"/>
    <col min="15109" max="15109" width="12.109375" style="9" customWidth="1"/>
    <col min="15110" max="15110" width="12.44140625" style="9" customWidth="1"/>
    <col min="15111" max="15111" width="17.33203125" style="9" customWidth="1"/>
    <col min="15112" max="15112" width="16.88671875" style="9" customWidth="1"/>
    <col min="15113" max="15113" width="15.88671875" style="9" customWidth="1"/>
    <col min="15114" max="15361" width="9.109375" style="9"/>
    <col min="15362" max="15362" width="63.109375" style="9" customWidth="1"/>
    <col min="15363" max="15363" width="9.109375" style="9"/>
    <col min="15364" max="15364" width="14.109375" style="9" customWidth="1"/>
    <col min="15365" max="15365" width="12.109375" style="9" customWidth="1"/>
    <col min="15366" max="15366" width="12.44140625" style="9" customWidth="1"/>
    <col min="15367" max="15367" width="17.33203125" style="9" customWidth="1"/>
    <col min="15368" max="15368" width="16.88671875" style="9" customWidth="1"/>
    <col min="15369" max="15369" width="15.88671875" style="9" customWidth="1"/>
    <col min="15370" max="15617" width="9.109375" style="9"/>
    <col min="15618" max="15618" width="63.109375" style="9" customWidth="1"/>
    <col min="15619" max="15619" width="9.109375" style="9"/>
    <col min="15620" max="15620" width="14.109375" style="9" customWidth="1"/>
    <col min="15621" max="15621" width="12.109375" style="9" customWidth="1"/>
    <col min="15622" max="15622" width="12.44140625" style="9" customWidth="1"/>
    <col min="15623" max="15623" width="17.33203125" style="9" customWidth="1"/>
    <col min="15624" max="15624" width="16.88671875" style="9" customWidth="1"/>
    <col min="15625" max="15625" width="15.88671875" style="9" customWidth="1"/>
    <col min="15626" max="15873" width="9.109375" style="9"/>
    <col min="15874" max="15874" width="63.109375" style="9" customWidth="1"/>
    <col min="15875" max="15875" width="9.109375" style="9"/>
    <col min="15876" max="15876" width="14.109375" style="9" customWidth="1"/>
    <col min="15877" max="15877" width="12.109375" style="9" customWidth="1"/>
    <col min="15878" max="15878" width="12.44140625" style="9" customWidth="1"/>
    <col min="15879" max="15879" width="17.33203125" style="9" customWidth="1"/>
    <col min="15880" max="15880" width="16.88671875" style="9" customWidth="1"/>
    <col min="15881" max="15881" width="15.88671875" style="9" customWidth="1"/>
    <col min="15882" max="16129" width="9.109375" style="9"/>
    <col min="16130" max="16130" width="63.109375" style="9" customWidth="1"/>
    <col min="16131" max="16131" width="9.109375" style="9"/>
    <col min="16132" max="16132" width="14.109375" style="9" customWidth="1"/>
    <col min="16133" max="16133" width="12.109375" style="9" customWidth="1"/>
    <col min="16134" max="16134" width="12.44140625" style="9" customWidth="1"/>
    <col min="16135" max="16135" width="17.33203125" style="9" customWidth="1"/>
    <col min="16136" max="16136" width="16.88671875" style="9" customWidth="1"/>
    <col min="16137" max="16137" width="15.88671875" style="9" customWidth="1"/>
    <col min="16138" max="16384" width="9.109375" style="9"/>
  </cols>
  <sheetData>
    <row r="1" spans="1:9" x14ac:dyDescent="0.3">
      <c r="A1" s="1388" t="s">
        <v>22</v>
      </c>
      <c r="B1" s="1389" t="s">
        <v>1</v>
      </c>
      <c r="C1" s="1390" t="s">
        <v>23</v>
      </c>
      <c r="D1" s="1441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9" x14ac:dyDescent="0.3">
      <c r="A2" s="1388"/>
      <c r="B2" s="1389"/>
      <c r="C2" s="1390"/>
      <c r="D2" s="1441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9" x14ac:dyDescent="0.3">
      <c r="A3" s="11"/>
      <c r="B3" s="12" t="s">
        <v>31</v>
      </c>
      <c r="C3" s="13"/>
      <c r="D3" s="14"/>
      <c r="E3" s="15"/>
      <c r="F3" s="15"/>
      <c r="G3" s="16"/>
      <c r="H3" s="16"/>
      <c r="I3" s="16"/>
    </row>
    <row r="4" spans="1:9" s="22" customFormat="1" x14ac:dyDescent="0.3">
      <c r="A4" s="17"/>
      <c r="B4" s="18" t="s">
        <v>3655</v>
      </c>
      <c r="C4" s="19" t="s">
        <v>44</v>
      </c>
      <c r="D4" s="38">
        <f>SUM(D7)</f>
        <v>403</v>
      </c>
      <c r="E4" s="21"/>
      <c r="F4" s="21"/>
      <c r="G4" s="21"/>
      <c r="H4" s="21"/>
      <c r="I4" s="21">
        <f>SUM(I6:I9)</f>
        <v>20901595</v>
      </c>
    </row>
    <row r="5" spans="1:9" s="22" customFormat="1" x14ac:dyDescent="0.3">
      <c r="A5" s="39" t="s">
        <v>42</v>
      </c>
      <c r="B5" s="177" t="s">
        <v>1085</v>
      </c>
      <c r="C5" s="25" t="s">
        <v>44</v>
      </c>
      <c r="D5" s="34">
        <f>398+5</f>
        <v>403</v>
      </c>
      <c r="E5" s="28">
        <v>150</v>
      </c>
      <c r="F5" s="28"/>
      <c r="G5" s="28">
        <f>D5*E5</f>
        <v>60450</v>
      </c>
      <c r="H5" s="28"/>
      <c r="I5" s="28">
        <f>G5+H5</f>
        <v>60450</v>
      </c>
    </row>
    <row r="6" spans="1:9" x14ac:dyDescent="0.3">
      <c r="A6" s="39" t="s">
        <v>45</v>
      </c>
      <c r="B6" s="24" t="s">
        <v>1088</v>
      </c>
      <c r="C6" s="25" t="s">
        <v>43</v>
      </c>
      <c r="D6" s="34">
        <f>403*20</f>
        <v>8060</v>
      </c>
      <c r="E6" s="28">
        <v>650</v>
      </c>
      <c r="F6" s="28"/>
      <c r="G6" s="28">
        <f>D6*E6</f>
        <v>5239000</v>
      </c>
      <c r="H6" s="28"/>
      <c r="I6" s="28">
        <f>G6+H6</f>
        <v>5239000</v>
      </c>
    </row>
    <row r="7" spans="1:9" ht="28.8" x14ac:dyDescent="0.3">
      <c r="A7" s="39" t="s">
        <v>47</v>
      </c>
      <c r="B7" s="177" t="s">
        <v>1086</v>
      </c>
      <c r="C7" s="25" t="s">
        <v>44</v>
      </c>
      <c r="D7" s="34">
        <f>398+5</f>
        <v>403</v>
      </c>
      <c r="E7" s="28">
        <v>38000</v>
      </c>
      <c r="F7" s="28"/>
      <c r="G7" s="28">
        <f>D7*E7</f>
        <v>15314000</v>
      </c>
      <c r="H7" s="28"/>
      <c r="I7" s="28">
        <f>G7+H7</f>
        <v>15314000</v>
      </c>
    </row>
    <row r="8" spans="1:9" x14ac:dyDescent="0.3">
      <c r="A8" s="39" t="s">
        <v>500</v>
      </c>
      <c r="B8" s="24" t="s">
        <v>46</v>
      </c>
      <c r="C8" s="25" t="s">
        <v>44</v>
      </c>
      <c r="D8" s="34">
        <v>403</v>
      </c>
      <c r="E8" s="28">
        <v>515</v>
      </c>
      <c r="F8" s="28"/>
      <c r="G8" s="28">
        <f>D8*E8</f>
        <v>207545</v>
      </c>
      <c r="H8" s="28"/>
      <c r="I8" s="28">
        <f>G8+H8</f>
        <v>207545</v>
      </c>
    </row>
    <row r="9" spans="1:9" x14ac:dyDescent="0.3">
      <c r="A9" s="39" t="s">
        <v>502</v>
      </c>
      <c r="B9" s="24" t="s">
        <v>48</v>
      </c>
      <c r="C9" s="25" t="s">
        <v>44</v>
      </c>
      <c r="D9" s="34">
        <v>403</v>
      </c>
      <c r="E9" s="28">
        <v>350</v>
      </c>
      <c r="F9" s="28"/>
      <c r="G9" s="28">
        <f>D9*E9</f>
        <v>141050</v>
      </c>
      <c r="H9" s="28"/>
      <c r="I9" s="28">
        <f>G9+H9</f>
        <v>141050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opLeftCell="A187" zoomScaleNormal="100" workbookViewId="0">
      <selection activeCell="E15" sqref="E15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3.109375" style="37" bestFit="1" customWidth="1"/>
    <col min="6" max="6" width="14.5546875" style="37" bestFit="1" customWidth="1"/>
    <col min="7" max="7" width="17.33203125" style="9" customWidth="1"/>
    <col min="8" max="8" width="16.88671875" style="9" customWidth="1"/>
    <col min="9" max="9" width="15.88671875" style="9" customWidth="1"/>
    <col min="10" max="252" width="9.109375" style="9"/>
    <col min="253" max="253" width="63.109375" style="9" customWidth="1"/>
    <col min="254" max="254" width="9.109375" style="9"/>
    <col min="255" max="255" width="14.109375" style="9" customWidth="1"/>
    <col min="256" max="256" width="12.109375" style="9" customWidth="1"/>
    <col min="257" max="257" width="12.44140625" style="9" customWidth="1"/>
    <col min="258" max="258" width="17.33203125" style="9" customWidth="1"/>
    <col min="259" max="259" width="16.88671875" style="9" customWidth="1"/>
    <col min="260" max="260" width="15.88671875" style="9" customWidth="1"/>
    <col min="261" max="508" width="9.109375" style="9"/>
    <col min="509" max="509" width="63.109375" style="9" customWidth="1"/>
    <col min="510" max="510" width="9.109375" style="9"/>
    <col min="511" max="511" width="14.109375" style="9" customWidth="1"/>
    <col min="512" max="512" width="12.109375" style="9" customWidth="1"/>
    <col min="513" max="513" width="12.44140625" style="9" customWidth="1"/>
    <col min="514" max="514" width="17.33203125" style="9" customWidth="1"/>
    <col min="515" max="515" width="16.88671875" style="9" customWidth="1"/>
    <col min="516" max="516" width="15.88671875" style="9" customWidth="1"/>
    <col min="517" max="764" width="9.109375" style="9"/>
    <col min="765" max="765" width="63.109375" style="9" customWidth="1"/>
    <col min="766" max="766" width="9.109375" style="9"/>
    <col min="767" max="767" width="14.109375" style="9" customWidth="1"/>
    <col min="768" max="768" width="12.109375" style="9" customWidth="1"/>
    <col min="769" max="769" width="12.44140625" style="9" customWidth="1"/>
    <col min="770" max="770" width="17.33203125" style="9" customWidth="1"/>
    <col min="771" max="771" width="16.88671875" style="9" customWidth="1"/>
    <col min="772" max="772" width="15.88671875" style="9" customWidth="1"/>
    <col min="773" max="1020" width="9.109375" style="9"/>
    <col min="1021" max="1021" width="63.109375" style="9" customWidth="1"/>
    <col min="1022" max="1022" width="9.109375" style="9"/>
    <col min="1023" max="1023" width="14.109375" style="9" customWidth="1"/>
    <col min="1024" max="1024" width="12.109375" style="9" customWidth="1"/>
    <col min="1025" max="1025" width="12.44140625" style="9" customWidth="1"/>
    <col min="1026" max="1026" width="17.33203125" style="9" customWidth="1"/>
    <col min="1027" max="1027" width="16.88671875" style="9" customWidth="1"/>
    <col min="1028" max="1028" width="15.88671875" style="9" customWidth="1"/>
    <col min="1029" max="1276" width="9.109375" style="9"/>
    <col min="1277" max="1277" width="63.109375" style="9" customWidth="1"/>
    <col min="1278" max="1278" width="9.109375" style="9"/>
    <col min="1279" max="1279" width="14.109375" style="9" customWidth="1"/>
    <col min="1280" max="1280" width="12.109375" style="9" customWidth="1"/>
    <col min="1281" max="1281" width="12.44140625" style="9" customWidth="1"/>
    <col min="1282" max="1282" width="17.33203125" style="9" customWidth="1"/>
    <col min="1283" max="1283" width="16.88671875" style="9" customWidth="1"/>
    <col min="1284" max="1284" width="15.88671875" style="9" customWidth="1"/>
    <col min="1285" max="1532" width="9.109375" style="9"/>
    <col min="1533" max="1533" width="63.109375" style="9" customWidth="1"/>
    <col min="1534" max="1534" width="9.109375" style="9"/>
    <col min="1535" max="1535" width="14.109375" style="9" customWidth="1"/>
    <col min="1536" max="1536" width="12.109375" style="9" customWidth="1"/>
    <col min="1537" max="1537" width="12.44140625" style="9" customWidth="1"/>
    <col min="1538" max="1538" width="17.33203125" style="9" customWidth="1"/>
    <col min="1539" max="1539" width="16.88671875" style="9" customWidth="1"/>
    <col min="1540" max="1540" width="15.88671875" style="9" customWidth="1"/>
    <col min="1541" max="1788" width="9.109375" style="9"/>
    <col min="1789" max="1789" width="63.109375" style="9" customWidth="1"/>
    <col min="1790" max="1790" width="9.109375" style="9"/>
    <col min="1791" max="1791" width="14.109375" style="9" customWidth="1"/>
    <col min="1792" max="1792" width="12.109375" style="9" customWidth="1"/>
    <col min="1793" max="1793" width="12.44140625" style="9" customWidth="1"/>
    <col min="1794" max="1794" width="17.33203125" style="9" customWidth="1"/>
    <col min="1795" max="1795" width="16.88671875" style="9" customWidth="1"/>
    <col min="1796" max="1796" width="15.88671875" style="9" customWidth="1"/>
    <col min="1797" max="2044" width="9.109375" style="9"/>
    <col min="2045" max="2045" width="63.109375" style="9" customWidth="1"/>
    <col min="2046" max="2046" width="9.109375" style="9"/>
    <col min="2047" max="2047" width="14.109375" style="9" customWidth="1"/>
    <col min="2048" max="2048" width="12.109375" style="9" customWidth="1"/>
    <col min="2049" max="2049" width="12.44140625" style="9" customWidth="1"/>
    <col min="2050" max="2050" width="17.33203125" style="9" customWidth="1"/>
    <col min="2051" max="2051" width="16.88671875" style="9" customWidth="1"/>
    <col min="2052" max="2052" width="15.88671875" style="9" customWidth="1"/>
    <col min="2053" max="2300" width="9.109375" style="9"/>
    <col min="2301" max="2301" width="63.109375" style="9" customWidth="1"/>
    <col min="2302" max="2302" width="9.109375" style="9"/>
    <col min="2303" max="2303" width="14.109375" style="9" customWidth="1"/>
    <col min="2304" max="2304" width="12.109375" style="9" customWidth="1"/>
    <col min="2305" max="2305" width="12.44140625" style="9" customWidth="1"/>
    <col min="2306" max="2306" width="17.33203125" style="9" customWidth="1"/>
    <col min="2307" max="2307" width="16.88671875" style="9" customWidth="1"/>
    <col min="2308" max="2308" width="15.88671875" style="9" customWidth="1"/>
    <col min="2309" max="2556" width="9.109375" style="9"/>
    <col min="2557" max="2557" width="63.109375" style="9" customWidth="1"/>
    <col min="2558" max="2558" width="9.109375" style="9"/>
    <col min="2559" max="2559" width="14.109375" style="9" customWidth="1"/>
    <col min="2560" max="2560" width="12.109375" style="9" customWidth="1"/>
    <col min="2561" max="2561" width="12.44140625" style="9" customWidth="1"/>
    <col min="2562" max="2562" width="17.33203125" style="9" customWidth="1"/>
    <col min="2563" max="2563" width="16.88671875" style="9" customWidth="1"/>
    <col min="2564" max="2564" width="15.88671875" style="9" customWidth="1"/>
    <col min="2565" max="2812" width="9.109375" style="9"/>
    <col min="2813" max="2813" width="63.109375" style="9" customWidth="1"/>
    <col min="2814" max="2814" width="9.109375" style="9"/>
    <col min="2815" max="2815" width="14.109375" style="9" customWidth="1"/>
    <col min="2816" max="2816" width="12.109375" style="9" customWidth="1"/>
    <col min="2817" max="2817" width="12.44140625" style="9" customWidth="1"/>
    <col min="2818" max="2818" width="17.33203125" style="9" customWidth="1"/>
    <col min="2819" max="2819" width="16.88671875" style="9" customWidth="1"/>
    <col min="2820" max="2820" width="15.88671875" style="9" customWidth="1"/>
    <col min="2821" max="3068" width="9.109375" style="9"/>
    <col min="3069" max="3069" width="63.109375" style="9" customWidth="1"/>
    <col min="3070" max="3070" width="9.109375" style="9"/>
    <col min="3071" max="3071" width="14.109375" style="9" customWidth="1"/>
    <col min="3072" max="3072" width="12.109375" style="9" customWidth="1"/>
    <col min="3073" max="3073" width="12.44140625" style="9" customWidth="1"/>
    <col min="3074" max="3074" width="17.33203125" style="9" customWidth="1"/>
    <col min="3075" max="3075" width="16.88671875" style="9" customWidth="1"/>
    <col min="3076" max="3076" width="15.88671875" style="9" customWidth="1"/>
    <col min="3077" max="3324" width="9.109375" style="9"/>
    <col min="3325" max="3325" width="63.109375" style="9" customWidth="1"/>
    <col min="3326" max="3326" width="9.109375" style="9"/>
    <col min="3327" max="3327" width="14.109375" style="9" customWidth="1"/>
    <col min="3328" max="3328" width="12.109375" style="9" customWidth="1"/>
    <col min="3329" max="3329" width="12.44140625" style="9" customWidth="1"/>
    <col min="3330" max="3330" width="17.33203125" style="9" customWidth="1"/>
    <col min="3331" max="3331" width="16.88671875" style="9" customWidth="1"/>
    <col min="3332" max="3332" width="15.88671875" style="9" customWidth="1"/>
    <col min="3333" max="3580" width="9.109375" style="9"/>
    <col min="3581" max="3581" width="63.109375" style="9" customWidth="1"/>
    <col min="3582" max="3582" width="9.109375" style="9"/>
    <col min="3583" max="3583" width="14.109375" style="9" customWidth="1"/>
    <col min="3584" max="3584" width="12.109375" style="9" customWidth="1"/>
    <col min="3585" max="3585" width="12.44140625" style="9" customWidth="1"/>
    <col min="3586" max="3586" width="17.33203125" style="9" customWidth="1"/>
    <col min="3587" max="3587" width="16.88671875" style="9" customWidth="1"/>
    <col min="3588" max="3588" width="15.88671875" style="9" customWidth="1"/>
    <col min="3589" max="3836" width="9.109375" style="9"/>
    <col min="3837" max="3837" width="63.109375" style="9" customWidth="1"/>
    <col min="3838" max="3838" width="9.109375" style="9"/>
    <col min="3839" max="3839" width="14.109375" style="9" customWidth="1"/>
    <col min="3840" max="3840" width="12.109375" style="9" customWidth="1"/>
    <col min="3841" max="3841" width="12.44140625" style="9" customWidth="1"/>
    <col min="3842" max="3842" width="17.33203125" style="9" customWidth="1"/>
    <col min="3843" max="3843" width="16.88671875" style="9" customWidth="1"/>
    <col min="3844" max="3844" width="15.88671875" style="9" customWidth="1"/>
    <col min="3845" max="4092" width="9.109375" style="9"/>
    <col min="4093" max="4093" width="63.109375" style="9" customWidth="1"/>
    <col min="4094" max="4094" width="9.109375" style="9"/>
    <col min="4095" max="4095" width="14.109375" style="9" customWidth="1"/>
    <col min="4096" max="4096" width="12.109375" style="9" customWidth="1"/>
    <col min="4097" max="4097" width="12.44140625" style="9" customWidth="1"/>
    <col min="4098" max="4098" width="17.33203125" style="9" customWidth="1"/>
    <col min="4099" max="4099" width="16.88671875" style="9" customWidth="1"/>
    <col min="4100" max="4100" width="15.88671875" style="9" customWidth="1"/>
    <col min="4101" max="4348" width="9.109375" style="9"/>
    <col min="4349" max="4349" width="63.109375" style="9" customWidth="1"/>
    <col min="4350" max="4350" width="9.109375" style="9"/>
    <col min="4351" max="4351" width="14.109375" style="9" customWidth="1"/>
    <col min="4352" max="4352" width="12.109375" style="9" customWidth="1"/>
    <col min="4353" max="4353" width="12.44140625" style="9" customWidth="1"/>
    <col min="4354" max="4354" width="17.33203125" style="9" customWidth="1"/>
    <col min="4355" max="4355" width="16.88671875" style="9" customWidth="1"/>
    <col min="4356" max="4356" width="15.88671875" style="9" customWidth="1"/>
    <col min="4357" max="4604" width="9.109375" style="9"/>
    <col min="4605" max="4605" width="63.109375" style="9" customWidth="1"/>
    <col min="4606" max="4606" width="9.109375" style="9"/>
    <col min="4607" max="4607" width="14.109375" style="9" customWidth="1"/>
    <col min="4608" max="4608" width="12.109375" style="9" customWidth="1"/>
    <col min="4609" max="4609" width="12.44140625" style="9" customWidth="1"/>
    <col min="4610" max="4610" width="17.33203125" style="9" customWidth="1"/>
    <col min="4611" max="4611" width="16.88671875" style="9" customWidth="1"/>
    <col min="4612" max="4612" width="15.88671875" style="9" customWidth="1"/>
    <col min="4613" max="4860" width="9.109375" style="9"/>
    <col min="4861" max="4861" width="63.109375" style="9" customWidth="1"/>
    <col min="4862" max="4862" width="9.109375" style="9"/>
    <col min="4863" max="4863" width="14.109375" style="9" customWidth="1"/>
    <col min="4864" max="4864" width="12.109375" style="9" customWidth="1"/>
    <col min="4865" max="4865" width="12.44140625" style="9" customWidth="1"/>
    <col min="4866" max="4866" width="17.33203125" style="9" customWidth="1"/>
    <col min="4867" max="4867" width="16.88671875" style="9" customWidth="1"/>
    <col min="4868" max="4868" width="15.88671875" style="9" customWidth="1"/>
    <col min="4869" max="5116" width="9.109375" style="9"/>
    <col min="5117" max="5117" width="63.109375" style="9" customWidth="1"/>
    <col min="5118" max="5118" width="9.109375" style="9"/>
    <col min="5119" max="5119" width="14.109375" style="9" customWidth="1"/>
    <col min="5120" max="5120" width="12.109375" style="9" customWidth="1"/>
    <col min="5121" max="5121" width="12.44140625" style="9" customWidth="1"/>
    <col min="5122" max="5122" width="17.33203125" style="9" customWidth="1"/>
    <col min="5123" max="5123" width="16.88671875" style="9" customWidth="1"/>
    <col min="5124" max="5124" width="15.88671875" style="9" customWidth="1"/>
    <col min="5125" max="5372" width="9.109375" style="9"/>
    <col min="5373" max="5373" width="63.109375" style="9" customWidth="1"/>
    <col min="5374" max="5374" width="9.109375" style="9"/>
    <col min="5375" max="5375" width="14.109375" style="9" customWidth="1"/>
    <col min="5376" max="5376" width="12.109375" style="9" customWidth="1"/>
    <col min="5377" max="5377" width="12.44140625" style="9" customWidth="1"/>
    <col min="5378" max="5378" width="17.33203125" style="9" customWidth="1"/>
    <col min="5379" max="5379" width="16.88671875" style="9" customWidth="1"/>
    <col min="5380" max="5380" width="15.88671875" style="9" customWidth="1"/>
    <col min="5381" max="5628" width="9.109375" style="9"/>
    <col min="5629" max="5629" width="63.109375" style="9" customWidth="1"/>
    <col min="5630" max="5630" width="9.109375" style="9"/>
    <col min="5631" max="5631" width="14.109375" style="9" customWidth="1"/>
    <col min="5632" max="5632" width="12.109375" style="9" customWidth="1"/>
    <col min="5633" max="5633" width="12.44140625" style="9" customWidth="1"/>
    <col min="5634" max="5634" width="17.33203125" style="9" customWidth="1"/>
    <col min="5635" max="5635" width="16.88671875" style="9" customWidth="1"/>
    <col min="5636" max="5636" width="15.88671875" style="9" customWidth="1"/>
    <col min="5637" max="5884" width="9.109375" style="9"/>
    <col min="5885" max="5885" width="63.109375" style="9" customWidth="1"/>
    <col min="5886" max="5886" width="9.109375" style="9"/>
    <col min="5887" max="5887" width="14.109375" style="9" customWidth="1"/>
    <col min="5888" max="5888" width="12.109375" style="9" customWidth="1"/>
    <col min="5889" max="5889" width="12.44140625" style="9" customWidth="1"/>
    <col min="5890" max="5890" width="17.33203125" style="9" customWidth="1"/>
    <col min="5891" max="5891" width="16.88671875" style="9" customWidth="1"/>
    <col min="5892" max="5892" width="15.88671875" style="9" customWidth="1"/>
    <col min="5893" max="6140" width="9.109375" style="9"/>
    <col min="6141" max="6141" width="63.109375" style="9" customWidth="1"/>
    <col min="6142" max="6142" width="9.109375" style="9"/>
    <col min="6143" max="6143" width="14.109375" style="9" customWidth="1"/>
    <col min="6144" max="6144" width="12.109375" style="9" customWidth="1"/>
    <col min="6145" max="6145" width="12.44140625" style="9" customWidth="1"/>
    <col min="6146" max="6146" width="17.33203125" style="9" customWidth="1"/>
    <col min="6147" max="6147" width="16.88671875" style="9" customWidth="1"/>
    <col min="6148" max="6148" width="15.88671875" style="9" customWidth="1"/>
    <col min="6149" max="6396" width="9.109375" style="9"/>
    <col min="6397" max="6397" width="63.109375" style="9" customWidth="1"/>
    <col min="6398" max="6398" width="9.109375" style="9"/>
    <col min="6399" max="6399" width="14.109375" style="9" customWidth="1"/>
    <col min="6400" max="6400" width="12.109375" style="9" customWidth="1"/>
    <col min="6401" max="6401" width="12.44140625" style="9" customWidth="1"/>
    <col min="6402" max="6402" width="17.33203125" style="9" customWidth="1"/>
    <col min="6403" max="6403" width="16.88671875" style="9" customWidth="1"/>
    <col min="6404" max="6404" width="15.88671875" style="9" customWidth="1"/>
    <col min="6405" max="6652" width="9.109375" style="9"/>
    <col min="6653" max="6653" width="63.109375" style="9" customWidth="1"/>
    <col min="6654" max="6654" width="9.109375" style="9"/>
    <col min="6655" max="6655" width="14.109375" style="9" customWidth="1"/>
    <col min="6656" max="6656" width="12.109375" style="9" customWidth="1"/>
    <col min="6657" max="6657" width="12.44140625" style="9" customWidth="1"/>
    <col min="6658" max="6658" width="17.33203125" style="9" customWidth="1"/>
    <col min="6659" max="6659" width="16.88671875" style="9" customWidth="1"/>
    <col min="6660" max="6660" width="15.88671875" style="9" customWidth="1"/>
    <col min="6661" max="6908" width="9.109375" style="9"/>
    <col min="6909" max="6909" width="63.109375" style="9" customWidth="1"/>
    <col min="6910" max="6910" width="9.109375" style="9"/>
    <col min="6911" max="6911" width="14.109375" style="9" customWidth="1"/>
    <col min="6912" max="6912" width="12.109375" style="9" customWidth="1"/>
    <col min="6913" max="6913" width="12.44140625" style="9" customWidth="1"/>
    <col min="6914" max="6914" width="17.33203125" style="9" customWidth="1"/>
    <col min="6915" max="6915" width="16.88671875" style="9" customWidth="1"/>
    <col min="6916" max="6916" width="15.88671875" style="9" customWidth="1"/>
    <col min="6917" max="7164" width="9.109375" style="9"/>
    <col min="7165" max="7165" width="63.109375" style="9" customWidth="1"/>
    <col min="7166" max="7166" width="9.109375" style="9"/>
    <col min="7167" max="7167" width="14.109375" style="9" customWidth="1"/>
    <col min="7168" max="7168" width="12.109375" style="9" customWidth="1"/>
    <col min="7169" max="7169" width="12.44140625" style="9" customWidth="1"/>
    <col min="7170" max="7170" width="17.33203125" style="9" customWidth="1"/>
    <col min="7171" max="7171" width="16.88671875" style="9" customWidth="1"/>
    <col min="7172" max="7172" width="15.88671875" style="9" customWidth="1"/>
    <col min="7173" max="7420" width="9.109375" style="9"/>
    <col min="7421" max="7421" width="63.109375" style="9" customWidth="1"/>
    <col min="7422" max="7422" width="9.109375" style="9"/>
    <col min="7423" max="7423" width="14.109375" style="9" customWidth="1"/>
    <col min="7424" max="7424" width="12.109375" style="9" customWidth="1"/>
    <col min="7425" max="7425" width="12.44140625" style="9" customWidth="1"/>
    <col min="7426" max="7426" width="17.33203125" style="9" customWidth="1"/>
    <col min="7427" max="7427" width="16.88671875" style="9" customWidth="1"/>
    <col min="7428" max="7428" width="15.88671875" style="9" customWidth="1"/>
    <col min="7429" max="7676" width="9.109375" style="9"/>
    <col min="7677" max="7677" width="63.109375" style="9" customWidth="1"/>
    <col min="7678" max="7678" width="9.109375" style="9"/>
    <col min="7679" max="7679" width="14.109375" style="9" customWidth="1"/>
    <col min="7680" max="7680" width="12.109375" style="9" customWidth="1"/>
    <col min="7681" max="7681" width="12.44140625" style="9" customWidth="1"/>
    <col min="7682" max="7682" width="17.33203125" style="9" customWidth="1"/>
    <col min="7683" max="7683" width="16.88671875" style="9" customWidth="1"/>
    <col min="7684" max="7684" width="15.88671875" style="9" customWidth="1"/>
    <col min="7685" max="7932" width="9.109375" style="9"/>
    <col min="7933" max="7933" width="63.109375" style="9" customWidth="1"/>
    <col min="7934" max="7934" width="9.109375" style="9"/>
    <col min="7935" max="7935" width="14.109375" style="9" customWidth="1"/>
    <col min="7936" max="7936" width="12.109375" style="9" customWidth="1"/>
    <col min="7937" max="7937" width="12.44140625" style="9" customWidth="1"/>
    <col min="7938" max="7938" width="17.33203125" style="9" customWidth="1"/>
    <col min="7939" max="7939" width="16.88671875" style="9" customWidth="1"/>
    <col min="7940" max="7940" width="15.88671875" style="9" customWidth="1"/>
    <col min="7941" max="8188" width="9.109375" style="9"/>
    <col min="8189" max="8189" width="63.109375" style="9" customWidth="1"/>
    <col min="8190" max="8190" width="9.109375" style="9"/>
    <col min="8191" max="8191" width="14.109375" style="9" customWidth="1"/>
    <col min="8192" max="8192" width="12.109375" style="9" customWidth="1"/>
    <col min="8193" max="8193" width="12.44140625" style="9" customWidth="1"/>
    <col min="8194" max="8194" width="17.33203125" style="9" customWidth="1"/>
    <col min="8195" max="8195" width="16.88671875" style="9" customWidth="1"/>
    <col min="8196" max="8196" width="15.88671875" style="9" customWidth="1"/>
    <col min="8197" max="8444" width="9.109375" style="9"/>
    <col min="8445" max="8445" width="63.109375" style="9" customWidth="1"/>
    <col min="8446" max="8446" width="9.109375" style="9"/>
    <col min="8447" max="8447" width="14.109375" style="9" customWidth="1"/>
    <col min="8448" max="8448" width="12.109375" style="9" customWidth="1"/>
    <col min="8449" max="8449" width="12.44140625" style="9" customWidth="1"/>
    <col min="8450" max="8450" width="17.33203125" style="9" customWidth="1"/>
    <col min="8451" max="8451" width="16.88671875" style="9" customWidth="1"/>
    <col min="8452" max="8452" width="15.88671875" style="9" customWidth="1"/>
    <col min="8453" max="8700" width="9.109375" style="9"/>
    <col min="8701" max="8701" width="63.109375" style="9" customWidth="1"/>
    <col min="8702" max="8702" width="9.109375" style="9"/>
    <col min="8703" max="8703" width="14.109375" style="9" customWidth="1"/>
    <col min="8704" max="8704" width="12.109375" style="9" customWidth="1"/>
    <col min="8705" max="8705" width="12.44140625" style="9" customWidth="1"/>
    <col min="8706" max="8706" width="17.33203125" style="9" customWidth="1"/>
    <col min="8707" max="8707" width="16.88671875" style="9" customWidth="1"/>
    <col min="8708" max="8708" width="15.88671875" style="9" customWidth="1"/>
    <col min="8709" max="8956" width="9.109375" style="9"/>
    <col min="8957" max="8957" width="63.109375" style="9" customWidth="1"/>
    <col min="8958" max="8958" width="9.109375" style="9"/>
    <col min="8959" max="8959" width="14.109375" style="9" customWidth="1"/>
    <col min="8960" max="8960" width="12.109375" style="9" customWidth="1"/>
    <col min="8961" max="8961" width="12.44140625" style="9" customWidth="1"/>
    <col min="8962" max="8962" width="17.33203125" style="9" customWidth="1"/>
    <col min="8963" max="8963" width="16.88671875" style="9" customWidth="1"/>
    <col min="8964" max="8964" width="15.88671875" style="9" customWidth="1"/>
    <col min="8965" max="9212" width="9.109375" style="9"/>
    <col min="9213" max="9213" width="63.109375" style="9" customWidth="1"/>
    <col min="9214" max="9214" width="9.109375" style="9"/>
    <col min="9215" max="9215" width="14.109375" style="9" customWidth="1"/>
    <col min="9216" max="9216" width="12.109375" style="9" customWidth="1"/>
    <col min="9217" max="9217" width="12.44140625" style="9" customWidth="1"/>
    <col min="9218" max="9218" width="17.33203125" style="9" customWidth="1"/>
    <col min="9219" max="9219" width="16.88671875" style="9" customWidth="1"/>
    <col min="9220" max="9220" width="15.88671875" style="9" customWidth="1"/>
    <col min="9221" max="9468" width="9.109375" style="9"/>
    <col min="9469" max="9469" width="63.109375" style="9" customWidth="1"/>
    <col min="9470" max="9470" width="9.109375" style="9"/>
    <col min="9471" max="9471" width="14.109375" style="9" customWidth="1"/>
    <col min="9472" max="9472" width="12.109375" style="9" customWidth="1"/>
    <col min="9473" max="9473" width="12.44140625" style="9" customWidth="1"/>
    <col min="9474" max="9474" width="17.33203125" style="9" customWidth="1"/>
    <col min="9475" max="9475" width="16.88671875" style="9" customWidth="1"/>
    <col min="9476" max="9476" width="15.88671875" style="9" customWidth="1"/>
    <col min="9477" max="9724" width="9.109375" style="9"/>
    <col min="9725" max="9725" width="63.109375" style="9" customWidth="1"/>
    <col min="9726" max="9726" width="9.109375" style="9"/>
    <col min="9727" max="9727" width="14.109375" style="9" customWidth="1"/>
    <col min="9728" max="9728" width="12.109375" style="9" customWidth="1"/>
    <col min="9729" max="9729" width="12.44140625" style="9" customWidth="1"/>
    <col min="9730" max="9730" width="17.33203125" style="9" customWidth="1"/>
    <col min="9731" max="9731" width="16.88671875" style="9" customWidth="1"/>
    <col min="9732" max="9732" width="15.88671875" style="9" customWidth="1"/>
    <col min="9733" max="9980" width="9.109375" style="9"/>
    <col min="9981" max="9981" width="63.109375" style="9" customWidth="1"/>
    <col min="9982" max="9982" width="9.109375" style="9"/>
    <col min="9983" max="9983" width="14.109375" style="9" customWidth="1"/>
    <col min="9984" max="9984" width="12.109375" style="9" customWidth="1"/>
    <col min="9985" max="9985" width="12.44140625" style="9" customWidth="1"/>
    <col min="9986" max="9986" width="17.33203125" style="9" customWidth="1"/>
    <col min="9987" max="9987" width="16.88671875" style="9" customWidth="1"/>
    <col min="9988" max="9988" width="15.88671875" style="9" customWidth="1"/>
    <col min="9989" max="10236" width="9.109375" style="9"/>
    <col min="10237" max="10237" width="63.109375" style="9" customWidth="1"/>
    <col min="10238" max="10238" width="9.109375" style="9"/>
    <col min="10239" max="10239" width="14.109375" style="9" customWidth="1"/>
    <col min="10240" max="10240" width="12.109375" style="9" customWidth="1"/>
    <col min="10241" max="10241" width="12.44140625" style="9" customWidth="1"/>
    <col min="10242" max="10242" width="17.33203125" style="9" customWidth="1"/>
    <col min="10243" max="10243" width="16.88671875" style="9" customWidth="1"/>
    <col min="10244" max="10244" width="15.88671875" style="9" customWidth="1"/>
    <col min="10245" max="10492" width="9.109375" style="9"/>
    <col min="10493" max="10493" width="63.109375" style="9" customWidth="1"/>
    <col min="10494" max="10494" width="9.109375" style="9"/>
    <col min="10495" max="10495" width="14.109375" style="9" customWidth="1"/>
    <col min="10496" max="10496" width="12.109375" style="9" customWidth="1"/>
    <col min="10497" max="10497" width="12.44140625" style="9" customWidth="1"/>
    <col min="10498" max="10498" width="17.33203125" style="9" customWidth="1"/>
    <col min="10499" max="10499" width="16.88671875" style="9" customWidth="1"/>
    <col min="10500" max="10500" width="15.88671875" style="9" customWidth="1"/>
    <col min="10501" max="10748" width="9.109375" style="9"/>
    <col min="10749" max="10749" width="63.109375" style="9" customWidth="1"/>
    <col min="10750" max="10750" width="9.109375" style="9"/>
    <col min="10751" max="10751" width="14.109375" style="9" customWidth="1"/>
    <col min="10752" max="10752" width="12.109375" style="9" customWidth="1"/>
    <col min="10753" max="10753" width="12.44140625" style="9" customWidth="1"/>
    <col min="10754" max="10754" width="17.33203125" style="9" customWidth="1"/>
    <col min="10755" max="10755" width="16.88671875" style="9" customWidth="1"/>
    <col min="10756" max="10756" width="15.88671875" style="9" customWidth="1"/>
    <col min="10757" max="11004" width="9.109375" style="9"/>
    <col min="11005" max="11005" width="63.109375" style="9" customWidth="1"/>
    <col min="11006" max="11006" width="9.109375" style="9"/>
    <col min="11007" max="11007" width="14.109375" style="9" customWidth="1"/>
    <col min="11008" max="11008" width="12.109375" style="9" customWidth="1"/>
    <col min="11009" max="11009" width="12.44140625" style="9" customWidth="1"/>
    <col min="11010" max="11010" width="17.33203125" style="9" customWidth="1"/>
    <col min="11011" max="11011" width="16.88671875" style="9" customWidth="1"/>
    <col min="11012" max="11012" width="15.88671875" style="9" customWidth="1"/>
    <col min="11013" max="11260" width="9.109375" style="9"/>
    <col min="11261" max="11261" width="63.109375" style="9" customWidth="1"/>
    <col min="11262" max="11262" width="9.109375" style="9"/>
    <col min="11263" max="11263" width="14.109375" style="9" customWidth="1"/>
    <col min="11264" max="11264" width="12.109375" style="9" customWidth="1"/>
    <col min="11265" max="11265" width="12.44140625" style="9" customWidth="1"/>
    <col min="11266" max="11266" width="17.33203125" style="9" customWidth="1"/>
    <col min="11267" max="11267" width="16.88671875" style="9" customWidth="1"/>
    <col min="11268" max="11268" width="15.88671875" style="9" customWidth="1"/>
    <col min="11269" max="11516" width="9.109375" style="9"/>
    <col min="11517" max="11517" width="63.109375" style="9" customWidth="1"/>
    <col min="11518" max="11518" width="9.109375" style="9"/>
    <col min="11519" max="11519" width="14.109375" style="9" customWidth="1"/>
    <col min="11520" max="11520" width="12.109375" style="9" customWidth="1"/>
    <col min="11521" max="11521" width="12.44140625" style="9" customWidth="1"/>
    <col min="11522" max="11522" width="17.33203125" style="9" customWidth="1"/>
    <col min="11523" max="11523" width="16.88671875" style="9" customWidth="1"/>
    <col min="11524" max="11524" width="15.88671875" style="9" customWidth="1"/>
    <col min="11525" max="11772" width="9.109375" style="9"/>
    <col min="11773" max="11773" width="63.109375" style="9" customWidth="1"/>
    <col min="11774" max="11774" width="9.109375" style="9"/>
    <col min="11775" max="11775" width="14.109375" style="9" customWidth="1"/>
    <col min="11776" max="11776" width="12.109375" style="9" customWidth="1"/>
    <col min="11777" max="11777" width="12.44140625" style="9" customWidth="1"/>
    <col min="11778" max="11778" width="17.33203125" style="9" customWidth="1"/>
    <col min="11779" max="11779" width="16.88671875" style="9" customWidth="1"/>
    <col min="11780" max="11780" width="15.88671875" style="9" customWidth="1"/>
    <col min="11781" max="12028" width="9.109375" style="9"/>
    <col min="12029" max="12029" width="63.109375" style="9" customWidth="1"/>
    <col min="12030" max="12030" width="9.109375" style="9"/>
    <col min="12031" max="12031" width="14.109375" style="9" customWidth="1"/>
    <col min="12032" max="12032" width="12.109375" style="9" customWidth="1"/>
    <col min="12033" max="12033" width="12.44140625" style="9" customWidth="1"/>
    <col min="12034" max="12034" width="17.33203125" style="9" customWidth="1"/>
    <col min="12035" max="12035" width="16.88671875" style="9" customWidth="1"/>
    <col min="12036" max="12036" width="15.88671875" style="9" customWidth="1"/>
    <col min="12037" max="12284" width="9.109375" style="9"/>
    <col min="12285" max="12285" width="63.109375" style="9" customWidth="1"/>
    <col min="12286" max="12286" width="9.109375" style="9"/>
    <col min="12287" max="12287" width="14.109375" style="9" customWidth="1"/>
    <col min="12288" max="12288" width="12.109375" style="9" customWidth="1"/>
    <col min="12289" max="12289" width="12.44140625" style="9" customWidth="1"/>
    <col min="12290" max="12290" width="17.33203125" style="9" customWidth="1"/>
    <col min="12291" max="12291" width="16.88671875" style="9" customWidth="1"/>
    <col min="12292" max="12292" width="15.88671875" style="9" customWidth="1"/>
    <col min="12293" max="12540" width="9.109375" style="9"/>
    <col min="12541" max="12541" width="63.109375" style="9" customWidth="1"/>
    <col min="12542" max="12542" width="9.109375" style="9"/>
    <col min="12543" max="12543" width="14.109375" style="9" customWidth="1"/>
    <col min="12544" max="12544" width="12.109375" style="9" customWidth="1"/>
    <col min="12545" max="12545" width="12.44140625" style="9" customWidth="1"/>
    <col min="12546" max="12546" width="17.33203125" style="9" customWidth="1"/>
    <col min="12547" max="12547" width="16.88671875" style="9" customWidth="1"/>
    <col min="12548" max="12548" width="15.88671875" style="9" customWidth="1"/>
    <col min="12549" max="12796" width="9.109375" style="9"/>
    <col min="12797" max="12797" width="63.109375" style="9" customWidth="1"/>
    <col min="12798" max="12798" width="9.109375" style="9"/>
    <col min="12799" max="12799" width="14.109375" style="9" customWidth="1"/>
    <col min="12800" max="12800" width="12.109375" style="9" customWidth="1"/>
    <col min="12801" max="12801" width="12.44140625" style="9" customWidth="1"/>
    <col min="12802" max="12802" width="17.33203125" style="9" customWidth="1"/>
    <col min="12803" max="12803" width="16.88671875" style="9" customWidth="1"/>
    <col min="12804" max="12804" width="15.88671875" style="9" customWidth="1"/>
    <col min="12805" max="13052" width="9.109375" style="9"/>
    <col min="13053" max="13053" width="63.109375" style="9" customWidth="1"/>
    <col min="13054" max="13054" width="9.109375" style="9"/>
    <col min="13055" max="13055" width="14.109375" style="9" customWidth="1"/>
    <col min="13056" max="13056" width="12.109375" style="9" customWidth="1"/>
    <col min="13057" max="13057" width="12.44140625" style="9" customWidth="1"/>
    <col min="13058" max="13058" width="17.33203125" style="9" customWidth="1"/>
    <col min="13059" max="13059" width="16.88671875" style="9" customWidth="1"/>
    <col min="13060" max="13060" width="15.88671875" style="9" customWidth="1"/>
    <col min="13061" max="13308" width="9.109375" style="9"/>
    <col min="13309" max="13309" width="63.109375" style="9" customWidth="1"/>
    <col min="13310" max="13310" width="9.109375" style="9"/>
    <col min="13311" max="13311" width="14.109375" style="9" customWidth="1"/>
    <col min="13312" max="13312" width="12.109375" style="9" customWidth="1"/>
    <col min="13313" max="13313" width="12.44140625" style="9" customWidth="1"/>
    <col min="13314" max="13314" width="17.33203125" style="9" customWidth="1"/>
    <col min="13315" max="13315" width="16.88671875" style="9" customWidth="1"/>
    <col min="13316" max="13316" width="15.88671875" style="9" customWidth="1"/>
    <col min="13317" max="13564" width="9.109375" style="9"/>
    <col min="13565" max="13565" width="63.109375" style="9" customWidth="1"/>
    <col min="13566" max="13566" width="9.109375" style="9"/>
    <col min="13567" max="13567" width="14.109375" style="9" customWidth="1"/>
    <col min="13568" max="13568" width="12.109375" style="9" customWidth="1"/>
    <col min="13569" max="13569" width="12.44140625" style="9" customWidth="1"/>
    <col min="13570" max="13570" width="17.33203125" style="9" customWidth="1"/>
    <col min="13571" max="13571" width="16.88671875" style="9" customWidth="1"/>
    <col min="13572" max="13572" width="15.88671875" style="9" customWidth="1"/>
    <col min="13573" max="13820" width="9.109375" style="9"/>
    <col min="13821" max="13821" width="63.109375" style="9" customWidth="1"/>
    <col min="13822" max="13822" width="9.109375" style="9"/>
    <col min="13823" max="13823" width="14.109375" style="9" customWidth="1"/>
    <col min="13824" max="13824" width="12.109375" style="9" customWidth="1"/>
    <col min="13825" max="13825" width="12.44140625" style="9" customWidth="1"/>
    <col min="13826" max="13826" width="17.33203125" style="9" customWidth="1"/>
    <col min="13827" max="13827" width="16.88671875" style="9" customWidth="1"/>
    <col min="13828" max="13828" width="15.88671875" style="9" customWidth="1"/>
    <col min="13829" max="14076" width="9.109375" style="9"/>
    <col min="14077" max="14077" width="63.109375" style="9" customWidth="1"/>
    <col min="14078" max="14078" width="9.109375" style="9"/>
    <col min="14079" max="14079" width="14.109375" style="9" customWidth="1"/>
    <col min="14080" max="14080" width="12.109375" style="9" customWidth="1"/>
    <col min="14081" max="14081" width="12.44140625" style="9" customWidth="1"/>
    <col min="14082" max="14082" width="17.33203125" style="9" customWidth="1"/>
    <col min="14083" max="14083" width="16.88671875" style="9" customWidth="1"/>
    <col min="14084" max="14084" width="15.88671875" style="9" customWidth="1"/>
    <col min="14085" max="14332" width="9.109375" style="9"/>
    <col min="14333" max="14333" width="63.109375" style="9" customWidth="1"/>
    <col min="14334" max="14334" width="9.109375" style="9"/>
    <col min="14335" max="14335" width="14.109375" style="9" customWidth="1"/>
    <col min="14336" max="14336" width="12.109375" style="9" customWidth="1"/>
    <col min="14337" max="14337" width="12.44140625" style="9" customWidth="1"/>
    <col min="14338" max="14338" width="17.33203125" style="9" customWidth="1"/>
    <col min="14339" max="14339" width="16.88671875" style="9" customWidth="1"/>
    <col min="14340" max="14340" width="15.88671875" style="9" customWidth="1"/>
    <col min="14341" max="14588" width="9.109375" style="9"/>
    <col min="14589" max="14589" width="63.109375" style="9" customWidth="1"/>
    <col min="14590" max="14590" width="9.109375" style="9"/>
    <col min="14591" max="14591" width="14.109375" style="9" customWidth="1"/>
    <col min="14592" max="14592" width="12.109375" style="9" customWidth="1"/>
    <col min="14593" max="14593" width="12.44140625" style="9" customWidth="1"/>
    <col min="14594" max="14594" width="17.33203125" style="9" customWidth="1"/>
    <col min="14595" max="14595" width="16.88671875" style="9" customWidth="1"/>
    <col min="14596" max="14596" width="15.88671875" style="9" customWidth="1"/>
    <col min="14597" max="14844" width="9.109375" style="9"/>
    <col min="14845" max="14845" width="63.109375" style="9" customWidth="1"/>
    <col min="14846" max="14846" width="9.109375" style="9"/>
    <col min="14847" max="14847" width="14.109375" style="9" customWidth="1"/>
    <col min="14848" max="14848" width="12.109375" style="9" customWidth="1"/>
    <col min="14849" max="14849" width="12.44140625" style="9" customWidth="1"/>
    <col min="14850" max="14850" width="17.33203125" style="9" customWidth="1"/>
    <col min="14851" max="14851" width="16.88671875" style="9" customWidth="1"/>
    <col min="14852" max="14852" width="15.88671875" style="9" customWidth="1"/>
    <col min="14853" max="15100" width="9.109375" style="9"/>
    <col min="15101" max="15101" width="63.109375" style="9" customWidth="1"/>
    <col min="15102" max="15102" width="9.109375" style="9"/>
    <col min="15103" max="15103" width="14.109375" style="9" customWidth="1"/>
    <col min="15104" max="15104" width="12.109375" style="9" customWidth="1"/>
    <col min="15105" max="15105" width="12.44140625" style="9" customWidth="1"/>
    <col min="15106" max="15106" width="17.33203125" style="9" customWidth="1"/>
    <col min="15107" max="15107" width="16.88671875" style="9" customWidth="1"/>
    <col min="15108" max="15108" width="15.88671875" style="9" customWidth="1"/>
    <col min="15109" max="15356" width="9.109375" style="9"/>
    <col min="15357" max="15357" width="63.109375" style="9" customWidth="1"/>
    <col min="15358" max="15358" width="9.109375" style="9"/>
    <col min="15359" max="15359" width="14.109375" style="9" customWidth="1"/>
    <col min="15360" max="15360" width="12.109375" style="9" customWidth="1"/>
    <col min="15361" max="15361" width="12.44140625" style="9" customWidth="1"/>
    <col min="15362" max="15362" width="17.33203125" style="9" customWidth="1"/>
    <col min="15363" max="15363" width="16.88671875" style="9" customWidth="1"/>
    <col min="15364" max="15364" width="15.88671875" style="9" customWidth="1"/>
    <col min="15365" max="15612" width="9.109375" style="9"/>
    <col min="15613" max="15613" width="63.109375" style="9" customWidth="1"/>
    <col min="15614" max="15614" width="9.109375" style="9"/>
    <col min="15615" max="15615" width="14.109375" style="9" customWidth="1"/>
    <col min="15616" max="15616" width="12.109375" style="9" customWidth="1"/>
    <col min="15617" max="15617" width="12.44140625" style="9" customWidth="1"/>
    <col min="15618" max="15618" width="17.33203125" style="9" customWidth="1"/>
    <col min="15619" max="15619" width="16.88671875" style="9" customWidth="1"/>
    <col min="15620" max="15620" width="15.88671875" style="9" customWidth="1"/>
    <col min="15621" max="15868" width="9.109375" style="9"/>
    <col min="15869" max="15869" width="63.109375" style="9" customWidth="1"/>
    <col min="15870" max="15870" width="9.109375" style="9"/>
    <col min="15871" max="15871" width="14.109375" style="9" customWidth="1"/>
    <col min="15872" max="15872" width="12.109375" style="9" customWidth="1"/>
    <col min="15873" max="15873" width="12.44140625" style="9" customWidth="1"/>
    <col min="15874" max="15874" width="17.33203125" style="9" customWidth="1"/>
    <col min="15875" max="15875" width="16.88671875" style="9" customWidth="1"/>
    <col min="15876" max="15876" width="15.88671875" style="9" customWidth="1"/>
    <col min="15877" max="16124" width="9.109375" style="9"/>
    <col min="16125" max="16125" width="63.109375" style="9" customWidth="1"/>
    <col min="16126" max="16126" width="9.109375" style="9"/>
    <col min="16127" max="16127" width="14.109375" style="9" customWidth="1"/>
    <col min="16128" max="16128" width="12.109375" style="9" customWidth="1"/>
    <col min="16129" max="16129" width="12.44140625" style="9" customWidth="1"/>
    <col min="16130" max="16130" width="17.33203125" style="9" customWidth="1"/>
    <col min="16131" max="16131" width="16.88671875" style="9" customWidth="1"/>
    <col min="16132" max="16132" width="15.88671875" style="9" customWidth="1"/>
    <col min="16133" max="16384" width="9.109375" style="9"/>
  </cols>
  <sheetData>
    <row r="1" spans="1:9" x14ac:dyDescent="0.3">
      <c r="A1" s="1388" t="s">
        <v>22</v>
      </c>
      <c r="B1" s="1389" t="s">
        <v>1</v>
      </c>
      <c r="C1" s="1390" t="s">
        <v>23</v>
      </c>
      <c r="D1" s="1441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9" x14ac:dyDescent="0.3">
      <c r="A2" s="1388"/>
      <c r="B2" s="1389"/>
      <c r="C2" s="1390"/>
      <c r="D2" s="1441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9" x14ac:dyDescent="0.3">
      <c r="A3" s="11"/>
      <c r="B3" s="12" t="s">
        <v>31</v>
      </c>
      <c r="C3" s="13"/>
      <c r="D3" s="14"/>
      <c r="E3" s="15"/>
      <c r="F3" s="15"/>
      <c r="G3" s="16"/>
      <c r="H3" s="16"/>
      <c r="I3" s="16"/>
    </row>
    <row r="4" spans="1:9" x14ac:dyDescent="0.3">
      <c r="A4" s="17" t="s">
        <v>49</v>
      </c>
      <c r="B4" s="18" t="s">
        <v>4</v>
      </c>
      <c r="C4" s="19" t="s">
        <v>34</v>
      </c>
      <c r="D4" s="38">
        <f>SUM(D7,D30,D42,D53,D64,D72,D102,D110,D122,D135,D184,D193,D202,D211,D232,D248)</f>
        <v>6372.6478000000006</v>
      </c>
      <c r="E4" s="40">
        <f>PRODUCT(G4,1/D4)</f>
        <v>2753.6057581381888</v>
      </c>
      <c r="F4" s="40">
        <f>PRODUCT(H4,1/D4)</f>
        <v>10109.014822483306</v>
      </c>
      <c r="G4" s="21">
        <f>SUM(G5:G263)</f>
        <v>17547759.676666662</v>
      </c>
      <c r="H4" s="21">
        <f>SUM(H5:H263)</f>
        <v>64421191.068665639</v>
      </c>
      <c r="I4" s="21">
        <f>SUM(I5:I263)</f>
        <v>81968950.74533233</v>
      </c>
    </row>
    <row r="5" spans="1:9" s="22" customFormat="1" ht="28.8" x14ac:dyDescent="0.3">
      <c r="A5" s="39" t="s">
        <v>50</v>
      </c>
      <c r="B5" s="41" t="s">
        <v>51</v>
      </c>
      <c r="C5" s="42" t="s">
        <v>34</v>
      </c>
      <c r="D5" s="43">
        <v>82.6</v>
      </c>
      <c r="E5" s="44">
        <v>1560</v>
      </c>
      <c r="F5" s="44"/>
      <c r="G5" s="44">
        <f>D5*E5</f>
        <v>128855.99999999999</v>
      </c>
      <c r="H5" s="44">
        <f>D5*F5</f>
        <v>0</v>
      </c>
      <c r="I5" s="44">
        <f>G5+H5</f>
        <v>128855.99999999999</v>
      </c>
    </row>
    <row r="6" spans="1:9" x14ac:dyDescent="0.3">
      <c r="A6" s="39"/>
      <c r="B6" s="45" t="s">
        <v>52</v>
      </c>
      <c r="C6" s="30" t="s">
        <v>34</v>
      </c>
      <c r="D6" s="34">
        <f>D5*1.05</f>
        <v>86.73</v>
      </c>
      <c r="E6" s="28"/>
      <c r="F6" s="28">
        <v>4300</v>
      </c>
      <c r="G6" s="28">
        <f t="shared" ref="G6:G69" si="0">D6*E6</f>
        <v>0</v>
      </c>
      <c r="H6" s="28">
        <f t="shared" ref="H6:H69" si="1">D6*F6</f>
        <v>372939</v>
      </c>
      <c r="I6" s="28">
        <f t="shared" ref="I6:I69" si="2">G6+H6</f>
        <v>372939</v>
      </c>
    </row>
    <row r="7" spans="1:9" s="22" customFormat="1" x14ac:dyDescent="0.3">
      <c r="A7" s="39" t="s">
        <v>53</v>
      </c>
      <c r="B7" s="41" t="s">
        <v>54</v>
      </c>
      <c r="C7" s="42" t="s">
        <v>34</v>
      </c>
      <c r="D7" s="43">
        <v>860.6</v>
      </c>
      <c r="E7" s="44">
        <v>1560</v>
      </c>
      <c r="F7" s="44"/>
      <c r="G7" s="44">
        <f t="shared" si="0"/>
        <v>1342536</v>
      </c>
      <c r="H7" s="44">
        <f t="shared" si="1"/>
        <v>0</v>
      </c>
      <c r="I7" s="44">
        <f t="shared" si="2"/>
        <v>1342536</v>
      </c>
    </row>
    <row r="8" spans="1:9" x14ac:dyDescent="0.3">
      <c r="A8" s="23" t="s">
        <v>55</v>
      </c>
      <c r="B8" s="45" t="s">
        <v>56</v>
      </c>
      <c r="C8" s="30" t="s">
        <v>34</v>
      </c>
      <c r="D8" s="34">
        <f>D7*1.05</f>
        <v>903.63000000000011</v>
      </c>
      <c r="E8" s="28"/>
      <c r="F8" s="28">
        <v>5450</v>
      </c>
      <c r="G8" s="28">
        <f t="shared" si="0"/>
        <v>0</v>
      </c>
      <c r="H8" s="28">
        <f t="shared" si="1"/>
        <v>4924783.5000000009</v>
      </c>
      <c r="I8" s="28">
        <f t="shared" si="2"/>
        <v>4924783.5000000009</v>
      </c>
    </row>
    <row r="9" spans="1:9" x14ac:dyDescent="0.3">
      <c r="A9" s="23" t="s">
        <v>57</v>
      </c>
      <c r="B9" s="45" t="s">
        <v>58</v>
      </c>
      <c r="C9" s="30" t="s">
        <v>44</v>
      </c>
      <c r="D9" s="34">
        <v>5996</v>
      </c>
      <c r="E9" s="28"/>
      <c r="F9" s="28">
        <v>13</v>
      </c>
      <c r="G9" s="28">
        <f t="shared" si="0"/>
        <v>0</v>
      </c>
      <c r="H9" s="28">
        <f t="shared" si="1"/>
        <v>77948</v>
      </c>
      <c r="I9" s="28">
        <f t="shared" si="2"/>
        <v>77948</v>
      </c>
    </row>
    <row r="10" spans="1:9" x14ac:dyDescent="0.3">
      <c r="A10" s="23" t="s">
        <v>59</v>
      </c>
      <c r="B10" s="46" t="s">
        <v>60</v>
      </c>
      <c r="C10" s="30"/>
      <c r="D10" s="34">
        <f>SUM(D11:D20)</f>
        <v>72.389840880000008</v>
      </c>
      <c r="E10" s="28"/>
      <c r="F10" s="28"/>
      <c r="G10" s="28">
        <f t="shared" si="0"/>
        <v>0</v>
      </c>
      <c r="H10" s="28">
        <f t="shared" si="1"/>
        <v>0</v>
      </c>
      <c r="I10" s="28">
        <f t="shared" si="2"/>
        <v>0</v>
      </c>
    </row>
    <row r="11" spans="1:9" x14ac:dyDescent="0.3">
      <c r="A11" s="39"/>
      <c r="B11" s="45" t="s">
        <v>61</v>
      </c>
      <c r="C11" s="30" t="s">
        <v>62</v>
      </c>
      <c r="D11" s="34">
        <f>(33740+25029.8)/1000</f>
        <v>58.769800000000004</v>
      </c>
      <c r="E11" s="28"/>
      <c r="F11" s="28">
        <v>35100</v>
      </c>
      <c r="G11" s="28">
        <f t="shared" si="0"/>
        <v>0</v>
      </c>
      <c r="H11" s="28">
        <f t="shared" si="1"/>
        <v>2062819.9800000002</v>
      </c>
      <c r="I11" s="28">
        <f t="shared" si="2"/>
        <v>2062819.9800000002</v>
      </c>
    </row>
    <row r="12" spans="1:9" x14ac:dyDescent="0.3">
      <c r="A12" s="39"/>
      <c r="B12" s="45" t="s">
        <v>63</v>
      </c>
      <c r="C12" s="30" t="s">
        <v>62</v>
      </c>
      <c r="D12" s="34">
        <f>2860.8/1000</f>
        <v>2.8608000000000002</v>
      </c>
      <c r="E12" s="28"/>
      <c r="F12" s="28">
        <v>35800</v>
      </c>
      <c r="G12" s="28">
        <f t="shared" si="0"/>
        <v>0</v>
      </c>
      <c r="H12" s="28">
        <f t="shared" si="1"/>
        <v>102416.64000000001</v>
      </c>
      <c r="I12" s="28">
        <f t="shared" si="2"/>
        <v>102416.64000000001</v>
      </c>
    </row>
    <row r="13" spans="1:9" x14ac:dyDescent="0.3">
      <c r="A13" s="39"/>
      <c r="B13" s="45" t="s">
        <v>1792</v>
      </c>
      <c r="C13" s="30" t="s">
        <v>62</v>
      </c>
      <c r="D13" s="34">
        <f>(3283.1+230.4)/1000</f>
        <v>3.5135000000000001</v>
      </c>
      <c r="E13" s="28"/>
      <c r="F13" s="28">
        <v>33500</v>
      </c>
      <c r="G13" s="28">
        <f t="shared" si="0"/>
        <v>0</v>
      </c>
      <c r="H13" s="28">
        <f t="shared" si="1"/>
        <v>117702.25</v>
      </c>
      <c r="I13" s="28">
        <f t="shared" si="2"/>
        <v>117702.25</v>
      </c>
    </row>
    <row r="14" spans="1:9" x14ac:dyDescent="0.3">
      <c r="A14" s="39"/>
      <c r="B14" s="47" t="s">
        <v>64</v>
      </c>
      <c r="C14" s="30"/>
      <c r="D14" s="34"/>
      <c r="E14" s="28"/>
      <c r="F14" s="28"/>
      <c r="G14" s="28">
        <f t="shared" si="0"/>
        <v>0</v>
      </c>
      <c r="H14" s="28">
        <f t="shared" si="1"/>
        <v>0</v>
      </c>
      <c r="I14" s="28">
        <f t="shared" si="2"/>
        <v>0</v>
      </c>
    </row>
    <row r="15" spans="1:9" x14ac:dyDescent="0.3">
      <c r="A15" s="39"/>
      <c r="B15" s="45" t="s">
        <v>61</v>
      </c>
      <c r="C15" s="30" t="s">
        <v>62</v>
      </c>
      <c r="D15" s="34">
        <f>(17.2*2+17.2*4+17.2*3+86*5+51.6*2+17.2*3+68.8*3+68.8*2+86*10+86*1+94.6*1+94.6*1+94.6*1+94.6*2+17.2*6+17.2+17.2*2)/1000</f>
        <v>2.6573999999999991</v>
      </c>
      <c r="E15" s="28"/>
      <c r="F15" s="28">
        <v>35100</v>
      </c>
      <c r="G15" s="28">
        <f t="shared" si="0"/>
        <v>0</v>
      </c>
      <c r="H15" s="28">
        <f t="shared" si="1"/>
        <v>93274.739999999962</v>
      </c>
      <c r="I15" s="28">
        <f t="shared" si="2"/>
        <v>93274.739999999962</v>
      </c>
    </row>
    <row r="16" spans="1:9" x14ac:dyDescent="0.3">
      <c r="A16" s="39"/>
      <c r="B16" s="45" t="s">
        <v>65</v>
      </c>
      <c r="C16" s="30" t="s">
        <v>62</v>
      </c>
      <c r="D16" s="34">
        <f>(26*2+31.2*3+20.8*2+26*3+72.8*6+83.2+83.2*2+1.59*88*1.58+3.9*29*1.58+3.88*16*1.58)/1000</f>
        <v>1.4494580000000001</v>
      </c>
      <c r="E16" s="28"/>
      <c r="F16" s="28">
        <v>33500</v>
      </c>
      <c r="G16" s="28">
        <f t="shared" si="0"/>
        <v>0</v>
      </c>
      <c r="H16" s="28">
        <f t="shared" si="1"/>
        <v>48556.843000000008</v>
      </c>
      <c r="I16" s="28">
        <f t="shared" si="2"/>
        <v>48556.843000000008</v>
      </c>
    </row>
    <row r="17" spans="1:9" x14ac:dyDescent="0.3">
      <c r="A17" s="39"/>
      <c r="B17" s="45" t="s">
        <v>66</v>
      </c>
      <c r="C17" s="30" t="s">
        <v>62</v>
      </c>
      <c r="D17" s="34">
        <f>(1.7*2+1.62*4+2.14*3+2.66*5+1.4*2+1.42*2+1.78*3+2.14*3+2.14*2+2.6*10+2.6+3.12+3.12+3.12+3.12*2+5.32*6+6.22+6.22*2+1.43*376*0.888+0.235*144*0.888+175.82+1.43*12*0.888+1.08*2*0.888+0.19*2*0.888+347.74+3.475*463*0.888+105.14+3.455*116*0.888)/1000</f>
        <v>3.0843813999999998</v>
      </c>
      <c r="E17" s="28"/>
      <c r="F17" s="28">
        <v>34400</v>
      </c>
      <c r="G17" s="28">
        <f t="shared" si="0"/>
        <v>0</v>
      </c>
      <c r="H17" s="28">
        <f t="shared" si="1"/>
        <v>106102.72016</v>
      </c>
      <c r="I17" s="28">
        <f t="shared" si="2"/>
        <v>106102.72016</v>
      </c>
    </row>
    <row r="18" spans="1:9" x14ac:dyDescent="0.3">
      <c r="A18" s="39"/>
      <c r="B18" s="45" t="s">
        <v>67</v>
      </c>
      <c r="C18" s="30" t="s">
        <v>62</v>
      </c>
      <c r="D18" s="34">
        <f>(0.21*276*0.617+0.16*78*0.617)/1000</f>
        <v>4.3461479999999997E-2</v>
      </c>
      <c r="E18" s="28"/>
      <c r="F18" s="28">
        <v>35000</v>
      </c>
      <c r="G18" s="28">
        <f t="shared" si="0"/>
        <v>0</v>
      </c>
      <c r="H18" s="28">
        <f t="shared" si="1"/>
        <v>1521.1517999999999</v>
      </c>
      <c r="I18" s="28">
        <f t="shared" si="2"/>
        <v>1521.1517999999999</v>
      </c>
    </row>
    <row r="19" spans="1:9" x14ac:dyDescent="0.3">
      <c r="A19" s="39"/>
      <c r="B19" s="45" t="s">
        <v>68</v>
      </c>
      <c r="C19" s="30" t="s">
        <v>62</v>
      </c>
      <c r="D19" s="34">
        <f>(0.16*2+0.16*4)/1000</f>
        <v>9.5999999999999992E-4</v>
      </c>
      <c r="E19" s="28"/>
      <c r="F19" s="28">
        <v>39400</v>
      </c>
      <c r="G19" s="28">
        <f t="shared" si="0"/>
        <v>0</v>
      </c>
      <c r="H19" s="28">
        <f t="shared" si="1"/>
        <v>37.823999999999998</v>
      </c>
      <c r="I19" s="28">
        <f t="shared" si="2"/>
        <v>37.823999999999998</v>
      </c>
    </row>
    <row r="20" spans="1:9" x14ac:dyDescent="0.3">
      <c r="A20" s="39"/>
      <c r="B20" s="45" t="s">
        <v>69</v>
      </c>
      <c r="C20" s="30" t="s">
        <v>62</v>
      </c>
      <c r="D20" s="34">
        <f>(0.24*3+0.24*5+0.24*2+0.16*3+0.24*3+0.24*2+0.16*10+0.24+0.24+0.24+0.24+0.24*2+0.32*6+0.4+0.32*2)/1000</f>
        <v>1.0080000000000002E-2</v>
      </c>
      <c r="E20" s="28"/>
      <c r="F20" s="28">
        <v>40000</v>
      </c>
      <c r="G20" s="28">
        <f t="shared" si="0"/>
        <v>0</v>
      </c>
      <c r="H20" s="28">
        <f t="shared" si="1"/>
        <v>403.2000000000001</v>
      </c>
      <c r="I20" s="28">
        <f t="shared" si="2"/>
        <v>403.2000000000001</v>
      </c>
    </row>
    <row r="21" spans="1:9" x14ac:dyDescent="0.3">
      <c r="A21" s="23" t="s">
        <v>70</v>
      </c>
      <c r="B21" s="45" t="s">
        <v>71</v>
      </c>
      <c r="C21" s="30" t="s">
        <v>62</v>
      </c>
      <c r="D21" s="34">
        <f>D10*0.02</f>
        <v>1.4477968176000002</v>
      </c>
      <c r="E21" s="28"/>
      <c r="F21" s="28">
        <v>53104</v>
      </c>
      <c r="G21" s="28">
        <f t="shared" si="0"/>
        <v>0</v>
      </c>
      <c r="H21" s="28">
        <f t="shared" si="1"/>
        <v>76883.802201830418</v>
      </c>
      <c r="I21" s="28">
        <f t="shared" si="2"/>
        <v>76883.802201830418</v>
      </c>
    </row>
    <row r="22" spans="1:9" s="22" customFormat="1" ht="28.8" x14ac:dyDescent="0.3">
      <c r="A22" s="39" t="s">
        <v>72</v>
      </c>
      <c r="B22" s="41" t="s">
        <v>73</v>
      </c>
      <c r="C22" s="48" t="s">
        <v>74</v>
      </c>
      <c r="D22" s="43">
        <v>528</v>
      </c>
      <c r="E22" s="44">
        <v>60</v>
      </c>
      <c r="F22" s="44"/>
      <c r="G22" s="44">
        <f t="shared" si="0"/>
        <v>31680</v>
      </c>
      <c r="H22" s="44">
        <f t="shared" si="1"/>
        <v>0</v>
      </c>
      <c r="I22" s="44">
        <f t="shared" si="2"/>
        <v>31680</v>
      </c>
    </row>
    <row r="23" spans="1:9" x14ac:dyDescent="0.3">
      <c r="A23" s="23" t="s">
        <v>75</v>
      </c>
      <c r="B23" s="29" t="s">
        <v>76</v>
      </c>
      <c r="C23" s="30" t="s">
        <v>74</v>
      </c>
      <c r="D23" s="34">
        <v>1203.8399999999999</v>
      </c>
      <c r="E23" s="28"/>
      <c r="F23" s="28">
        <v>209.96</v>
      </c>
      <c r="G23" s="28">
        <f t="shared" si="0"/>
        <v>0</v>
      </c>
      <c r="H23" s="28">
        <f t="shared" si="1"/>
        <v>252758.2464</v>
      </c>
      <c r="I23" s="28">
        <f t="shared" si="2"/>
        <v>252758.2464</v>
      </c>
    </row>
    <row r="24" spans="1:9" x14ac:dyDescent="0.3">
      <c r="A24" s="23" t="s">
        <v>77</v>
      </c>
      <c r="B24" s="29" t="s">
        <v>78</v>
      </c>
      <c r="C24" s="30" t="s">
        <v>79</v>
      </c>
      <c r="D24" s="34">
        <f>184.8*1.25</f>
        <v>231</v>
      </c>
      <c r="E24" s="28"/>
      <c r="F24" s="28">
        <v>108.33</v>
      </c>
      <c r="G24" s="28">
        <f t="shared" si="0"/>
        <v>0</v>
      </c>
      <c r="H24" s="28">
        <f t="shared" si="1"/>
        <v>25024.23</v>
      </c>
      <c r="I24" s="28">
        <f t="shared" si="2"/>
        <v>25024.23</v>
      </c>
    </row>
    <row r="25" spans="1:9" s="22" customFormat="1" x14ac:dyDescent="0.3">
      <c r="A25" s="39" t="s">
        <v>80</v>
      </c>
      <c r="B25" s="41" t="s">
        <v>81</v>
      </c>
      <c r="C25" s="42" t="s">
        <v>82</v>
      </c>
      <c r="D25" s="43">
        <v>159.69999999999999</v>
      </c>
      <c r="E25" s="44">
        <v>150</v>
      </c>
      <c r="F25" s="44"/>
      <c r="G25" s="44">
        <f t="shared" si="0"/>
        <v>23955</v>
      </c>
      <c r="H25" s="44">
        <f t="shared" si="1"/>
        <v>0</v>
      </c>
      <c r="I25" s="44">
        <f t="shared" si="2"/>
        <v>23955</v>
      </c>
    </row>
    <row r="26" spans="1:9" x14ac:dyDescent="0.3">
      <c r="A26" s="23" t="s">
        <v>83</v>
      </c>
      <c r="B26" s="29" t="s">
        <v>84</v>
      </c>
      <c r="C26" s="30" t="s">
        <v>82</v>
      </c>
      <c r="D26" s="34">
        <f>159.7*1.04</f>
        <v>166.08799999999999</v>
      </c>
      <c r="E26" s="28"/>
      <c r="F26" s="28">
        <v>321</v>
      </c>
      <c r="G26" s="28">
        <f t="shared" si="0"/>
        <v>0</v>
      </c>
      <c r="H26" s="28">
        <f t="shared" si="1"/>
        <v>53314.248</v>
      </c>
      <c r="I26" s="28">
        <f t="shared" si="2"/>
        <v>53314.248</v>
      </c>
    </row>
    <row r="27" spans="1:9" ht="31.3" x14ac:dyDescent="0.3">
      <c r="A27" s="23" t="s">
        <v>85</v>
      </c>
      <c r="B27" s="49" t="s">
        <v>86</v>
      </c>
      <c r="C27" s="50" t="s">
        <v>44</v>
      </c>
      <c r="D27" s="50">
        <v>160</v>
      </c>
      <c r="E27" s="28"/>
      <c r="F27" s="28">
        <v>47</v>
      </c>
      <c r="G27" s="28">
        <f>D27*E27</f>
        <v>0</v>
      </c>
      <c r="H27" s="28">
        <f>D27*F27</f>
        <v>7520</v>
      </c>
      <c r="I27" s="28">
        <f>G27+H27</f>
        <v>7520</v>
      </c>
    </row>
    <row r="28" spans="1:9" x14ac:dyDescent="0.3">
      <c r="A28" s="23" t="s">
        <v>87</v>
      </c>
      <c r="B28" s="29" t="s">
        <v>88</v>
      </c>
      <c r="C28" s="30" t="s">
        <v>79</v>
      </c>
      <c r="D28" s="34">
        <v>57.491999999999997</v>
      </c>
      <c r="E28" s="28"/>
      <c r="F28" s="28">
        <v>56</v>
      </c>
      <c r="G28" s="28">
        <f t="shared" si="0"/>
        <v>0</v>
      </c>
      <c r="H28" s="28">
        <f t="shared" si="1"/>
        <v>3219.5519999999997</v>
      </c>
      <c r="I28" s="28">
        <f t="shared" si="2"/>
        <v>3219.5519999999997</v>
      </c>
    </row>
    <row r="29" spans="1:9" hidden="1" x14ac:dyDescent="0.3">
      <c r="A29" s="23" t="s">
        <v>87</v>
      </c>
      <c r="B29" s="29" t="s">
        <v>89</v>
      </c>
      <c r="C29" s="30" t="s">
        <v>74</v>
      </c>
      <c r="D29" s="34">
        <v>36.42</v>
      </c>
      <c r="E29" s="28"/>
      <c r="F29" s="28"/>
      <c r="G29" s="28">
        <f t="shared" si="0"/>
        <v>0</v>
      </c>
      <c r="H29" s="28">
        <f t="shared" si="1"/>
        <v>0</v>
      </c>
      <c r="I29" s="28">
        <f t="shared" si="2"/>
        <v>0</v>
      </c>
    </row>
    <row r="30" spans="1:9" s="22" customFormat="1" ht="15.65" x14ac:dyDescent="0.3">
      <c r="A30" s="39" t="s">
        <v>90</v>
      </c>
      <c r="B30" s="51" t="s">
        <v>91</v>
      </c>
      <c r="C30" s="42" t="s">
        <v>34</v>
      </c>
      <c r="D30" s="43">
        <v>57.8</v>
      </c>
      <c r="E30" s="44">
        <v>2900</v>
      </c>
      <c r="F30" s="44"/>
      <c r="G30" s="44">
        <f t="shared" si="0"/>
        <v>167620</v>
      </c>
      <c r="H30" s="44">
        <f t="shared" si="1"/>
        <v>0</v>
      </c>
      <c r="I30" s="44">
        <f t="shared" si="2"/>
        <v>167620</v>
      </c>
    </row>
    <row r="31" spans="1:9" x14ac:dyDescent="0.3">
      <c r="A31" s="23" t="s">
        <v>92</v>
      </c>
      <c r="B31" s="29" t="s">
        <v>93</v>
      </c>
      <c r="C31" s="30" t="s">
        <v>34</v>
      </c>
      <c r="D31" s="34">
        <f>D30*1.05</f>
        <v>60.69</v>
      </c>
      <c r="E31" s="28"/>
      <c r="F31" s="28">
        <v>5450</v>
      </c>
      <c r="G31" s="28">
        <f t="shared" si="0"/>
        <v>0</v>
      </c>
      <c r="H31" s="28">
        <f t="shared" si="1"/>
        <v>330760.5</v>
      </c>
      <c r="I31" s="28">
        <f t="shared" si="2"/>
        <v>330760.5</v>
      </c>
    </row>
    <row r="32" spans="1:9" x14ac:dyDescent="0.3">
      <c r="A32" s="23" t="s">
        <v>94</v>
      </c>
      <c r="B32" s="31" t="s">
        <v>95</v>
      </c>
      <c r="C32" s="32" t="s">
        <v>96</v>
      </c>
      <c r="D32" s="34">
        <v>2</v>
      </c>
      <c r="E32" s="28"/>
      <c r="F32" s="28">
        <v>44700</v>
      </c>
      <c r="G32" s="28">
        <f t="shared" si="0"/>
        <v>0</v>
      </c>
      <c r="H32" s="28">
        <f t="shared" si="1"/>
        <v>89400</v>
      </c>
      <c r="I32" s="28">
        <f t="shared" si="2"/>
        <v>89400</v>
      </c>
    </row>
    <row r="33" spans="1:9" x14ac:dyDescent="0.3">
      <c r="A33" s="23" t="s">
        <v>97</v>
      </c>
      <c r="B33" s="29" t="s">
        <v>60</v>
      </c>
      <c r="C33" s="30" t="s">
        <v>62</v>
      </c>
      <c r="D33" s="34">
        <f>SUM(D34:D37)</f>
        <v>10.179207999999999</v>
      </c>
      <c r="E33" s="28"/>
      <c r="F33" s="28"/>
      <c r="G33" s="28">
        <f t="shared" si="0"/>
        <v>0</v>
      </c>
      <c r="H33" s="28">
        <f t="shared" si="1"/>
        <v>0</v>
      </c>
      <c r="I33" s="28">
        <f t="shared" si="2"/>
        <v>0</v>
      </c>
    </row>
    <row r="34" spans="1:9" x14ac:dyDescent="0.3">
      <c r="A34" s="39"/>
      <c r="B34" s="31" t="s">
        <v>98</v>
      </c>
      <c r="C34" s="32" t="s">
        <v>62</v>
      </c>
      <c r="D34" s="52">
        <f>2259.6/1000*1.04</f>
        <v>2.3499840000000001</v>
      </c>
      <c r="E34" s="28"/>
      <c r="F34" s="53">
        <v>33500</v>
      </c>
      <c r="G34" s="28">
        <f t="shared" si="0"/>
        <v>0</v>
      </c>
      <c r="H34" s="28">
        <f t="shared" si="1"/>
        <v>78724.464000000007</v>
      </c>
      <c r="I34" s="28">
        <f t="shared" si="2"/>
        <v>78724.464000000007</v>
      </c>
    </row>
    <row r="35" spans="1:9" x14ac:dyDescent="0.3">
      <c r="A35" s="39"/>
      <c r="B35" s="31" t="s">
        <v>99</v>
      </c>
      <c r="C35" s="32" t="s">
        <v>62</v>
      </c>
      <c r="D35" s="54">
        <f>6941.1/1000*1.04</f>
        <v>7.2187440000000009</v>
      </c>
      <c r="E35" s="28"/>
      <c r="F35" s="53">
        <v>34400</v>
      </c>
      <c r="G35" s="28">
        <f t="shared" si="0"/>
        <v>0</v>
      </c>
      <c r="H35" s="28">
        <f t="shared" si="1"/>
        <v>248324.79360000003</v>
      </c>
      <c r="I35" s="28">
        <f t="shared" si="2"/>
        <v>248324.79360000003</v>
      </c>
    </row>
    <row r="36" spans="1:9" x14ac:dyDescent="0.3">
      <c r="A36" s="39"/>
      <c r="B36" s="31" t="s">
        <v>100</v>
      </c>
      <c r="C36" s="32" t="s">
        <v>62</v>
      </c>
      <c r="D36" s="52">
        <f>236.2/1000*1.04</f>
        <v>0.24564800000000001</v>
      </c>
      <c r="E36" s="28"/>
      <c r="F36" s="53">
        <v>39400</v>
      </c>
      <c r="G36" s="28">
        <f t="shared" si="0"/>
        <v>0</v>
      </c>
      <c r="H36" s="28">
        <f t="shared" si="1"/>
        <v>9678.5311999999994</v>
      </c>
      <c r="I36" s="28">
        <f t="shared" si="2"/>
        <v>9678.5311999999994</v>
      </c>
    </row>
    <row r="37" spans="1:9" x14ac:dyDescent="0.3">
      <c r="A37" s="39"/>
      <c r="B37" s="31" t="s">
        <v>101</v>
      </c>
      <c r="C37" s="32" t="s">
        <v>62</v>
      </c>
      <c r="D37" s="54">
        <f>350.8/1000*1.04</f>
        <v>0.36483199999999999</v>
      </c>
      <c r="E37" s="28"/>
      <c r="F37" s="53">
        <v>40000</v>
      </c>
      <c r="G37" s="28">
        <f t="shared" si="0"/>
        <v>0</v>
      </c>
      <c r="H37" s="28">
        <f t="shared" si="1"/>
        <v>14593.279999999999</v>
      </c>
      <c r="I37" s="28">
        <f t="shared" si="2"/>
        <v>14593.279999999999</v>
      </c>
    </row>
    <row r="38" spans="1:9" x14ac:dyDescent="0.3">
      <c r="A38" s="23" t="s">
        <v>102</v>
      </c>
      <c r="B38" s="45" t="s">
        <v>71</v>
      </c>
      <c r="C38" s="30" t="s">
        <v>62</v>
      </c>
      <c r="D38" s="34">
        <f>0.02*D33</f>
        <v>0.20358415999999999</v>
      </c>
      <c r="E38" s="28"/>
      <c r="F38" s="28">
        <v>53104</v>
      </c>
      <c r="G38" s="28">
        <f t="shared" si="0"/>
        <v>0</v>
      </c>
      <c r="H38" s="28">
        <f t="shared" si="1"/>
        <v>10811.133232639999</v>
      </c>
      <c r="I38" s="28">
        <f t="shared" si="2"/>
        <v>10811.133232639999</v>
      </c>
    </row>
    <row r="39" spans="1:9" s="22" customFormat="1" x14ac:dyDescent="0.3">
      <c r="A39" s="39" t="s">
        <v>103</v>
      </c>
      <c r="B39" s="41" t="s">
        <v>104</v>
      </c>
      <c r="C39" s="48" t="s">
        <v>74</v>
      </c>
      <c r="D39" s="43">
        <f>600.8/2/2.4*2</f>
        <v>250.33333333333331</v>
      </c>
      <c r="E39" s="44">
        <v>200</v>
      </c>
      <c r="F39" s="44"/>
      <c r="G39" s="44">
        <f t="shared" si="0"/>
        <v>50066.666666666664</v>
      </c>
      <c r="H39" s="44">
        <f t="shared" si="1"/>
        <v>0</v>
      </c>
      <c r="I39" s="44">
        <f t="shared" si="2"/>
        <v>50066.666666666664</v>
      </c>
    </row>
    <row r="40" spans="1:9" x14ac:dyDescent="0.3">
      <c r="A40" s="39"/>
      <c r="B40" s="45" t="s">
        <v>105</v>
      </c>
      <c r="C40" s="55" t="s">
        <v>34</v>
      </c>
      <c r="D40" s="34">
        <f>D39*0.1*1.03</f>
        <v>25.784333333333333</v>
      </c>
      <c r="E40" s="28"/>
      <c r="F40" s="28">
        <v>4700</v>
      </c>
      <c r="G40" s="28">
        <f t="shared" si="0"/>
        <v>0</v>
      </c>
      <c r="H40" s="28">
        <f t="shared" si="1"/>
        <v>121186.36666666667</v>
      </c>
      <c r="I40" s="28">
        <f t="shared" si="2"/>
        <v>121186.36666666667</v>
      </c>
    </row>
    <row r="41" spans="1:9" x14ac:dyDescent="0.3">
      <c r="A41" s="56"/>
      <c r="B41" s="45" t="s">
        <v>106</v>
      </c>
      <c r="C41" s="55" t="s">
        <v>44</v>
      </c>
      <c r="D41" s="33">
        <v>60</v>
      </c>
      <c r="E41" s="28"/>
      <c r="F41" s="28">
        <v>305</v>
      </c>
      <c r="G41" s="28">
        <f t="shared" si="0"/>
        <v>0</v>
      </c>
      <c r="H41" s="28">
        <f t="shared" si="1"/>
        <v>18300</v>
      </c>
      <c r="I41" s="28">
        <f t="shared" si="2"/>
        <v>18300</v>
      </c>
    </row>
    <row r="42" spans="1:9" s="22" customFormat="1" ht="28.8" x14ac:dyDescent="0.3">
      <c r="A42" s="57" t="s">
        <v>107</v>
      </c>
      <c r="B42" s="41" t="s">
        <v>108</v>
      </c>
      <c r="C42" s="48" t="s">
        <v>34</v>
      </c>
      <c r="D42" s="58">
        <f>1.99*8.22</f>
        <v>16.357800000000001</v>
      </c>
      <c r="E42" s="44">
        <v>2700</v>
      </c>
      <c r="F42" s="44"/>
      <c r="G42" s="44">
        <f t="shared" si="0"/>
        <v>44166.060000000005</v>
      </c>
      <c r="H42" s="44">
        <f t="shared" si="1"/>
        <v>0</v>
      </c>
      <c r="I42" s="44">
        <f t="shared" si="2"/>
        <v>44166.060000000005</v>
      </c>
    </row>
    <row r="43" spans="1:9" ht="15.65" x14ac:dyDescent="0.3">
      <c r="A43" s="59" t="s">
        <v>109</v>
      </c>
      <c r="B43" s="31" t="s">
        <v>110</v>
      </c>
      <c r="C43" s="32" t="s">
        <v>34</v>
      </c>
      <c r="D43" s="33">
        <f>(1.99+8.22)*1.05</f>
        <v>10.720500000000001</v>
      </c>
      <c r="E43" s="28"/>
      <c r="F43" s="28">
        <v>5450</v>
      </c>
      <c r="G43" s="28">
        <f t="shared" si="0"/>
        <v>0</v>
      </c>
      <c r="H43" s="28">
        <f t="shared" si="1"/>
        <v>58426.725000000006</v>
      </c>
      <c r="I43" s="28">
        <f t="shared" si="2"/>
        <v>58426.725000000006</v>
      </c>
    </row>
    <row r="44" spans="1:9" ht="15.65" x14ac:dyDescent="0.3">
      <c r="A44" s="59" t="s">
        <v>111</v>
      </c>
      <c r="B44" s="60" t="s">
        <v>60</v>
      </c>
      <c r="C44" s="32" t="s">
        <v>62</v>
      </c>
      <c r="D44" s="58">
        <f>SUM(D45:D51)</f>
        <v>1.1264279103999999</v>
      </c>
      <c r="E44" s="28"/>
      <c r="F44" s="28"/>
      <c r="G44" s="28">
        <f t="shared" si="0"/>
        <v>0</v>
      </c>
      <c r="H44" s="28">
        <f t="shared" si="1"/>
        <v>0</v>
      </c>
      <c r="I44" s="28">
        <f t="shared" si="2"/>
        <v>0</v>
      </c>
    </row>
    <row r="45" spans="1:9" ht="15.65" x14ac:dyDescent="0.3">
      <c r="A45" s="59"/>
      <c r="B45" s="31" t="s">
        <v>112</v>
      </c>
      <c r="C45" s="32" t="s">
        <v>62</v>
      </c>
      <c r="D45" s="54">
        <f>3.03*40*1.58/1000*1.04</f>
        <v>0.19915583999999997</v>
      </c>
      <c r="E45" s="28"/>
      <c r="F45" s="28">
        <v>33500</v>
      </c>
      <c r="G45" s="28">
        <f t="shared" si="0"/>
        <v>0</v>
      </c>
      <c r="H45" s="28">
        <f t="shared" si="1"/>
        <v>6671.7206399999986</v>
      </c>
      <c r="I45" s="28">
        <f t="shared" si="2"/>
        <v>6671.7206399999986</v>
      </c>
    </row>
    <row r="46" spans="1:9" ht="15.65" x14ac:dyDescent="0.3">
      <c r="A46" s="59"/>
      <c r="B46" s="31" t="s">
        <v>99</v>
      </c>
      <c r="C46" s="32" t="s">
        <v>62</v>
      </c>
      <c r="D46" s="54">
        <f>(2.87*126+2.37*20)*0.888/1000*1.04</f>
        <v>0.37773815039999997</v>
      </c>
      <c r="E46" s="28"/>
      <c r="F46" s="28">
        <v>34400</v>
      </c>
      <c r="G46" s="28">
        <f t="shared" si="0"/>
        <v>0</v>
      </c>
      <c r="H46" s="28">
        <f t="shared" si="1"/>
        <v>12994.192373759999</v>
      </c>
      <c r="I46" s="28">
        <f t="shared" si="2"/>
        <v>12994.192373759999</v>
      </c>
    </row>
    <row r="47" spans="1:9" ht="15.65" x14ac:dyDescent="0.3">
      <c r="A47" s="59"/>
      <c r="B47" s="31" t="s">
        <v>100</v>
      </c>
      <c r="C47" s="32" t="s">
        <v>62</v>
      </c>
      <c r="D47" s="54">
        <f>(5.17*48+2.57*72+1.02*120+0.17*12*4+0.15*4*4+0.15*4*4)*0.395/1000*1.04</f>
        <v>0.23356444800000001</v>
      </c>
      <c r="E47" s="28"/>
      <c r="F47" s="28">
        <v>39400</v>
      </c>
      <c r="G47" s="28">
        <f t="shared" si="0"/>
        <v>0</v>
      </c>
      <c r="H47" s="28">
        <f t="shared" si="1"/>
        <v>9202.4392511999995</v>
      </c>
      <c r="I47" s="28">
        <f t="shared" si="2"/>
        <v>9202.4392511999995</v>
      </c>
    </row>
    <row r="48" spans="1:9" ht="15.65" x14ac:dyDescent="0.3">
      <c r="A48" s="59"/>
      <c r="B48" s="31" t="s">
        <v>101</v>
      </c>
      <c r="C48" s="32" t="s">
        <v>62</v>
      </c>
      <c r="D48" s="54">
        <f>(0.935*32+0.34*284)*0.395/1000*1.04</f>
        <v>5.1957983999999999E-2</v>
      </c>
      <c r="E48" s="28"/>
      <c r="F48" s="28">
        <v>40000</v>
      </c>
      <c r="G48" s="28">
        <f t="shared" si="0"/>
        <v>0</v>
      </c>
      <c r="H48" s="28">
        <f t="shared" si="1"/>
        <v>2078.31936</v>
      </c>
      <c r="I48" s="28">
        <f t="shared" si="2"/>
        <v>2078.31936</v>
      </c>
    </row>
    <row r="49" spans="1:9" ht="15.65" x14ac:dyDescent="0.3">
      <c r="A49" s="59"/>
      <c r="B49" s="31" t="s">
        <v>113</v>
      </c>
      <c r="C49" s="32" t="s">
        <v>62</v>
      </c>
      <c r="D49" s="54">
        <f>(2.23*44+2.13*48+1.105*44+1.085*48)*0.62/1000*1.04</f>
        <v>0.19412348800000001</v>
      </c>
      <c r="E49" s="28"/>
      <c r="F49" s="28">
        <v>35000</v>
      </c>
      <c r="G49" s="28">
        <f t="shared" si="0"/>
        <v>0</v>
      </c>
      <c r="H49" s="28">
        <f t="shared" si="1"/>
        <v>6794.3220800000008</v>
      </c>
      <c r="I49" s="28">
        <f t="shared" si="2"/>
        <v>6794.3220800000008</v>
      </c>
    </row>
    <row r="50" spans="1:9" ht="15.65" x14ac:dyDescent="0.3">
      <c r="A50" s="59"/>
      <c r="B50" s="31" t="s">
        <v>114</v>
      </c>
      <c r="C50" s="32" t="s">
        <v>62</v>
      </c>
      <c r="D50" s="61">
        <f>14.4*1.04/1000</f>
        <v>1.4976000000000001E-2</v>
      </c>
      <c r="E50" s="28"/>
      <c r="F50" s="28">
        <v>46300</v>
      </c>
      <c r="G50" s="28">
        <f t="shared" si="0"/>
        <v>0</v>
      </c>
      <c r="H50" s="28">
        <f t="shared" si="1"/>
        <v>693.38880000000006</v>
      </c>
      <c r="I50" s="28">
        <f t="shared" si="2"/>
        <v>693.38880000000006</v>
      </c>
    </row>
    <row r="51" spans="1:9" ht="15.65" x14ac:dyDescent="0.3">
      <c r="A51" s="59"/>
      <c r="B51" s="31" t="s">
        <v>115</v>
      </c>
      <c r="C51" s="32" t="s">
        <v>62</v>
      </c>
      <c r="D51" s="61">
        <f>52.8*1.04/1000</f>
        <v>5.4912000000000002E-2</v>
      </c>
      <c r="E51" s="28"/>
      <c r="F51" s="28">
        <v>46300</v>
      </c>
      <c r="G51" s="28">
        <f t="shared" si="0"/>
        <v>0</v>
      </c>
      <c r="H51" s="28">
        <f t="shared" si="1"/>
        <v>2542.4256</v>
      </c>
      <c r="I51" s="28">
        <f t="shared" si="2"/>
        <v>2542.4256</v>
      </c>
    </row>
    <row r="52" spans="1:9" ht="15.65" x14ac:dyDescent="0.3">
      <c r="A52" s="59" t="s">
        <v>116</v>
      </c>
      <c r="B52" s="45" t="s">
        <v>71</v>
      </c>
      <c r="C52" s="30" t="s">
        <v>62</v>
      </c>
      <c r="D52" s="34">
        <f>0.02*D44</f>
        <v>2.2528558208E-2</v>
      </c>
      <c r="E52" s="28"/>
      <c r="F52" s="28">
        <v>53104</v>
      </c>
      <c r="G52" s="28">
        <f t="shared" si="0"/>
        <v>0</v>
      </c>
      <c r="H52" s="28">
        <f t="shared" si="1"/>
        <v>1196.356555077632</v>
      </c>
      <c r="I52" s="28">
        <f t="shared" si="2"/>
        <v>1196.356555077632</v>
      </c>
    </row>
    <row r="53" spans="1:9" s="22" customFormat="1" ht="28.8" x14ac:dyDescent="0.3">
      <c r="A53" s="62" t="s">
        <v>117</v>
      </c>
      <c r="B53" s="63" t="s">
        <v>118</v>
      </c>
      <c r="C53" s="42" t="s">
        <v>34</v>
      </c>
      <c r="D53" s="58">
        <v>5.62</v>
      </c>
      <c r="E53" s="44">
        <v>2700</v>
      </c>
      <c r="F53" s="44"/>
      <c r="G53" s="44">
        <f t="shared" si="0"/>
        <v>15174</v>
      </c>
      <c r="H53" s="44">
        <f t="shared" si="1"/>
        <v>0</v>
      </c>
      <c r="I53" s="44">
        <f t="shared" si="2"/>
        <v>15174</v>
      </c>
    </row>
    <row r="54" spans="1:9" ht="15.65" x14ac:dyDescent="0.3">
      <c r="A54" s="59" t="s">
        <v>119</v>
      </c>
      <c r="B54" s="31" t="s">
        <v>110</v>
      </c>
      <c r="C54" s="32" t="s">
        <v>34</v>
      </c>
      <c r="D54" s="64">
        <f>(0.93+4.69)*1.05</f>
        <v>5.9010000000000007</v>
      </c>
      <c r="E54" s="28"/>
      <c r="F54" s="28">
        <v>5450</v>
      </c>
      <c r="G54" s="28">
        <f t="shared" si="0"/>
        <v>0</v>
      </c>
      <c r="H54" s="28">
        <f t="shared" si="1"/>
        <v>32160.450000000004</v>
      </c>
      <c r="I54" s="28">
        <f t="shared" si="2"/>
        <v>32160.450000000004</v>
      </c>
    </row>
    <row r="55" spans="1:9" ht="15.65" x14ac:dyDescent="0.3">
      <c r="A55" s="59" t="s">
        <v>120</v>
      </c>
      <c r="B55" s="31" t="s">
        <v>60</v>
      </c>
      <c r="C55" s="32" t="s">
        <v>62</v>
      </c>
      <c r="D55" s="33">
        <f>SUM(D56:D62)</f>
        <v>0.63229695360000016</v>
      </c>
      <c r="E55" s="28"/>
      <c r="F55" s="28"/>
      <c r="G55" s="28">
        <f t="shared" si="0"/>
        <v>0</v>
      </c>
      <c r="H55" s="28">
        <f t="shared" si="1"/>
        <v>0</v>
      </c>
      <c r="I55" s="28">
        <f t="shared" si="2"/>
        <v>0</v>
      </c>
    </row>
    <row r="56" spans="1:9" ht="15.65" x14ac:dyDescent="0.3">
      <c r="A56" s="59"/>
      <c r="B56" s="31" t="s">
        <v>112</v>
      </c>
      <c r="C56" s="32" t="s">
        <v>62</v>
      </c>
      <c r="D56" s="54">
        <f>3.03*24*1.58/1000*1.04</f>
        <v>0.119493504</v>
      </c>
      <c r="E56" s="28"/>
      <c r="F56" s="28">
        <v>33500</v>
      </c>
      <c r="G56" s="28">
        <f t="shared" si="0"/>
        <v>0</v>
      </c>
      <c r="H56" s="28">
        <f t="shared" si="1"/>
        <v>4003.0323840000001</v>
      </c>
      <c r="I56" s="28">
        <f t="shared" si="2"/>
        <v>4003.0323840000001</v>
      </c>
    </row>
    <row r="57" spans="1:9" ht="15.65" x14ac:dyDescent="0.3">
      <c r="A57" s="59"/>
      <c r="B57" s="31" t="s">
        <v>99</v>
      </c>
      <c r="C57" s="32" t="s">
        <v>62</v>
      </c>
      <c r="D57" s="54">
        <f>(2.87*70+2.37*14)*0.888/1000*1.04</f>
        <v>0.21617756160000001</v>
      </c>
      <c r="E57" s="28"/>
      <c r="F57" s="28">
        <v>34400</v>
      </c>
      <c r="G57" s="28">
        <f t="shared" si="0"/>
        <v>0</v>
      </c>
      <c r="H57" s="28">
        <f t="shared" si="1"/>
        <v>7436.5081190400006</v>
      </c>
      <c r="I57" s="28">
        <f t="shared" si="2"/>
        <v>7436.5081190400006</v>
      </c>
    </row>
    <row r="58" spans="1:9" ht="15.65" x14ac:dyDescent="0.3">
      <c r="A58" s="59"/>
      <c r="B58" s="31" t="s">
        <v>100</v>
      </c>
      <c r="C58" s="32" t="s">
        <v>62</v>
      </c>
      <c r="D58" s="54">
        <f>(3.07*48+2.12*48+1.02*96+0.17*12*2+0.15*4*2+0.15*4*2)*0.395/1000*1.04</f>
        <v>0.14522601600000001</v>
      </c>
      <c r="E58" s="28"/>
      <c r="F58" s="28">
        <v>39400</v>
      </c>
      <c r="G58" s="28">
        <f t="shared" si="0"/>
        <v>0</v>
      </c>
      <c r="H58" s="28">
        <f t="shared" si="1"/>
        <v>5721.9050304000002</v>
      </c>
      <c r="I58" s="28">
        <f t="shared" si="2"/>
        <v>5721.9050304000002</v>
      </c>
    </row>
    <row r="59" spans="1:9" ht="15.65" x14ac:dyDescent="0.3">
      <c r="A59" s="59"/>
      <c r="B59" s="31" t="s">
        <v>101</v>
      </c>
      <c r="C59" s="32" t="s">
        <v>62</v>
      </c>
      <c r="D59" s="54">
        <f>0.34*166*0.395/1000*1.04</f>
        <v>2.3185552000000009E-2</v>
      </c>
      <c r="E59" s="28"/>
      <c r="F59" s="28">
        <v>40000</v>
      </c>
      <c r="G59" s="28">
        <f t="shared" si="0"/>
        <v>0</v>
      </c>
      <c r="H59" s="28">
        <f t="shared" si="1"/>
        <v>927.42208000000039</v>
      </c>
      <c r="I59" s="28">
        <f t="shared" si="2"/>
        <v>927.42208000000039</v>
      </c>
    </row>
    <row r="60" spans="1:9" ht="15.65" x14ac:dyDescent="0.3">
      <c r="A60" s="59"/>
      <c r="B60" s="31" t="s">
        <v>113</v>
      </c>
      <c r="C60" s="32" t="s">
        <v>62</v>
      </c>
      <c r="D60" s="54">
        <f>(2.63*18+1.68*28+1.105*18+1.085*28)*0.62/1000*1.04</f>
        <v>9.3270320000000018E-2</v>
      </c>
      <c r="E60" s="28"/>
      <c r="F60" s="28">
        <v>35000</v>
      </c>
      <c r="G60" s="28">
        <f t="shared" si="0"/>
        <v>0</v>
      </c>
      <c r="H60" s="28">
        <f t="shared" si="1"/>
        <v>3264.4612000000006</v>
      </c>
      <c r="I60" s="28">
        <f t="shared" si="2"/>
        <v>3264.4612000000006</v>
      </c>
    </row>
    <row r="61" spans="1:9" ht="15.65" x14ac:dyDescent="0.3">
      <c r="A61" s="59"/>
      <c r="B61" s="31" t="s">
        <v>114</v>
      </c>
      <c r="C61" s="32" t="s">
        <v>62</v>
      </c>
      <c r="D61" s="61">
        <f>14.4/2*1.04/1000</f>
        <v>7.4880000000000007E-3</v>
      </c>
      <c r="E61" s="28"/>
      <c r="F61" s="28">
        <v>46300</v>
      </c>
      <c r="G61" s="28">
        <f t="shared" si="0"/>
        <v>0</v>
      </c>
      <c r="H61" s="28">
        <f t="shared" si="1"/>
        <v>346.69440000000003</v>
      </c>
      <c r="I61" s="28">
        <f t="shared" si="2"/>
        <v>346.69440000000003</v>
      </c>
    </row>
    <row r="62" spans="1:9" ht="15.65" x14ac:dyDescent="0.3">
      <c r="A62" s="59"/>
      <c r="B62" s="31" t="s">
        <v>115</v>
      </c>
      <c r="C62" s="32" t="s">
        <v>62</v>
      </c>
      <c r="D62" s="61">
        <f>52.8/2*1.04/1000</f>
        <v>2.7456000000000001E-2</v>
      </c>
      <c r="E62" s="28"/>
      <c r="F62" s="28">
        <v>46300</v>
      </c>
      <c r="G62" s="28">
        <f t="shared" si="0"/>
        <v>0</v>
      </c>
      <c r="H62" s="28">
        <f t="shared" si="1"/>
        <v>1271.2128</v>
      </c>
      <c r="I62" s="28">
        <f t="shared" si="2"/>
        <v>1271.2128</v>
      </c>
    </row>
    <row r="63" spans="1:9" ht="15.65" x14ac:dyDescent="0.3">
      <c r="A63" s="59" t="s">
        <v>121</v>
      </c>
      <c r="B63" s="45" t="s">
        <v>71</v>
      </c>
      <c r="C63" s="30" t="s">
        <v>62</v>
      </c>
      <c r="D63" s="34">
        <f>0.02*D55</f>
        <v>1.2645939072000003E-2</v>
      </c>
      <c r="E63" s="28"/>
      <c r="F63" s="28">
        <v>53104</v>
      </c>
      <c r="G63" s="28">
        <f t="shared" si="0"/>
        <v>0</v>
      </c>
      <c r="H63" s="28">
        <f t="shared" si="1"/>
        <v>671.54994847948819</v>
      </c>
      <c r="I63" s="28">
        <f t="shared" si="2"/>
        <v>671.54994847948819</v>
      </c>
    </row>
    <row r="64" spans="1:9" s="22" customFormat="1" ht="28.8" x14ac:dyDescent="0.3">
      <c r="A64" s="62" t="s">
        <v>122</v>
      </c>
      <c r="B64" s="65" t="s">
        <v>123</v>
      </c>
      <c r="C64" s="66" t="s">
        <v>34</v>
      </c>
      <c r="D64" s="58">
        <v>7.78</v>
      </c>
      <c r="E64" s="44">
        <v>2700</v>
      </c>
      <c r="F64" s="44"/>
      <c r="G64" s="44">
        <f t="shared" si="0"/>
        <v>21006</v>
      </c>
      <c r="H64" s="44">
        <f t="shared" si="1"/>
        <v>0</v>
      </c>
      <c r="I64" s="44">
        <f t="shared" si="2"/>
        <v>21006</v>
      </c>
    </row>
    <row r="65" spans="1:9" ht="15.65" x14ac:dyDescent="0.3">
      <c r="A65" s="59" t="s">
        <v>124</v>
      </c>
      <c r="B65" s="31" t="s">
        <v>110</v>
      </c>
      <c r="C65" s="32" t="s">
        <v>34</v>
      </c>
      <c r="D65" s="33">
        <f>7.78*1.05</f>
        <v>8.1690000000000005</v>
      </c>
      <c r="E65" s="28"/>
      <c r="F65" s="28">
        <v>5450</v>
      </c>
      <c r="G65" s="28">
        <f t="shared" si="0"/>
        <v>0</v>
      </c>
      <c r="H65" s="28">
        <f t="shared" si="1"/>
        <v>44521.05</v>
      </c>
      <c r="I65" s="28">
        <f t="shared" si="2"/>
        <v>44521.05</v>
      </c>
    </row>
    <row r="66" spans="1:9" ht="15.65" x14ac:dyDescent="0.3">
      <c r="A66" s="59" t="s">
        <v>125</v>
      </c>
      <c r="B66" s="31" t="s">
        <v>60</v>
      </c>
      <c r="C66" s="32" t="s">
        <v>62</v>
      </c>
      <c r="D66" s="33">
        <f>SUM(D67:D70)</f>
        <v>0.60410465440000005</v>
      </c>
      <c r="E66" s="28"/>
      <c r="F66" s="28"/>
      <c r="G66" s="28">
        <f t="shared" si="0"/>
        <v>0</v>
      </c>
      <c r="H66" s="28">
        <f t="shared" si="1"/>
        <v>0</v>
      </c>
      <c r="I66" s="28">
        <f t="shared" si="2"/>
        <v>0</v>
      </c>
    </row>
    <row r="67" spans="1:9" ht="15.65" x14ac:dyDescent="0.3">
      <c r="A67" s="62"/>
      <c r="B67" s="31" t="s">
        <v>126</v>
      </c>
      <c r="C67" s="32" t="s">
        <v>62</v>
      </c>
      <c r="D67" s="33">
        <f>3.03*24*1.58/1000*1.04</f>
        <v>0.119493504</v>
      </c>
      <c r="E67" s="28"/>
      <c r="F67" s="28">
        <v>33500</v>
      </c>
      <c r="G67" s="28">
        <f t="shared" si="0"/>
        <v>0</v>
      </c>
      <c r="H67" s="28">
        <f t="shared" si="1"/>
        <v>4003.0323840000001</v>
      </c>
      <c r="I67" s="28">
        <f t="shared" si="2"/>
        <v>4003.0323840000001</v>
      </c>
    </row>
    <row r="68" spans="1:9" ht="15.65" x14ac:dyDescent="0.3">
      <c r="A68" s="62"/>
      <c r="B68" s="31" t="s">
        <v>127</v>
      </c>
      <c r="C68" s="32" t="s">
        <v>62</v>
      </c>
      <c r="D68" s="33">
        <f>1.87*146*0.888/1000*1.04</f>
        <v>0.25213943040000003</v>
      </c>
      <c r="E68" s="28"/>
      <c r="F68" s="28">
        <v>34400</v>
      </c>
      <c r="G68" s="28">
        <f t="shared" si="0"/>
        <v>0</v>
      </c>
      <c r="H68" s="28">
        <f t="shared" si="1"/>
        <v>8673.5964057600013</v>
      </c>
      <c r="I68" s="28">
        <f t="shared" si="2"/>
        <v>8673.5964057600013</v>
      </c>
    </row>
    <row r="69" spans="1:9" ht="15.65" x14ac:dyDescent="0.3">
      <c r="A69" s="62"/>
      <c r="B69" s="31" t="s">
        <v>128</v>
      </c>
      <c r="C69" s="32" t="s">
        <v>62</v>
      </c>
      <c r="D69" s="54">
        <f>(6.05*48+3.19*24+1.02*72)*0.395/1000*1.04</f>
        <v>0.18091632000000002</v>
      </c>
      <c r="E69" s="28"/>
      <c r="F69" s="28">
        <v>39400</v>
      </c>
      <c r="G69" s="28">
        <f t="shared" si="0"/>
        <v>0</v>
      </c>
      <c r="H69" s="28">
        <f t="shared" si="1"/>
        <v>7128.103008000001</v>
      </c>
      <c r="I69" s="28">
        <f t="shared" si="2"/>
        <v>7128.103008000001</v>
      </c>
    </row>
    <row r="70" spans="1:9" ht="15.65" x14ac:dyDescent="0.3">
      <c r="A70" s="62"/>
      <c r="B70" s="45" t="s">
        <v>129</v>
      </c>
      <c r="C70" s="30" t="s">
        <v>62</v>
      </c>
      <c r="D70" s="54">
        <f>(2.865*12+0.34*268)*0.395/1000*1.04</f>
        <v>5.1555400000000008E-2</v>
      </c>
      <c r="E70" s="28"/>
      <c r="F70" s="28">
        <v>40000</v>
      </c>
      <c r="G70" s="28">
        <f t="shared" ref="G70:G108" si="3">D70*E70</f>
        <v>0</v>
      </c>
      <c r="H70" s="28">
        <f t="shared" ref="H70:H108" si="4">D70*F70</f>
        <v>2062.2160000000003</v>
      </c>
      <c r="I70" s="28">
        <f t="shared" ref="I70:I108" si="5">G70+H70</f>
        <v>2062.2160000000003</v>
      </c>
    </row>
    <row r="71" spans="1:9" ht="15.65" x14ac:dyDescent="0.3">
      <c r="A71" s="59" t="s">
        <v>130</v>
      </c>
      <c r="B71" s="45" t="s">
        <v>71</v>
      </c>
      <c r="C71" s="30" t="s">
        <v>62</v>
      </c>
      <c r="D71" s="34">
        <f>0.02*D66</f>
        <v>1.2082093088000002E-2</v>
      </c>
      <c r="E71" s="28"/>
      <c r="F71" s="28">
        <v>53104</v>
      </c>
      <c r="G71" s="28">
        <f t="shared" si="3"/>
        <v>0</v>
      </c>
      <c r="H71" s="28">
        <f t="shared" si="4"/>
        <v>641.60747134515213</v>
      </c>
      <c r="I71" s="28">
        <f t="shared" si="5"/>
        <v>641.60747134515213</v>
      </c>
    </row>
    <row r="72" spans="1:9" s="22" customFormat="1" x14ac:dyDescent="0.3">
      <c r="A72" s="39" t="s">
        <v>131</v>
      </c>
      <c r="B72" s="65" t="s">
        <v>132</v>
      </c>
      <c r="C72" s="66" t="s">
        <v>34</v>
      </c>
      <c r="D72" s="58">
        <f>142.4</f>
        <v>142.4</v>
      </c>
      <c r="E72" s="44">
        <v>2700</v>
      </c>
      <c r="F72" s="44"/>
      <c r="G72" s="44">
        <f t="shared" si="3"/>
        <v>384480</v>
      </c>
      <c r="H72" s="44">
        <f t="shared" si="4"/>
        <v>0</v>
      </c>
      <c r="I72" s="44">
        <f t="shared" si="5"/>
        <v>384480</v>
      </c>
    </row>
    <row r="73" spans="1:9" x14ac:dyDescent="0.3">
      <c r="A73" s="23" t="s">
        <v>133</v>
      </c>
      <c r="B73" s="31" t="s">
        <v>134</v>
      </c>
      <c r="C73" s="32" t="s">
        <v>34</v>
      </c>
      <c r="D73" s="33">
        <f>142.4*1.05</f>
        <v>149.52000000000001</v>
      </c>
      <c r="E73" s="28"/>
      <c r="F73" s="28">
        <v>5300</v>
      </c>
      <c r="G73" s="28">
        <f t="shared" si="3"/>
        <v>0</v>
      </c>
      <c r="H73" s="28">
        <f t="shared" si="4"/>
        <v>792456</v>
      </c>
      <c r="I73" s="28">
        <f t="shared" si="5"/>
        <v>792456</v>
      </c>
    </row>
    <row r="74" spans="1:9" x14ac:dyDescent="0.3">
      <c r="A74" s="23" t="s">
        <v>135</v>
      </c>
      <c r="B74" s="67" t="s">
        <v>136</v>
      </c>
      <c r="C74" s="66"/>
      <c r="D74" s="58"/>
      <c r="E74" s="28"/>
      <c r="F74" s="28"/>
      <c r="G74" s="28">
        <f t="shared" si="3"/>
        <v>0</v>
      </c>
      <c r="H74" s="28">
        <f t="shared" si="4"/>
        <v>0</v>
      </c>
      <c r="I74" s="28">
        <f t="shared" si="5"/>
        <v>0</v>
      </c>
    </row>
    <row r="75" spans="1:9" x14ac:dyDescent="0.3">
      <c r="A75" s="23"/>
      <c r="B75" s="31" t="s">
        <v>113</v>
      </c>
      <c r="C75" s="32" t="s">
        <v>62</v>
      </c>
      <c r="D75" s="33">
        <f>5012.3/1000*1.04</f>
        <v>5.2127920000000003</v>
      </c>
      <c r="E75" s="28"/>
      <c r="F75" s="28">
        <v>3500</v>
      </c>
      <c r="G75" s="28">
        <f t="shared" si="3"/>
        <v>0</v>
      </c>
      <c r="H75" s="28">
        <f t="shared" si="4"/>
        <v>18244.772000000001</v>
      </c>
      <c r="I75" s="28">
        <f t="shared" si="5"/>
        <v>18244.772000000001</v>
      </c>
    </row>
    <row r="76" spans="1:9" x14ac:dyDescent="0.3">
      <c r="A76" s="23"/>
      <c r="B76" s="31" t="s">
        <v>137</v>
      </c>
      <c r="C76" s="32" t="s">
        <v>62</v>
      </c>
      <c r="D76" s="33">
        <f>18.8/1000*1.04</f>
        <v>1.9552E-2</v>
      </c>
      <c r="E76" s="28"/>
      <c r="F76" s="28">
        <v>34400</v>
      </c>
      <c r="G76" s="28">
        <f t="shared" si="3"/>
        <v>0</v>
      </c>
      <c r="H76" s="28">
        <f t="shared" si="4"/>
        <v>672.58879999999999</v>
      </c>
      <c r="I76" s="28">
        <f t="shared" si="5"/>
        <v>672.58879999999999</v>
      </c>
    </row>
    <row r="77" spans="1:9" x14ac:dyDescent="0.3">
      <c r="A77" s="23"/>
      <c r="B77" s="31" t="s">
        <v>138</v>
      </c>
      <c r="C77" s="32" t="s">
        <v>62</v>
      </c>
      <c r="D77" s="33">
        <f>33.4/1000*1.04</f>
        <v>3.4736000000000003E-2</v>
      </c>
      <c r="E77" s="28"/>
      <c r="F77" s="28">
        <v>33500</v>
      </c>
      <c r="G77" s="28">
        <f t="shared" si="3"/>
        <v>0</v>
      </c>
      <c r="H77" s="28">
        <f t="shared" si="4"/>
        <v>1163.6560000000002</v>
      </c>
      <c r="I77" s="28">
        <f t="shared" si="5"/>
        <v>1163.6560000000002</v>
      </c>
    </row>
    <row r="78" spans="1:9" x14ac:dyDescent="0.3">
      <c r="A78" s="23"/>
      <c r="B78" s="31" t="s">
        <v>139</v>
      </c>
      <c r="C78" s="32" t="s">
        <v>62</v>
      </c>
      <c r="D78" s="33">
        <f>568.3/1000*1.04</f>
        <v>0.59103199999999989</v>
      </c>
      <c r="E78" s="28"/>
      <c r="F78" s="28">
        <v>40000</v>
      </c>
      <c r="G78" s="28">
        <f t="shared" si="3"/>
        <v>0</v>
      </c>
      <c r="H78" s="28">
        <f t="shared" si="4"/>
        <v>23641.279999999995</v>
      </c>
      <c r="I78" s="28">
        <f t="shared" si="5"/>
        <v>23641.279999999995</v>
      </c>
    </row>
    <row r="79" spans="1:9" ht="15.65" x14ac:dyDescent="0.3">
      <c r="A79" s="59"/>
      <c r="B79" s="45" t="s">
        <v>71</v>
      </c>
      <c r="C79" s="30" t="s">
        <v>62</v>
      </c>
      <c r="D79" s="34">
        <f>0.02*(SUM(D75:D78))</f>
        <v>0.11716224</v>
      </c>
      <c r="E79" s="28"/>
      <c r="F79" s="28">
        <v>53104</v>
      </c>
      <c r="G79" s="28">
        <f t="shared" si="3"/>
        <v>0</v>
      </c>
      <c r="H79" s="28">
        <f t="shared" si="4"/>
        <v>6221.7835929599996</v>
      </c>
      <c r="I79" s="28">
        <f t="shared" si="5"/>
        <v>6221.7835929599996</v>
      </c>
    </row>
    <row r="80" spans="1:9" x14ac:dyDescent="0.3">
      <c r="A80" s="23" t="s">
        <v>140</v>
      </c>
      <c r="B80" s="67" t="s">
        <v>141</v>
      </c>
      <c r="C80" s="66"/>
      <c r="D80" s="58"/>
      <c r="E80" s="28"/>
      <c r="F80" s="28"/>
      <c r="G80" s="28">
        <f t="shared" si="3"/>
        <v>0</v>
      </c>
      <c r="H80" s="28">
        <f t="shared" si="4"/>
        <v>0</v>
      </c>
      <c r="I80" s="28">
        <f t="shared" si="5"/>
        <v>0</v>
      </c>
    </row>
    <row r="81" spans="1:9" x14ac:dyDescent="0.3">
      <c r="A81" s="23"/>
      <c r="B81" s="31" t="s">
        <v>113</v>
      </c>
      <c r="C81" s="32" t="s">
        <v>62</v>
      </c>
      <c r="D81" s="33">
        <f>6079.4/1000*1.04</f>
        <v>6.3225759999999998</v>
      </c>
      <c r="E81" s="28"/>
      <c r="F81" s="28">
        <v>35000</v>
      </c>
      <c r="G81" s="28">
        <f t="shared" si="3"/>
        <v>0</v>
      </c>
      <c r="H81" s="28">
        <f t="shared" si="4"/>
        <v>221290.16</v>
      </c>
      <c r="I81" s="28">
        <f t="shared" si="5"/>
        <v>221290.16</v>
      </c>
    </row>
    <row r="82" spans="1:9" x14ac:dyDescent="0.3">
      <c r="A82" s="23"/>
      <c r="B82" s="31" t="s">
        <v>142</v>
      </c>
      <c r="C82" s="32" t="s">
        <v>62</v>
      </c>
      <c r="D82" s="33">
        <f>53/1000*1.04</f>
        <v>5.5120000000000002E-2</v>
      </c>
      <c r="E82" s="28"/>
      <c r="F82" s="28">
        <v>35100</v>
      </c>
      <c r="G82" s="28">
        <f t="shared" si="3"/>
        <v>0</v>
      </c>
      <c r="H82" s="28">
        <f t="shared" si="4"/>
        <v>1934.712</v>
      </c>
      <c r="I82" s="28">
        <f t="shared" si="5"/>
        <v>1934.712</v>
      </c>
    </row>
    <row r="83" spans="1:9" x14ac:dyDescent="0.3">
      <c r="A83" s="23"/>
      <c r="B83" s="31" t="s">
        <v>138</v>
      </c>
      <c r="C83" s="32" t="s">
        <v>62</v>
      </c>
      <c r="D83" s="33">
        <f>186.2/1000*1.04</f>
        <v>0.19364799999999999</v>
      </c>
      <c r="E83" s="28"/>
      <c r="F83" s="28">
        <v>33500</v>
      </c>
      <c r="G83" s="28">
        <f t="shared" si="3"/>
        <v>0</v>
      </c>
      <c r="H83" s="28">
        <f t="shared" si="4"/>
        <v>6487.2079999999996</v>
      </c>
      <c r="I83" s="28">
        <f t="shared" si="5"/>
        <v>6487.2079999999996</v>
      </c>
    </row>
    <row r="84" spans="1:9" x14ac:dyDescent="0.3">
      <c r="A84" s="23"/>
      <c r="B84" s="31" t="s">
        <v>137</v>
      </c>
      <c r="C84" s="32" t="s">
        <v>62</v>
      </c>
      <c r="D84" s="33">
        <f>18.8/1000*1.04</f>
        <v>1.9552E-2</v>
      </c>
      <c r="E84" s="28"/>
      <c r="F84" s="28">
        <v>34400</v>
      </c>
      <c r="G84" s="28">
        <f t="shared" si="3"/>
        <v>0</v>
      </c>
      <c r="H84" s="28">
        <f t="shared" si="4"/>
        <v>672.58879999999999</v>
      </c>
      <c r="I84" s="28">
        <f t="shared" si="5"/>
        <v>672.58879999999999</v>
      </c>
    </row>
    <row r="85" spans="1:9" x14ac:dyDescent="0.3">
      <c r="A85" s="23"/>
      <c r="B85" s="31" t="s">
        <v>139</v>
      </c>
      <c r="C85" s="32" t="s">
        <v>62</v>
      </c>
      <c r="D85" s="33">
        <f>31/1000*1.04</f>
        <v>3.2239999999999998E-2</v>
      </c>
      <c r="E85" s="28"/>
      <c r="F85" s="28">
        <v>40000</v>
      </c>
      <c r="G85" s="28">
        <f t="shared" si="3"/>
        <v>0</v>
      </c>
      <c r="H85" s="28">
        <f t="shared" si="4"/>
        <v>1289.5999999999999</v>
      </c>
      <c r="I85" s="28">
        <f t="shared" si="5"/>
        <v>1289.5999999999999</v>
      </c>
    </row>
    <row r="86" spans="1:9" ht="15.65" x14ac:dyDescent="0.3">
      <c r="A86" s="59"/>
      <c r="B86" s="45" t="s">
        <v>71</v>
      </c>
      <c r="C86" s="30" t="s">
        <v>62</v>
      </c>
      <c r="D86" s="34">
        <f>0.02*(SUM(D81:D85))</f>
        <v>0.13246271999999998</v>
      </c>
      <c r="E86" s="28"/>
      <c r="F86" s="28">
        <v>53104</v>
      </c>
      <c r="G86" s="28">
        <f t="shared" si="3"/>
        <v>0</v>
      </c>
      <c r="H86" s="28">
        <f t="shared" si="4"/>
        <v>7034.300282879999</v>
      </c>
      <c r="I86" s="28">
        <f t="shared" si="5"/>
        <v>7034.300282879999</v>
      </c>
    </row>
    <row r="87" spans="1:9" x14ac:dyDescent="0.3">
      <c r="A87" s="23" t="s">
        <v>143</v>
      </c>
      <c r="B87" s="67" t="s">
        <v>144</v>
      </c>
      <c r="C87" s="66" t="s">
        <v>44</v>
      </c>
      <c r="D87" s="58">
        <v>38</v>
      </c>
      <c r="E87" s="28"/>
      <c r="F87" s="28"/>
      <c r="G87" s="28">
        <f t="shared" si="3"/>
        <v>0</v>
      </c>
      <c r="H87" s="28">
        <f t="shared" si="4"/>
        <v>0</v>
      </c>
      <c r="I87" s="28">
        <f t="shared" si="5"/>
        <v>0</v>
      </c>
    </row>
    <row r="88" spans="1:9" x14ac:dyDescent="0.3">
      <c r="A88" s="23"/>
      <c r="B88" s="31" t="s">
        <v>100</v>
      </c>
      <c r="C88" s="32" t="s">
        <v>62</v>
      </c>
      <c r="D88" s="33">
        <v>9.0060000000000001E-3</v>
      </c>
      <c r="E88" s="28"/>
      <c r="F88" s="28">
        <v>39400</v>
      </c>
      <c r="G88" s="28">
        <f t="shared" si="3"/>
        <v>0</v>
      </c>
      <c r="H88" s="28">
        <f t="shared" si="4"/>
        <v>354.83640000000003</v>
      </c>
      <c r="I88" s="28">
        <f t="shared" si="5"/>
        <v>354.83640000000003</v>
      </c>
    </row>
    <row r="89" spans="1:9" x14ac:dyDescent="0.3">
      <c r="A89" s="23"/>
      <c r="B89" s="31" t="s">
        <v>145</v>
      </c>
      <c r="C89" s="32" t="s">
        <v>62</v>
      </c>
      <c r="D89" s="33">
        <v>1.7898000000000004E-2</v>
      </c>
      <c r="E89" s="28"/>
      <c r="F89" s="28">
        <v>46300</v>
      </c>
      <c r="G89" s="28">
        <f t="shared" si="3"/>
        <v>0</v>
      </c>
      <c r="H89" s="28">
        <f t="shared" si="4"/>
        <v>828.67740000000015</v>
      </c>
      <c r="I89" s="28">
        <f t="shared" si="5"/>
        <v>828.67740000000015</v>
      </c>
    </row>
    <row r="90" spans="1:9" x14ac:dyDescent="0.3">
      <c r="A90" s="23" t="s">
        <v>146</v>
      </c>
      <c r="B90" s="67" t="s">
        <v>147</v>
      </c>
      <c r="C90" s="32"/>
      <c r="D90" s="33"/>
      <c r="E90" s="28"/>
      <c r="F90" s="28"/>
      <c r="G90" s="28">
        <f t="shared" si="3"/>
        <v>0</v>
      </c>
      <c r="H90" s="28">
        <f t="shared" si="4"/>
        <v>0</v>
      </c>
      <c r="I90" s="28">
        <f t="shared" si="5"/>
        <v>0</v>
      </c>
    </row>
    <row r="91" spans="1:9" x14ac:dyDescent="0.3">
      <c r="A91" s="23"/>
      <c r="B91" s="31" t="s">
        <v>148</v>
      </c>
      <c r="C91" s="32" t="s">
        <v>62</v>
      </c>
      <c r="D91" s="61">
        <f>26*3.61/1000</f>
        <v>9.3859999999999999E-2</v>
      </c>
      <c r="E91" s="28"/>
      <c r="F91" s="28">
        <v>45950</v>
      </c>
      <c r="G91" s="28">
        <f t="shared" si="3"/>
        <v>0</v>
      </c>
      <c r="H91" s="28">
        <f t="shared" si="4"/>
        <v>4312.8670000000002</v>
      </c>
      <c r="I91" s="28">
        <f t="shared" si="5"/>
        <v>4312.8670000000002</v>
      </c>
    </row>
    <row r="92" spans="1:9" x14ac:dyDescent="0.3">
      <c r="A92" s="23"/>
      <c r="B92" s="31" t="s">
        <v>149</v>
      </c>
      <c r="C92" s="32" t="s">
        <v>62</v>
      </c>
      <c r="D92" s="61">
        <f>7*1.87/1000</f>
        <v>1.3089999999999999E-2</v>
      </c>
      <c r="E92" s="28"/>
      <c r="F92" s="28">
        <v>45950</v>
      </c>
      <c r="G92" s="28">
        <f t="shared" si="3"/>
        <v>0</v>
      </c>
      <c r="H92" s="28">
        <f t="shared" si="4"/>
        <v>601.4855</v>
      </c>
      <c r="I92" s="28">
        <f t="shared" si="5"/>
        <v>601.4855</v>
      </c>
    </row>
    <row r="93" spans="1:9" x14ac:dyDescent="0.3">
      <c r="A93" s="23" t="s">
        <v>150</v>
      </c>
      <c r="B93" s="68" t="s">
        <v>151</v>
      </c>
      <c r="C93" s="55"/>
      <c r="D93" s="34"/>
      <c r="E93" s="28"/>
      <c r="F93" s="28"/>
      <c r="G93" s="28">
        <f t="shared" si="3"/>
        <v>0</v>
      </c>
      <c r="H93" s="28">
        <f t="shared" si="4"/>
        <v>0</v>
      </c>
      <c r="I93" s="28">
        <f t="shared" si="5"/>
        <v>0</v>
      </c>
    </row>
    <row r="94" spans="1:9" x14ac:dyDescent="0.3">
      <c r="A94" s="23"/>
      <c r="B94" s="31" t="s">
        <v>139</v>
      </c>
      <c r="C94" s="32" t="s">
        <v>62</v>
      </c>
      <c r="D94" s="33">
        <f>296.4/1000*1.04</f>
        <v>0.30825600000000003</v>
      </c>
      <c r="E94" s="28"/>
      <c r="F94" s="28">
        <v>40000</v>
      </c>
      <c r="G94" s="28">
        <f t="shared" si="3"/>
        <v>0</v>
      </c>
      <c r="H94" s="28">
        <f t="shared" si="4"/>
        <v>12330.240000000002</v>
      </c>
      <c r="I94" s="28">
        <f t="shared" si="5"/>
        <v>12330.240000000002</v>
      </c>
    </row>
    <row r="95" spans="1:9" x14ac:dyDescent="0.3">
      <c r="A95" s="23" t="s">
        <v>152</v>
      </c>
      <c r="B95" s="68" t="s">
        <v>153</v>
      </c>
      <c r="C95" s="30"/>
      <c r="D95" s="69"/>
      <c r="E95" s="28"/>
      <c r="F95" s="28"/>
      <c r="G95" s="28">
        <f t="shared" si="3"/>
        <v>0</v>
      </c>
      <c r="H95" s="28">
        <f t="shared" si="4"/>
        <v>0</v>
      </c>
      <c r="I95" s="28">
        <f t="shared" si="5"/>
        <v>0</v>
      </c>
    </row>
    <row r="96" spans="1:9" x14ac:dyDescent="0.3">
      <c r="A96" s="23"/>
      <c r="B96" s="31" t="s">
        <v>142</v>
      </c>
      <c r="C96" s="32" t="s">
        <v>62</v>
      </c>
      <c r="D96" s="69">
        <f>(2*5.3*5)/1000*1.04</f>
        <v>5.5120000000000002E-2</v>
      </c>
      <c r="E96" s="28"/>
      <c r="F96" s="28">
        <v>35100</v>
      </c>
      <c r="G96" s="28">
        <f t="shared" si="3"/>
        <v>0</v>
      </c>
      <c r="H96" s="28">
        <f t="shared" si="4"/>
        <v>1934.712</v>
      </c>
      <c r="I96" s="28">
        <f t="shared" si="5"/>
        <v>1934.712</v>
      </c>
    </row>
    <row r="97" spans="1:9" x14ac:dyDescent="0.3">
      <c r="A97" s="23"/>
      <c r="B97" s="31" t="s">
        <v>138</v>
      </c>
      <c r="C97" s="32" t="s">
        <v>62</v>
      </c>
      <c r="D97" s="69">
        <f>(2*3.6*6)/1000*1.04</f>
        <v>4.4928000000000003E-2</v>
      </c>
      <c r="E97" s="28"/>
      <c r="F97" s="28">
        <v>33500</v>
      </c>
      <c r="G97" s="28">
        <f t="shared" si="3"/>
        <v>0</v>
      </c>
      <c r="H97" s="28">
        <f t="shared" si="4"/>
        <v>1505.0880000000002</v>
      </c>
      <c r="I97" s="28">
        <f t="shared" si="5"/>
        <v>1505.0880000000002</v>
      </c>
    </row>
    <row r="98" spans="1:9" x14ac:dyDescent="0.3">
      <c r="A98" s="23"/>
      <c r="B98" s="31" t="s">
        <v>113</v>
      </c>
      <c r="C98" s="32" t="s">
        <v>62</v>
      </c>
      <c r="D98" s="69">
        <f>(2*1.2*5+2*1.4*6)/1000*1.04</f>
        <v>2.9951999999999996E-2</v>
      </c>
      <c r="E98" s="28"/>
      <c r="F98" s="28">
        <v>35000</v>
      </c>
      <c r="G98" s="28">
        <f t="shared" si="3"/>
        <v>0</v>
      </c>
      <c r="H98" s="28">
        <f t="shared" si="4"/>
        <v>1048.32</v>
      </c>
      <c r="I98" s="28">
        <f t="shared" si="5"/>
        <v>1048.32</v>
      </c>
    </row>
    <row r="99" spans="1:9" x14ac:dyDescent="0.3">
      <c r="A99" s="23"/>
      <c r="B99" s="31" t="s">
        <v>139</v>
      </c>
      <c r="C99" s="32" t="s">
        <v>62</v>
      </c>
      <c r="D99" s="69">
        <f>(5*0.26*5+5*0.25*6)/1000*1.04</f>
        <v>1.456E-2</v>
      </c>
      <c r="E99" s="28"/>
      <c r="F99" s="28">
        <v>40000</v>
      </c>
      <c r="G99" s="28">
        <f t="shared" si="3"/>
        <v>0</v>
      </c>
      <c r="H99" s="28">
        <f t="shared" si="4"/>
        <v>582.4</v>
      </c>
      <c r="I99" s="28">
        <f t="shared" si="5"/>
        <v>582.4</v>
      </c>
    </row>
    <row r="100" spans="1:9" x14ac:dyDescent="0.3">
      <c r="A100" s="23" t="s">
        <v>154</v>
      </c>
      <c r="B100" s="68" t="s">
        <v>155</v>
      </c>
      <c r="C100" s="30"/>
      <c r="D100" s="69"/>
      <c r="E100" s="28"/>
      <c r="F100" s="28"/>
      <c r="G100" s="28">
        <f t="shared" si="3"/>
        <v>0</v>
      </c>
      <c r="H100" s="28">
        <f t="shared" si="4"/>
        <v>0</v>
      </c>
      <c r="I100" s="28">
        <f t="shared" si="5"/>
        <v>0</v>
      </c>
    </row>
    <row r="101" spans="1:9" x14ac:dyDescent="0.3">
      <c r="A101" s="39"/>
      <c r="B101" s="45" t="s">
        <v>156</v>
      </c>
      <c r="C101" s="30" t="s">
        <v>34</v>
      </c>
      <c r="D101" s="69">
        <f>(0.6*0.15*2+0.55*0.15*2+0.55*0.2+0.6*0.2*7+0.55*0.2+0.6*0.15*4+0.37*0.15*4)*0.2</f>
        <v>0.39740000000000003</v>
      </c>
      <c r="E101" s="28"/>
      <c r="F101" s="28">
        <v>4200</v>
      </c>
      <c r="G101" s="28">
        <f t="shared" si="3"/>
        <v>0</v>
      </c>
      <c r="H101" s="28">
        <f t="shared" si="4"/>
        <v>1669.0800000000002</v>
      </c>
      <c r="I101" s="28">
        <f t="shared" si="5"/>
        <v>1669.0800000000002</v>
      </c>
    </row>
    <row r="102" spans="1:9" s="22" customFormat="1" ht="28.8" x14ac:dyDescent="0.3">
      <c r="A102" s="39" t="s">
        <v>157</v>
      </c>
      <c r="B102" s="41" t="s">
        <v>158</v>
      </c>
      <c r="C102" s="42" t="s">
        <v>34</v>
      </c>
      <c r="D102" s="70">
        <f>1.34*2</f>
        <v>2.68</v>
      </c>
      <c r="E102" s="44">
        <v>2700</v>
      </c>
      <c r="F102" s="44"/>
      <c r="G102" s="44">
        <f t="shared" si="3"/>
        <v>7236</v>
      </c>
      <c r="H102" s="44">
        <f t="shared" si="4"/>
        <v>0</v>
      </c>
      <c r="I102" s="44">
        <f t="shared" si="5"/>
        <v>7236</v>
      </c>
    </row>
    <row r="103" spans="1:9" x14ac:dyDescent="0.3">
      <c r="A103" s="23" t="s">
        <v>159</v>
      </c>
      <c r="B103" s="45" t="s">
        <v>160</v>
      </c>
      <c r="C103" s="30" t="s">
        <v>34</v>
      </c>
      <c r="D103" s="69">
        <f>1.34*2*1.05</f>
        <v>2.8140000000000005</v>
      </c>
      <c r="E103" s="28"/>
      <c r="F103" s="28">
        <v>5450</v>
      </c>
      <c r="G103" s="28">
        <f t="shared" si="3"/>
        <v>0</v>
      </c>
      <c r="H103" s="28">
        <f t="shared" si="4"/>
        <v>15336.300000000003</v>
      </c>
      <c r="I103" s="28">
        <f t="shared" si="5"/>
        <v>15336.300000000003</v>
      </c>
    </row>
    <row r="104" spans="1:9" x14ac:dyDescent="0.3">
      <c r="A104" s="23" t="s">
        <v>161</v>
      </c>
      <c r="B104" s="45" t="s">
        <v>60</v>
      </c>
      <c r="C104" s="30" t="s">
        <v>62</v>
      </c>
      <c r="D104" s="69">
        <f>SUM(D105:D106)</f>
        <v>0.26166400000000001</v>
      </c>
      <c r="E104" s="28"/>
      <c r="F104" s="28"/>
      <c r="G104" s="28">
        <f t="shared" si="3"/>
        <v>0</v>
      </c>
      <c r="H104" s="28">
        <f t="shared" si="4"/>
        <v>0</v>
      </c>
      <c r="I104" s="28">
        <f t="shared" si="5"/>
        <v>0</v>
      </c>
    </row>
    <row r="105" spans="1:9" x14ac:dyDescent="0.3">
      <c r="A105" s="23"/>
      <c r="B105" s="45" t="s">
        <v>162</v>
      </c>
      <c r="C105" s="30" t="s">
        <v>62</v>
      </c>
      <c r="D105" s="34">
        <f>(64.5*2)/1000*1.04</f>
        <v>0.13416</v>
      </c>
      <c r="E105" s="71"/>
      <c r="F105" s="28">
        <v>34400</v>
      </c>
      <c r="G105" s="28">
        <f t="shared" si="3"/>
        <v>0</v>
      </c>
      <c r="H105" s="28">
        <f t="shared" si="4"/>
        <v>4615.1040000000003</v>
      </c>
      <c r="I105" s="28">
        <f t="shared" si="5"/>
        <v>4615.1040000000003</v>
      </c>
    </row>
    <row r="106" spans="1:9" x14ac:dyDescent="0.3">
      <c r="A106" s="23"/>
      <c r="B106" s="45" t="s">
        <v>163</v>
      </c>
      <c r="C106" s="30" t="s">
        <v>62</v>
      </c>
      <c r="D106" s="34">
        <f>(61.3*2)/1000*1.04</f>
        <v>0.12750400000000001</v>
      </c>
      <c r="E106" s="71"/>
      <c r="F106" s="28">
        <v>39400</v>
      </c>
      <c r="G106" s="28">
        <f t="shared" si="3"/>
        <v>0</v>
      </c>
      <c r="H106" s="28">
        <f t="shared" si="4"/>
        <v>5023.6576000000005</v>
      </c>
      <c r="I106" s="28">
        <f t="shared" si="5"/>
        <v>5023.6576000000005</v>
      </c>
    </row>
    <row r="107" spans="1:9" ht="15.65" x14ac:dyDescent="0.3">
      <c r="A107" s="59"/>
      <c r="B107" s="45" t="s">
        <v>71</v>
      </c>
      <c r="C107" s="30" t="s">
        <v>62</v>
      </c>
      <c r="D107" s="34">
        <f>0.02*(SUM(D105:D106))</f>
        <v>5.2332799999999999E-3</v>
      </c>
      <c r="E107" s="28"/>
      <c r="F107" s="28">
        <v>53104</v>
      </c>
      <c r="G107" s="28">
        <f t="shared" si="3"/>
        <v>0</v>
      </c>
      <c r="H107" s="28">
        <f t="shared" si="4"/>
        <v>277.90810111999997</v>
      </c>
      <c r="I107" s="28">
        <f t="shared" si="5"/>
        <v>277.90810111999997</v>
      </c>
    </row>
    <row r="108" spans="1:9" x14ac:dyDescent="0.3">
      <c r="A108" s="23" t="s">
        <v>164</v>
      </c>
      <c r="B108" s="29" t="s">
        <v>165</v>
      </c>
      <c r="C108" s="30" t="s">
        <v>166</v>
      </c>
      <c r="D108" s="34">
        <v>246</v>
      </c>
      <c r="E108" s="71"/>
      <c r="F108" s="72">
        <v>2333.33</v>
      </c>
      <c r="G108" s="28">
        <f t="shared" si="3"/>
        <v>0</v>
      </c>
      <c r="H108" s="28">
        <f t="shared" si="4"/>
        <v>573999.17999999993</v>
      </c>
      <c r="I108" s="28">
        <f t="shared" si="5"/>
        <v>573999.17999999993</v>
      </c>
    </row>
    <row r="109" spans="1:9" x14ac:dyDescent="0.3">
      <c r="A109" s="17">
        <v>4</v>
      </c>
      <c r="B109" s="18" t="s">
        <v>5</v>
      </c>
      <c r="C109" s="19"/>
      <c r="D109" s="20"/>
      <c r="E109" s="75"/>
      <c r="F109" s="40"/>
      <c r="G109" s="40"/>
      <c r="H109" s="40"/>
      <c r="I109" s="40"/>
    </row>
    <row r="110" spans="1:9" s="22" customFormat="1" ht="28.8" x14ac:dyDescent="0.3">
      <c r="A110" s="39" t="s">
        <v>168</v>
      </c>
      <c r="B110" s="41" t="s">
        <v>169</v>
      </c>
      <c r="C110" s="42" t="s">
        <v>34</v>
      </c>
      <c r="D110" s="70">
        <f>(13.87+3.54+0.55)*6+(16.64+4.24+0.66)*3+(20.8+5.3+0.83)*4+(20.8+6.13)*1</f>
        <v>307.03000000000003</v>
      </c>
      <c r="E110" s="76">
        <v>2900</v>
      </c>
      <c r="F110" s="44"/>
      <c r="G110" s="44">
        <f>D110*E110</f>
        <v>890387.00000000012</v>
      </c>
      <c r="H110" s="44">
        <f>D110*F110</f>
        <v>0</v>
      </c>
      <c r="I110" s="44">
        <f>G110+H110</f>
        <v>890387.00000000012</v>
      </c>
    </row>
    <row r="111" spans="1:9" x14ac:dyDescent="0.3">
      <c r="A111" s="23" t="s">
        <v>170</v>
      </c>
      <c r="B111" s="45" t="s">
        <v>171</v>
      </c>
      <c r="C111" s="30" t="s">
        <v>34</v>
      </c>
      <c r="D111" s="69">
        <f>(0.55*6+0.66*3+0.83*4)*1.05</f>
        <v>9.0299999999999994</v>
      </c>
      <c r="E111" s="71"/>
      <c r="F111" s="28">
        <v>5450</v>
      </c>
      <c r="G111" s="28">
        <f t="shared" ref="G111:G174" si="6">D111*E111</f>
        <v>0</v>
      </c>
      <c r="H111" s="28">
        <f t="shared" ref="H111:H174" si="7">D111*F111</f>
        <v>49213.5</v>
      </c>
      <c r="I111" s="28">
        <f t="shared" ref="I111:I174" si="8">G111+H111</f>
        <v>49213.5</v>
      </c>
    </row>
    <row r="112" spans="1:9" x14ac:dyDescent="0.3">
      <c r="A112" s="23" t="s">
        <v>172</v>
      </c>
      <c r="B112" s="45" t="s">
        <v>173</v>
      </c>
      <c r="C112" s="30" t="s">
        <v>34</v>
      </c>
      <c r="D112" s="69">
        <f>(3.54*6+4.24*3+5.3*4+6.13*1)*1.05</f>
        <v>64.354500000000002</v>
      </c>
      <c r="E112" s="71"/>
      <c r="F112" s="28">
        <v>5400</v>
      </c>
      <c r="G112" s="28">
        <f t="shared" si="6"/>
        <v>0</v>
      </c>
      <c r="H112" s="28">
        <f t="shared" si="7"/>
        <v>347514.3</v>
      </c>
      <c r="I112" s="28">
        <f t="shared" si="8"/>
        <v>347514.3</v>
      </c>
    </row>
    <row r="113" spans="1:9" x14ac:dyDescent="0.3">
      <c r="A113" s="23" t="s">
        <v>174</v>
      </c>
      <c r="B113" s="45" t="s">
        <v>175</v>
      </c>
      <c r="C113" s="30" t="s">
        <v>34</v>
      </c>
      <c r="D113" s="69">
        <f>(13.87*6+16.64*3+20.8*4+20.8*1)*1.05</f>
        <v>248.99699999999999</v>
      </c>
      <c r="E113" s="71"/>
      <c r="F113" s="28">
        <v>5300</v>
      </c>
      <c r="G113" s="28">
        <f t="shared" si="6"/>
        <v>0</v>
      </c>
      <c r="H113" s="28">
        <f t="shared" si="7"/>
        <v>1319684.0999999999</v>
      </c>
      <c r="I113" s="28">
        <f t="shared" si="8"/>
        <v>1319684.0999999999</v>
      </c>
    </row>
    <row r="114" spans="1:9" x14ac:dyDescent="0.3">
      <c r="A114" s="23" t="s">
        <v>176</v>
      </c>
      <c r="B114" s="45" t="s">
        <v>60</v>
      </c>
      <c r="C114" s="30" t="s">
        <v>62</v>
      </c>
      <c r="D114" s="69">
        <f>SUM(D115:D120)</f>
        <v>38.707447999999999</v>
      </c>
      <c r="E114" s="71"/>
      <c r="F114" s="28"/>
      <c r="G114" s="28">
        <f t="shared" si="6"/>
        <v>0</v>
      </c>
      <c r="H114" s="28">
        <f t="shared" si="7"/>
        <v>0</v>
      </c>
      <c r="I114" s="28">
        <f t="shared" si="8"/>
        <v>0</v>
      </c>
    </row>
    <row r="115" spans="1:9" x14ac:dyDescent="0.3">
      <c r="A115" s="39"/>
      <c r="B115" s="45" t="s">
        <v>177</v>
      </c>
      <c r="C115" s="30" t="s">
        <v>62</v>
      </c>
      <c r="D115" s="69">
        <f>(220*6+107.2*3+648.8*5)/1000*1.04</f>
        <v>5.0810240000000002</v>
      </c>
      <c r="E115" s="71"/>
      <c r="F115" s="28">
        <v>33200</v>
      </c>
      <c r="G115" s="28">
        <f t="shared" si="6"/>
        <v>0</v>
      </c>
      <c r="H115" s="28">
        <f t="shared" si="7"/>
        <v>168689.99679999999</v>
      </c>
      <c r="I115" s="28">
        <f t="shared" si="8"/>
        <v>168689.99679999999</v>
      </c>
    </row>
    <row r="116" spans="1:9" x14ac:dyDescent="0.3">
      <c r="A116" s="39"/>
      <c r="B116" s="45" t="s">
        <v>178</v>
      </c>
      <c r="C116" s="30" t="s">
        <v>62</v>
      </c>
      <c r="D116" s="69">
        <f>(791.6*6+720*3+732*5)/1000*1.04</f>
        <v>10.992384000000001</v>
      </c>
      <c r="E116" s="71"/>
      <c r="F116" s="28">
        <v>33500</v>
      </c>
      <c r="G116" s="28">
        <f t="shared" si="6"/>
        <v>0</v>
      </c>
      <c r="H116" s="28">
        <f t="shared" si="7"/>
        <v>368244.86400000006</v>
      </c>
      <c r="I116" s="28">
        <f t="shared" si="8"/>
        <v>368244.86400000006</v>
      </c>
    </row>
    <row r="117" spans="1:9" x14ac:dyDescent="0.3">
      <c r="A117" s="39"/>
      <c r="B117" s="45" t="s">
        <v>162</v>
      </c>
      <c r="C117" s="30" t="s">
        <v>62</v>
      </c>
      <c r="D117" s="69">
        <f>(610.4*2+610.7*4+844.4*3+976.8*5)/1000*1.04</f>
        <v>11.524032</v>
      </c>
      <c r="E117" s="71"/>
      <c r="F117" s="28">
        <v>34400</v>
      </c>
      <c r="G117" s="28">
        <f t="shared" si="6"/>
        <v>0</v>
      </c>
      <c r="H117" s="28">
        <f t="shared" si="7"/>
        <v>396426.70079999999</v>
      </c>
      <c r="I117" s="28">
        <f t="shared" si="8"/>
        <v>396426.70079999999</v>
      </c>
    </row>
    <row r="118" spans="1:9" x14ac:dyDescent="0.3">
      <c r="A118" s="39"/>
      <c r="B118" s="45" t="s">
        <v>163</v>
      </c>
      <c r="C118" s="30" t="s">
        <v>62</v>
      </c>
      <c r="D118" s="69">
        <f>(543*6+553*3+647.8*5)/1000*1.04</f>
        <v>8.4822400000000009</v>
      </c>
      <c r="E118" s="71"/>
      <c r="F118" s="28">
        <v>39400</v>
      </c>
      <c r="G118" s="28">
        <f t="shared" si="6"/>
        <v>0</v>
      </c>
      <c r="H118" s="28">
        <f t="shared" si="7"/>
        <v>334200.25600000005</v>
      </c>
      <c r="I118" s="28">
        <f t="shared" si="8"/>
        <v>334200.25600000005</v>
      </c>
    </row>
    <row r="119" spans="1:9" x14ac:dyDescent="0.3">
      <c r="A119" s="39"/>
      <c r="B119" s="45" t="s">
        <v>179</v>
      </c>
      <c r="C119" s="30" t="s">
        <v>62</v>
      </c>
      <c r="D119" s="69">
        <f>(5.6*2+4.7*4+122.3*3+155.2*5)/1000*1.04</f>
        <v>1.219816</v>
      </c>
      <c r="E119" s="71"/>
      <c r="F119" s="28">
        <v>40000</v>
      </c>
      <c r="G119" s="28">
        <f t="shared" si="6"/>
        <v>0</v>
      </c>
      <c r="H119" s="28">
        <f t="shared" si="7"/>
        <v>48792.639999999999</v>
      </c>
      <c r="I119" s="28">
        <f t="shared" si="8"/>
        <v>48792.639999999999</v>
      </c>
    </row>
    <row r="120" spans="1:9" x14ac:dyDescent="0.3">
      <c r="A120" s="39"/>
      <c r="B120" s="45" t="s">
        <v>180</v>
      </c>
      <c r="C120" s="30" t="s">
        <v>62</v>
      </c>
      <c r="D120" s="69">
        <f>(96.7*6+96.7*3+96.7*5)/1000*1.04</f>
        <v>1.4079520000000001</v>
      </c>
      <c r="E120" s="71"/>
      <c r="F120" s="28">
        <v>78272.479999999996</v>
      </c>
      <c r="G120" s="28">
        <f t="shared" si="6"/>
        <v>0</v>
      </c>
      <c r="H120" s="28">
        <f t="shared" si="7"/>
        <v>110203.89476096</v>
      </c>
      <c r="I120" s="28">
        <f t="shared" si="8"/>
        <v>110203.89476096</v>
      </c>
    </row>
    <row r="121" spans="1:9" ht="15.65" x14ac:dyDescent="0.3">
      <c r="A121" s="59"/>
      <c r="B121" s="45" t="s">
        <v>71</v>
      </c>
      <c r="C121" s="30" t="s">
        <v>62</v>
      </c>
      <c r="D121" s="34">
        <f>0.02*D114</f>
        <v>0.77414896</v>
      </c>
      <c r="E121" s="28"/>
      <c r="F121" s="28">
        <v>53104</v>
      </c>
      <c r="G121" s="28">
        <f t="shared" si="6"/>
        <v>0</v>
      </c>
      <c r="H121" s="28">
        <f t="shared" si="7"/>
        <v>41110.406371839999</v>
      </c>
      <c r="I121" s="28">
        <f t="shared" si="8"/>
        <v>41110.406371839999</v>
      </c>
    </row>
    <row r="122" spans="1:9" s="22" customFormat="1" ht="28.8" x14ac:dyDescent="0.3">
      <c r="A122" s="39" t="s">
        <v>181</v>
      </c>
      <c r="B122" s="63" t="s">
        <v>182</v>
      </c>
      <c r="C122" s="42" t="s">
        <v>34</v>
      </c>
      <c r="D122" s="70">
        <f>(17.8+4.54+0.71)*2+(12.2+3.59)*3+(14.64+4.31)*3+(14.64+3.73+0.58)*2+(18.3+5.39)*11+(21.96+6.47)*1+(21.96+5.6+0.87)*1+(19.98+6.47)*1+(19.98+5.6+0.87)*2+(31.31+9.33+1.45)*6+(34.1+10.89+1.69)*1+(19.54+30.2+1.69)*2</f>
        <v>987.10000000000014</v>
      </c>
      <c r="E122" s="76">
        <v>2900</v>
      </c>
      <c r="F122" s="44"/>
      <c r="G122" s="44">
        <f t="shared" si="6"/>
        <v>2862590.0000000005</v>
      </c>
      <c r="H122" s="44">
        <f t="shared" si="7"/>
        <v>0</v>
      </c>
      <c r="I122" s="44">
        <f t="shared" si="8"/>
        <v>2862590.0000000005</v>
      </c>
    </row>
    <row r="123" spans="1:9" x14ac:dyDescent="0.3">
      <c r="A123" s="23" t="s">
        <v>183</v>
      </c>
      <c r="B123" s="45" t="s">
        <v>171</v>
      </c>
      <c r="C123" s="30" t="s">
        <v>34</v>
      </c>
      <c r="D123" s="69">
        <f>(0.71*2+0.58*2+0.87*1+0.87*2+1.45*6+1.69*1)*1.05</f>
        <v>16.359000000000002</v>
      </c>
      <c r="E123" s="71"/>
      <c r="F123" s="28">
        <v>5450</v>
      </c>
      <c r="G123" s="28">
        <f t="shared" si="6"/>
        <v>0</v>
      </c>
      <c r="H123" s="28">
        <f t="shared" si="7"/>
        <v>89156.55</v>
      </c>
      <c r="I123" s="28">
        <f t="shared" si="8"/>
        <v>89156.55</v>
      </c>
    </row>
    <row r="124" spans="1:9" x14ac:dyDescent="0.3">
      <c r="A124" s="23" t="s">
        <v>184</v>
      </c>
      <c r="B124" s="45" t="s">
        <v>173</v>
      </c>
      <c r="C124" s="30" t="s">
        <v>34</v>
      </c>
      <c r="D124" s="69">
        <f>(4.54*2+3.59*3+4.31*3+3.73*2+5.39*11+6.47*1+5.6*1+6.47*1+5.6*2+9.33*6+10.89*1+30.2*2)*1.05</f>
        <v>269.36699999999996</v>
      </c>
      <c r="E124" s="71"/>
      <c r="F124" s="28">
        <v>5400</v>
      </c>
      <c r="G124" s="28">
        <f t="shared" si="6"/>
        <v>0</v>
      </c>
      <c r="H124" s="28">
        <f t="shared" si="7"/>
        <v>1454581.7999999998</v>
      </c>
      <c r="I124" s="28">
        <f t="shared" si="8"/>
        <v>1454581.7999999998</v>
      </c>
    </row>
    <row r="125" spans="1:9" x14ac:dyDescent="0.3">
      <c r="A125" s="23" t="s">
        <v>185</v>
      </c>
      <c r="B125" s="45" t="s">
        <v>175</v>
      </c>
      <c r="C125" s="30" t="s">
        <v>34</v>
      </c>
      <c r="D125" s="69">
        <f>(17.8*2+12.2*3+14.64*3+14.64*2+18.3*11+21.96*1+21.96*1+19.98*1+19.98*2+31.31*6+34.1*1+19.54*2)*1.05</f>
        <v>747.18000000000006</v>
      </c>
      <c r="E125" s="71"/>
      <c r="F125" s="28">
        <v>5300</v>
      </c>
      <c r="G125" s="28">
        <f t="shared" si="6"/>
        <v>0</v>
      </c>
      <c r="H125" s="28">
        <f t="shared" si="7"/>
        <v>3960054.0000000005</v>
      </c>
      <c r="I125" s="28">
        <f t="shared" si="8"/>
        <v>3960054.0000000005</v>
      </c>
    </row>
    <row r="126" spans="1:9" x14ac:dyDescent="0.3">
      <c r="A126" s="23" t="s">
        <v>186</v>
      </c>
      <c r="B126" s="45" t="s">
        <v>60</v>
      </c>
      <c r="C126" s="30" t="s">
        <v>62</v>
      </c>
      <c r="D126" s="69">
        <f>SUM(D127:D132)</f>
        <v>124.53875200000002</v>
      </c>
      <c r="E126" s="71"/>
      <c r="F126" s="28"/>
      <c r="G126" s="28">
        <f t="shared" si="6"/>
        <v>0</v>
      </c>
      <c r="H126" s="28">
        <f t="shared" si="7"/>
        <v>0</v>
      </c>
      <c r="I126" s="28">
        <f t="shared" si="8"/>
        <v>0</v>
      </c>
    </row>
    <row r="127" spans="1:9" x14ac:dyDescent="0.3">
      <c r="A127" s="39"/>
      <c r="B127" s="45" t="s">
        <v>177</v>
      </c>
      <c r="C127" s="30" t="s">
        <v>62</v>
      </c>
      <c r="D127" s="69">
        <f>(321.6*2+107.2*3+428.8*5+648.8*11+589.6*1+702.4*1+589.6*1+589.6*2+107.2*6+107.2*1+107.2*2)/1000*1.04</f>
        <v>14.842048</v>
      </c>
      <c r="E127" s="71"/>
      <c r="F127" s="28">
        <v>35100</v>
      </c>
      <c r="G127" s="28">
        <f t="shared" si="6"/>
        <v>0</v>
      </c>
      <c r="H127" s="28">
        <f t="shared" si="7"/>
        <v>520955.8848</v>
      </c>
      <c r="I127" s="28">
        <f t="shared" si="8"/>
        <v>520955.8848</v>
      </c>
    </row>
    <row r="128" spans="1:9" x14ac:dyDescent="0.3">
      <c r="A128" s="39"/>
      <c r="B128" s="45" t="s">
        <v>178</v>
      </c>
      <c r="C128" s="30" t="s">
        <v>62</v>
      </c>
      <c r="D128" s="69">
        <f>(1159.6*2+687.2*3+732*5+732*11+836.4*1+766.8*1+834.2*1+834.2*2+991.8*6+1057.4*1+1066.8*2)/1000*1.04</f>
        <v>30.514016000000005</v>
      </c>
      <c r="E128" s="71"/>
      <c r="F128" s="28">
        <v>33500</v>
      </c>
      <c r="G128" s="28">
        <f t="shared" si="6"/>
        <v>0</v>
      </c>
      <c r="H128" s="28">
        <f t="shared" si="7"/>
        <v>1022219.5360000002</v>
      </c>
      <c r="I128" s="28">
        <f t="shared" si="8"/>
        <v>1022219.5360000002</v>
      </c>
    </row>
    <row r="129" spans="1:9" x14ac:dyDescent="0.3">
      <c r="A129" s="39"/>
      <c r="B129" s="45" t="s">
        <v>162</v>
      </c>
      <c r="C129" s="30" t="s">
        <v>62</v>
      </c>
      <c r="D129" s="69">
        <f>(855.5*2+703.6*3+732.8*5+976.4*10+976.8*1+1099*2+967*1+967*2+1699.2*6+1853.2*1+2092*2)/1000*1.04</f>
        <v>41.140320000000003</v>
      </c>
      <c r="E129" s="71"/>
      <c r="F129" s="28">
        <v>34400</v>
      </c>
      <c r="G129" s="28">
        <f t="shared" si="6"/>
        <v>0</v>
      </c>
      <c r="H129" s="28">
        <f t="shared" si="7"/>
        <v>1415227.0080000001</v>
      </c>
      <c r="I129" s="28">
        <f t="shared" si="8"/>
        <v>1415227.0080000001</v>
      </c>
    </row>
    <row r="130" spans="1:9" x14ac:dyDescent="0.3">
      <c r="A130" s="39"/>
      <c r="B130" s="45" t="s">
        <v>163</v>
      </c>
      <c r="C130" s="30" t="s">
        <v>62</v>
      </c>
      <c r="D130" s="69">
        <f>(843.7*2+540.7*3+571.2*5+669.1*11+767*1+765.2*1+726*1+726*2+1087.2*6+1182*1+1305.6*2)/1000*1.04</f>
        <v>28.654288000000005</v>
      </c>
      <c r="E130" s="71"/>
      <c r="F130" s="28">
        <v>39400</v>
      </c>
      <c r="G130" s="28">
        <f t="shared" si="6"/>
        <v>0</v>
      </c>
      <c r="H130" s="28">
        <f t="shared" si="7"/>
        <v>1128978.9472000003</v>
      </c>
      <c r="I130" s="28">
        <f t="shared" si="8"/>
        <v>1128978.9472000003</v>
      </c>
    </row>
    <row r="131" spans="1:9" x14ac:dyDescent="0.3">
      <c r="A131" s="39"/>
      <c r="B131" s="45" t="s">
        <v>179</v>
      </c>
      <c r="C131" s="30" t="s">
        <v>62</v>
      </c>
      <c r="D131" s="69">
        <f>(4.2*2+0.3*3+117.5*5+155.8*10+155.9*1+176.1*1+174.9*1+162.8*1+162.8*2+246.2*6+272.5*1+296.1*2)/1000*1.04</f>
        <v>5.7116800000000003</v>
      </c>
      <c r="E131" s="71"/>
      <c r="F131" s="28">
        <v>40000</v>
      </c>
      <c r="G131" s="28">
        <f t="shared" si="6"/>
        <v>0</v>
      </c>
      <c r="H131" s="28">
        <f t="shared" si="7"/>
        <v>228467.20000000001</v>
      </c>
      <c r="I131" s="28">
        <f t="shared" si="8"/>
        <v>228467.20000000001</v>
      </c>
    </row>
    <row r="132" spans="1:9" x14ac:dyDescent="0.3">
      <c r="A132" s="39"/>
      <c r="B132" s="45" t="s">
        <v>187</v>
      </c>
      <c r="C132" s="30" t="s">
        <v>62</v>
      </c>
      <c r="D132" s="69">
        <f>(146.4*2+99.8*3+96.7*2+99.8*3+99.8*11+99.8*1+96.7*1+99.8*1+96.7*2+96.7*6+96.7*1+92.8*2)/1000*1.04</f>
        <v>3.6764000000000006</v>
      </c>
      <c r="E132" s="71"/>
      <c r="F132" s="28">
        <v>78272.479999999996</v>
      </c>
      <c r="G132" s="28">
        <f t="shared" si="6"/>
        <v>0</v>
      </c>
      <c r="H132" s="28">
        <f t="shared" si="7"/>
        <v>287760.94547200005</v>
      </c>
      <c r="I132" s="28">
        <f t="shared" si="8"/>
        <v>287760.94547200005</v>
      </c>
    </row>
    <row r="133" spans="1:9" ht="15.65" x14ac:dyDescent="0.3">
      <c r="A133" s="59"/>
      <c r="B133" s="45" t="s">
        <v>71</v>
      </c>
      <c r="C133" s="30" t="s">
        <v>62</v>
      </c>
      <c r="D133" s="34">
        <f>0.02*D126</f>
        <v>2.4907750400000004</v>
      </c>
      <c r="E133" s="28"/>
      <c r="F133" s="28">
        <v>53104</v>
      </c>
      <c r="G133" s="28">
        <f t="shared" si="6"/>
        <v>0</v>
      </c>
      <c r="H133" s="28">
        <f t="shared" si="7"/>
        <v>132270.11772416002</v>
      </c>
      <c r="I133" s="28">
        <f t="shared" si="8"/>
        <v>132270.11772416002</v>
      </c>
    </row>
    <row r="134" spans="1:9" ht="15.65" x14ac:dyDescent="0.3">
      <c r="A134" s="59"/>
      <c r="B134" s="77" t="s">
        <v>188</v>
      </c>
      <c r="C134" s="78" t="s">
        <v>62</v>
      </c>
      <c r="D134" s="78">
        <f>0.046/2</f>
        <v>2.3E-2</v>
      </c>
      <c r="E134" s="28"/>
      <c r="F134" s="72">
        <v>35800</v>
      </c>
      <c r="G134" s="28">
        <f t="shared" si="6"/>
        <v>0</v>
      </c>
      <c r="H134" s="28">
        <f t="shared" si="7"/>
        <v>823.4</v>
      </c>
      <c r="I134" s="28">
        <f t="shared" si="8"/>
        <v>823.4</v>
      </c>
    </row>
    <row r="135" spans="1:9" s="22" customFormat="1" ht="28.8" x14ac:dyDescent="0.3">
      <c r="A135" s="39" t="s">
        <v>189</v>
      </c>
      <c r="B135" s="41" t="s">
        <v>190</v>
      </c>
      <c r="C135" s="42" t="s">
        <v>34</v>
      </c>
      <c r="D135" s="43">
        <f>134.6+134.1+133.4*4+133.3*5+133*6+132.9*6+129.8+123.6</f>
        <v>3317.6000000000004</v>
      </c>
      <c r="E135" s="44">
        <v>2800</v>
      </c>
      <c r="F135" s="44"/>
      <c r="G135" s="44">
        <f t="shared" si="6"/>
        <v>9289280.0000000019</v>
      </c>
      <c r="H135" s="44">
        <f t="shared" si="7"/>
        <v>0</v>
      </c>
      <c r="I135" s="44">
        <f t="shared" si="8"/>
        <v>9289280.0000000019</v>
      </c>
    </row>
    <row r="136" spans="1:9" x14ac:dyDescent="0.3">
      <c r="A136" s="23" t="s">
        <v>191</v>
      </c>
      <c r="B136" s="45" t="s">
        <v>175</v>
      </c>
      <c r="C136" s="30" t="s">
        <v>34</v>
      </c>
      <c r="D136" s="34">
        <f>D135*1.05</f>
        <v>3483.4800000000005</v>
      </c>
      <c r="E136" s="28"/>
      <c r="F136" s="28">
        <v>5200</v>
      </c>
      <c r="G136" s="28">
        <f t="shared" si="6"/>
        <v>0</v>
      </c>
      <c r="H136" s="28">
        <f t="shared" si="7"/>
        <v>18114096.000000004</v>
      </c>
      <c r="I136" s="28">
        <f t="shared" si="8"/>
        <v>18114096.000000004</v>
      </c>
    </row>
    <row r="137" spans="1:9" x14ac:dyDescent="0.3">
      <c r="A137" s="23" t="s">
        <v>192</v>
      </c>
      <c r="B137" s="67" t="s">
        <v>136</v>
      </c>
      <c r="C137" s="66"/>
      <c r="D137" s="58"/>
      <c r="E137" s="28"/>
      <c r="F137" s="28"/>
      <c r="G137" s="28">
        <f t="shared" si="6"/>
        <v>0</v>
      </c>
      <c r="H137" s="28">
        <f t="shared" si="7"/>
        <v>0</v>
      </c>
      <c r="I137" s="28">
        <f t="shared" si="8"/>
        <v>0</v>
      </c>
    </row>
    <row r="138" spans="1:9" x14ac:dyDescent="0.3">
      <c r="A138" s="23"/>
      <c r="B138" s="31" t="s">
        <v>113</v>
      </c>
      <c r="C138" s="32" t="s">
        <v>62</v>
      </c>
      <c r="D138" s="33">
        <f>(4960.7+5014.6+5147.9*4+5116.2*5+5116.8*6+5114.8*6+4955.9+4661.9)/1000*1.04</f>
        <v>132.241512</v>
      </c>
      <c r="E138" s="28"/>
      <c r="F138" s="28">
        <v>35100</v>
      </c>
      <c r="G138" s="28">
        <f t="shared" si="6"/>
        <v>0</v>
      </c>
      <c r="H138" s="28">
        <f t="shared" si="7"/>
        <v>4641677.0712000001</v>
      </c>
      <c r="I138" s="28">
        <f t="shared" si="8"/>
        <v>4641677.0712000001</v>
      </c>
    </row>
    <row r="139" spans="1:9" x14ac:dyDescent="0.3">
      <c r="A139" s="23"/>
      <c r="B139" s="31" t="s">
        <v>137</v>
      </c>
      <c r="C139" s="32" t="s">
        <v>62</v>
      </c>
      <c r="D139" s="33">
        <f>(28.2+28.2+28.2*4+89.8*5+39.4*6+28.2*6+32.4+25.4)/1000*1.04</f>
        <v>1.1248640000000001</v>
      </c>
      <c r="E139" s="28"/>
      <c r="F139" s="28">
        <v>34400</v>
      </c>
      <c r="G139" s="28">
        <f t="shared" si="6"/>
        <v>0</v>
      </c>
      <c r="H139" s="28">
        <f t="shared" si="7"/>
        <v>38695.321600000003</v>
      </c>
      <c r="I139" s="28">
        <f t="shared" si="8"/>
        <v>38695.321600000003</v>
      </c>
    </row>
    <row r="140" spans="1:9" x14ac:dyDescent="0.3">
      <c r="A140" s="23"/>
      <c r="B140" s="31" t="s">
        <v>138</v>
      </c>
      <c r="C140" s="32" t="s">
        <v>62</v>
      </c>
      <c r="D140" s="33">
        <f>(134.2+155.8+155.8*4+155.8*5+287.8*6+324.2*6+346.3+276.6)/1000*1.04</f>
        <v>6.2265840000000008</v>
      </c>
      <c r="E140" s="28"/>
      <c r="F140" s="28">
        <v>33500</v>
      </c>
      <c r="G140" s="28">
        <f t="shared" si="6"/>
        <v>0</v>
      </c>
      <c r="H140" s="28">
        <f t="shared" si="7"/>
        <v>208590.56400000001</v>
      </c>
      <c r="I140" s="28">
        <f t="shared" si="8"/>
        <v>208590.56400000001</v>
      </c>
    </row>
    <row r="141" spans="1:9" x14ac:dyDescent="0.3">
      <c r="A141" s="23"/>
      <c r="B141" s="31" t="s">
        <v>142</v>
      </c>
      <c r="C141" s="32" t="s">
        <v>62</v>
      </c>
      <c r="D141" s="33">
        <f>(35.2)/1000*1.04</f>
        <v>3.6608000000000002E-2</v>
      </c>
      <c r="E141" s="28"/>
      <c r="F141" s="28">
        <v>35100</v>
      </c>
      <c r="G141" s="28">
        <f t="shared" si="6"/>
        <v>0</v>
      </c>
      <c r="H141" s="28">
        <f t="shared" si="7"/>
        <v>1284.9408000000001</v>
      </c>
      <c r="I141" s="28">
        <f t="shared" si="8"/>
        <v>1284.9408000000001</v>
      </c>
    </row>
    <row r="142" spans="1:9" x14ac:dyDescent="0.3">
      <c r="A142" s="23"/>
      <c r="B142" s="31" t="s">
        <v>139</v>
      </c>
      <c r="C142" s="32" t="s">
        <v>62</v>
      </c>
      <c r="D142" s="33">
        <f>(534.2+533.6+533.6*4+533*5+531.9*6+468.7*6+476.6+470.4)/1000*1.04</f>
        <v>13.330512000000001</v>
      </c>
      <c r="E142" s="28"/>
      <c r="F142" s="28">
        <v>40000</v>
      </c>
      <c r="G142" s="28">
        <f t="shared" si="6"/>
        <v>0</v>
      </c>
      <c r="H142" s="28">
        <f t="shared" si="7"/>
        <v>533220.48</v>
      </c>
      <c r="I142" s="28">
        <f t="shared" si="8"/>
        <v>533220.48</v>
      </c>
    </row>
    <row r="143" spans="1:9" x14ac:dyDescent="0.3">
      <c r="A143" s="23"/>
      <c r="B143" s="31" t="s">
        <v>193</v>
      </c>
      <c r="C143" s="32" t="s">
        <v>62</v>
      </c>
      <c r="D143" s="33">
        <f>(15.6*4+15.6*5+15.6*6+15.6*6+15.6)/1000*1.04</f>
        <v>0.35692800000000008</v>
      </c>
      <c r="E143" s="28"/>
      <c r="F143" s="28">
        <v>35800</v>
      </c>
      <c r="G143" s="28">
        <f t="shared" si="6"/>
        <v>0</v>
      </c>
      <c r="H143" s="28">
        <f t="shared" si="7"/>
        <v>12778.022400000003</v>
      </c>
      <c r="I143" s="28">
        <f t="shared" si="8"/>
        <v>12778.022400000003</v>
      </c>
    </row>
    <row r="144" spans="1:9" ht="15.65" x14ac:dyDescent="0.3">
      <c r="A144" s="59"/>
      <c r="B144" s="45" t="s">
        <v>71</v>
      </c>
      <c r="C144" s="30" t="s">
        <v>62</v>
      </c>
      <c r="D144" s="34">
        <f>0.02*(SUM(D138:D143))</f>
        <v>3.0663401600000002</v>
      </c>
      <c r="E144" s="28"/>
      <c r="F144" s="28">
        <v>53104</v>
      </c>
      <c r="G144" s="28">
        <f t="shared" si="6"/>
        <v>0</v>
      </c>
      <c r="H144" s="28">
        <f t="shared" si="7"/>
        <v>162834.92785664002</v>
      </c>
      <c r="I144" s="28">
        <f t="shared" si="8"/>
        <v>162834.92785664002</v>
      </c>
    </row>
    <row r="145" spans="1:9" x14ac:dyDescent="0.3">
      <c r="A145" s="23" t="s">
        <v>194</v>
      </c>
      <c r="B145" s="67" t="s">
        <v>141</v>
      </c>
      <c r="C145" s="66"/>
      <c r="D145" s="58"/>
      <c r="E145" s="28"/>
      <c r="F145" s="28"/>
      <c r="G145" s="28">
        <f t="shared" si="6"/>
        <v>0</v>
      </c>
      <c r="H145" s="28">
        <f t="shared" si="7"/>
        <v>0</v>
      </c>
      <c r="I145" s="28">
        <f t="shared" si="8"/>
        <v>0</v>
      </c>
    </row>
    <row r="146" spans="1:9" x14ac:dyDescent="0.3">
      <c r="A146" s="23"/>
      <c r="B146" s="31" t="s">
        <v>113</v>
      </c>
      <c r="C146" s="32" t="s">
        <v>62</v>
      </c>
      <c r="D146" s="33">
        <f>(7055.4+7078.9+7149.6*4+7118*5+7240.5*6+7162.4*6+6985.7+6478.9)/1000*1.04</f>
        <v>185.33288799999997</v>
      </c>
      <c r="E146" s="28"/>
      <c r="F146" s="28">
        <v>35100</v>
      </c>
      <c r="G146" s="28">
        <f t="shared" si="6"/>
        <v>0</v>
      </c>
      <c r="H146" s="28">
        <f t="shared" si="7"/>
        <v>6505184.3687999994</v>
      </c>
      <c r="I146" s="28">
        <f t="shared" si="8"/>
        <v>6505184.3687999994</v>
      </c>
    </row>
    <row r="147" spans="1:9" x14ac:dyDescent="0.3">
      <c r="A147" s="39"/>
      <c r="B147" s="31" t="s">
        <v>142</v>
      </c>
      <c r="C147" s="32" t="s">
        <v>62</v>
      </c>
      <c r="D147" s="33">
        <f>(512.6+512.6+512.6*4+512.6*5+512.6*6+512.6*6+512.6+74.4)/1000*1.04</f>
        <v>12.871872000000002</v>
      </c>
      <c r="E147" s="28"/>
      <c r="F147" s="28">
        <v>35100</v>
      </c>
      <c r="G147" s="28">
        <f t="shared" si="6"/>
        <v>0</v>
      </c>
      <c r="H147" s="28">
        <f t="shared" si="7"/>
        <v>451802.70720000006</v>
      </c>
      <c r="I147" s="28">
        <f t="shared" si="8"/>
        <v>451802.70720000006</v>
      </c>
    </row>
    <row r="148" spans="1:9" x14ac:dyDescent="0.3">
      <c r="A148" s="39"/>
      <c r="B148" s="31" t="s">
        <v>138</v>
      </c>
      <c r="C148" s="32" t="s">
        <v>62</v>
      </c>
      <c r="D148" s="33">
        <f>(25.4+50.1+50.1*4+50.1*5+182.1*6+206.5*6+228.6+257)/1000*1.04</f>
        <v>3.477344</v>
      </c>
      <c r="E148" s="28"/>
      <c r="F148" s="28">
        <v>33500</v>
      </c>
      <c r="G148" s="28">
        <f t="shared" si="6"/>
        <v>0</v>
      </c>
      <c r="H148" s="28">
        <f t="shared" si="7"/>
        <v>116491.024</v>
      </c>
      <c r="I148" s="28">
        <f t="shared" si="8"/>
        <v>116491.024</v>
      </c>
    </row>
    <row r="149" spans="1:9" x14ac:dyDescent="0.3">
      <c r="A149" s="23"/>
      <c r="B149" s="31" t="s">
        <v>137</v>
      </c>
      <c r="C149" s="32" t="s">
        <v>62</v>
      </c>
      <c r="D149" s="33">
        <f>(28.2+28.2+28.2*4+89.8*5+39.4*6+28.2*6+32.4+15.2)/1000*1.04</f>
        <v>1.1142560000000001</v>
      </c>
      <c r="E149" s="28"/>
      <c r="F149" s="28">
        <v>34400</v>
      </c>
      <c r="G149" s="28">
        <f t="shared" si="6"/>
        <v>0</v>
      </c>
      <c r="H149" s="28">
        <f t="shared" si="7"/>
        <v>38330.406400000007</v>
      </c>
      <c r="I149" s="28">
        <f t="shared" si="8"/>
        <v>38330.406400000007</v>
      </c>
    </row>
    <row r="150" spans="1:9" x14ac:dyDescent="0.3">
      <c r="A150" s="23"/>
      <c r="B150" s="31" t="s">
        <v>139</v>
      </c>
      <c r="C150" s="32" t="s">
        <v>62</v>
      </c>
      <c r="D150" s="33">
        <f>(65.4+68.5*4+68.5*5+68.5*6+68.5*6+68.5+7.8)/1000*1.04</f>
        <v>1.6434080000000002</v>
      </c>
      <c r="E150" s="28"/>
      <c r="F150" s="28">
        <v>40000</v>
      </c>
      <c r="G150" s="28">
        <f t="shared" si="6"/>
        <v>0</v>
      </c>
      <c r="H150" s="28">
        <f t="shared" si="7"/>
        <v>65736.320000000007</v>
      </c>
      <c r="I150" s="28">
        <f t="shared" si="8"/>
        <v>65736.320000000007</v>
      </c>
    </row>
    <row r="151" spans="1:9" ht="15.65" x14ac:dyDescent="0.3">
      <c r="A151" s="59"/>
      <c r="B151" s="45" t="s">
        <v>71</v>
      </c>
      <c r="C151" s="30" t="s">
        <v>62</v>
      </c>
      <c r="D151" s="34">
        <f>0.02*(SUM(D146:D150))</f>
        <v>4.0887953599999989</v>
      </c>
      <c r="E151" s="28"/>
      <c r="F151" s="28">
        <v>53104</v>
      </c>
      <c r="G151" s="28">
        <f t="shared" si="6"/>
        <v>0</v>
      </c>
      <c r="H151" s="28">
        <f t="shared" si="7"/>
        <v>217131.38879743995</v>
      </c>
      <c r="I151" s="28">
        <f t="shared" si="8"/>
        <v>217131.38879743995</v>
      </c>
    </row>
    <row r="152" spans="1:9" x14ac:dyDescent="0.3">
      <c r="A152" s="23" t="s">
        <v>195</v>
      </c>
      <c r="B152" s="67" t="s">
        <v>144</v>
      </c>
      <c r="C152" s="66" t="s">
        <v>44</v>
      </c>
      <c r="D152" s="58">
        <f>72+72+72*4+72*5+72*6+72*6+8</f>
        <v>1664</v>
      </c>
      <c r="E152" s="28"/>
      <c r="F152" s="28"/>
      <c r="G152" s="28">
        <f t="shared" si="6"/>
        <v>0</v>
      </c>
      <c r="H152" s="28">
        <f t="shared" si="7"/>
        <v>0</v>
      </c>
      <c r="I152" s="28">
        <f t="shared" si="8"/>
        <v>0</v>
      </c>
    </row>
    <row r="153" spans="1:9" x14ac:dyDescent="0.3">
      <c r="A153" s="23"/>
      <c r="B153" s="31" t="s">
        <v>163</v>
      </c>
      <c r="C153" s="32" t="s">
        <v>62</v>
      </c>
      <c r="D153" s="33">
        <f>(4*0.06*72*23+4*0.06*8)/1000</f>
        <v>0.39936000000000005</v>
      </c>
      <c r="E153" s="28"/>
      <c r="F153" s="28">
        <v>39400</v>
      </c>
      <c r="G153" s="28">
        <f t="shared" si="6"/>
        <v>0</v>
      </c>
      <c r="H153" s="28">
        <f t="shared" si="7"/>
        <v>15734.784000000001</v>
      </c>
      <c r="I153" s="28">
        <f t="shared" si="8"/>
        <v>15734.784000000001</v>
      </c>
    </row>
    <row r="154" spans="1:9" x14ac:dyDescent="0.3">
      <c r="A154" s="23"/>
      <c r="B154" s="31" t="s">
        <v>145</v>
      </c>
      <c r="C154" s="32" t="s">
        <v>62</v>
      </c>
      <c r="D154" s="33">
        <f>(1*0.08*72*23+1*0.08*8)/1000</f>
        <v>0.13311999999999999</v>
      </c>
      <c r="E154" s="28"/>
      <c r="F154" s="28">
        <v>46300</v>
      </c>
      <c r="G154" s="28">
        <f t="shared" si="6"/>
        <v>0</v>
      </c>
      <c r="H154" s="28">
        <f t="shared" si="7"/>
        <v>6163.4559999999992</v>
      </c>
      <c r="I154" s="28">
        <f t="shared" si="8"/>
        <v>6163.4559999999992</v>
      </c>
    </row>
    <row r="155" spans="1:9" x14ac:dyDescent="0.3">
      <c r="A155" s="23" t="s">
        <v>196</v>
      </c>
      <c r="B155" s="67" t="s">
        <v>197</v>
      </c>
      <c r="C155" s="66" t="s">
        <v>44</v>
      </c>
      <c r="D155" s="58">
        <v>56</v>
      </c>
      <c r="E155" s="28"/>
      <c r="F155" s="28"/>
      <c r="G155" s="28">
        <f t="shared" si="6"/>
        <v>0</v>
      </c>
      <c r="H155" s="28">
        <f t="shared" si="7"/>
        <v>0</v>
      </c>
      <c r="I155" s="28">
        <f t="shared" si="8"/>
        <v>0</v>
      </c>
    </row>
    <row r="156" spans="1:9" x14ac:dyDescent="0.3">
      <c r="A156" s="23"/>
      <c r="B156" s="31" t="s">
        <v>163</v>
      </c>
      <c r="C156" s="32" t="s">
        <v>62</v>
      </c>
      <c r="D156" s="33">
        <f>(2*0.119*56)/1000</f>
        <v>1.3328E-2</v>
      </c>
      <c r="E156" s="28"/>
      <c r="F156" s="28">
        <v>39400</v>
      </c>
      <c r="G156" s="28">
        <f t="shared" si="6"/>
        <v>0</v>
      </c>
      <c r="H156" s="28">
        <f t="shared" si="7"/>
        <v>525.1232</v>
      </c>
      <c r="I156" s="28">
        <f t="shared" si="8"/>
        <v>525.1232</v>
      </c>
    </row>
    <row r="157" spans="1:9" x14ac:dyDescent="0.3">
      <c r="A157" s="23"/>
      <c r="B157" s="31" t="s">
        <v>198</v>
      </c>
      <c r="C157" s="32" t="s">
        <v>62</v>
      </c>
      <c r="D157" s="33">
        <f>(1*0.157*56)/1000</f>
        <v>8.7919999999999995E-3</v>
      </c>
      <c r="E157" s="28"/>
      <c r="F157" s="28">
        <v>46300</v>
      </c>
      <c r="G157" s="28">
        <f t="shared" si="6"/>
        <v>0</v>
      </c>
      <c r="H157" s="28">
        <f t="shared" si="7"/>
        <v>407.06959999999998</v>
      </c>
      <c r="I157" s="28">
        <f t="shared" si="8"/>
        <v>407.06959999999998</v>
      </c>
    </row>
    <row r="158" spans="1:9" x14ac:dyDescent="0.3">
      <c r="A158" s="23" t="s">
        <v>199</v>
      </c>
      <c r="B158" s="67" t="s">
        <v>200</v>
      </c>
      <c r="C158" s="66" t="s">
        <v>44</v>
      </c>
      <c r="D158" s="58">
        <f>64</f>
        <v>64</v>
      </c>
      <c r="E158" s="28"/>
      <c r="F158" s="28"/>
      <c r="G158" s="28">
        <f t="shared" si="6"/>
        <v>0</v>
      </c>
      <c r="H158" s="28">
        <f t="shared" si="7"/>
        <v>0</v>
      </c>
      <c r="I158" s="28">
        <f t="shared" si="8"/>
        <v>0</v>
      </c>
    </row>
    <row r="159" spans="1:9" x14ac:dyDescent="0.3">
      <c r="A159" s="23"/>
      <c r="B159" s="31" t="s">
        <v>201</v>
      </c>
      <c r="C159" s="32" t="s">
        <v>62</v>
      </c>
      <c r="D159" s="33">
        <f>(8*0.133*64)/1000</f>
        <v>6.8096000000000004E-2</v>
      </c>
      <c r="E159" s="28"/>
      <c r="F159" s="28">
        <v>34400</v>
      </c>
      <c r="G159" s="28">
        <f t="shared" si="6"/>
        <v>0</v>
      </c>
      <c r="H159" s="28">
        <f t="shared" si="7"/>
        <v>2342.5024000000003</v>
      </c>
      <c r="I159" s="28">
        <f t="shared" si="8"/>
        <v>2342.5024000000003</v>
      </c>
    </row>
    <row r="160" spans="1:9" x14ac:dyDescent="0.3">
      <c r="A160" s="23"/>
      <c r="B160" s="31" t="s">
        <v>202</v>
      </c>
      <c r="C160" s="32" t="s">
        <v>62</v>
      </c>
      <c r="D160" s="33">
        <f>(1*0.471*64)/1000</f>
        <v>3.0143999999999997E-2</v>
      </c>
      <c r="E160" s="28"/>
      <c r="F160" s="28">
        <v>43000</v>
      </c>
      <c r="G160" s="28">
        <f t="shared" si="6"/>
        <v>0</v>
      </c>
      <c r="H160" s="28">
        <f t="shared" si="7"/>
        <v>1296.1919999999998</v>
      </c>
      <c r="I160" s="28">
        <f t="shared" si="8"/>
        <v>1296.1919999999998</v>
      </c>
    </row>
    <row r="161" spans="1:9" x14ac:dyDescent="0.3">
      <c r="A161" s="23" t="s">
        <v>203</v>
      </c>
      <c r="B161" s="67" t="s">
        <v>147</v>
      </c>
      <c r="C161" s="32"/>
      <c r="D161" s="33"/>
      <c r="E161" s="28"/>
      <c r="F161" s="28"/>
      <c r="G161" s="28">
        <f t="shared" si="6"/>
        <v>0</v>
      </c>
      <c r="H161" s="28">
        <f t="shared" si="7"/>
        <v>0</v>
      </c>
      <c r="I161" s="28">
        <f t="shared" si="8"/>
        <v>0</v>
      </c>
    </row>
    <row r="162" spans="1:9" x14ac:dyDescent="0.3">
      <c r="A162" s="23"/>
      <c r="B162" s="31" t="s">
        <v>148</v>
      </c>
      <c r="C162" s="32" t="s">
        <v>62</v>
      </c>
      <c r="D162" s="61">
        <f>(15*3.61*24)/1000</f>
        <v>1.2995999999999999</v>
      </c>
      <c r="E162" s="28"/>
      <c r="F162" s="28">
        <v>49067.5</v>
      </c>
      <c r="G162" s="28">
        <f t="shared" si="6"/>
        <v>0</v>
      </c>
      <c r="H162" s="28">
        <f t="shared" si="7"/>
        <v>63768.122999999992</v>
      </c>
      <c r="I162" s="28">
        <f t="shared" si="8"/>
        <v>63768.122999999992</v>
      </c>
    </row>
    <row r="163" spans="1:9" x14ac:dyDescent="0.3">
      <c r="A163" s="23"/>
      <c r="B163" s="31" t="s">
        <v>149</v>
      </c>
      <c r="C163" s="32" t="s">
        <v>62</v>
      </c>
      <c r="D163" s="61">
        <f>(7*1.87*24)/1000</f>
        <v>0.31415999999999999</v>
      </c>
      <c r="E163" s="28"/>
      <c r="F163" s="28">
        <v>49067.5</v>
      </c>
      <c r="G163" s="28">
        <f t="shared" si="6"/>
        <v>0</v>
      </c>
      <c r="H163" s="28">
        <f t="shared" si="7"/>
        <v>15415.0458</v>
      </c>
      <c r="I163" s="28">
        <f t="shared" si="8"/>
        <v>15415.0458</v>
      </c>
    </row>
    <row r="164" spans="1:9" x14ac:dyDescent="0.3">
      <c r="A164" s="23" t="s">
        <v>204</v>
      </c>
      <c r="B164" s="79" t="s">
        <v>205</v>
      </c>
      <c r="C164" s="55"/>
      <c r="D164" s="34"/>
      <c r="E164" s="28"/>
      <c r="F164" s="28"/>
      <c r="G164" s="28">
        <f t="shared" si="6"/>
        <v>0</v>
      </c>
      <c r="H164" s="28">
        <f t="shared" si="7"/>
        <v>0</v>
      </c>
      <c r="I164" s="28">
        <f t="shared" si="8"/>
        <v>0</v>
      </c>
    </row>
    <row r="165" spans="1:9" x14ac:dyDescent="0.3">
      <c r="A165" s="23"/>
      <c r="B165" s="31" t="s">
        <v>139</v>
      </c>
      <c r="C165" s="32" t="s">
        <v>62</v>
      </c>
      <c r="D165" s="33">
        <f>(569.5*6+569.5*5+569.5*6+569.5*6+569.5+353)/1000*1.04</f>
        <v>14.581840000000001</v>
      </c>
      <c r="E165" s="28"/>
      <c r="F165" s="28">
        <v>40000</v>
      </c>
      <c r="G165" s="28">
        <f t="shared" si="6"/>
        <v>0</v>
      </c>
      <c r="H165" s="28">
        <f t="shared" si="7"/>
        <v>583273.60000000009</v>
      </c>
      <c r="I165" s="28">
        <f t="shared" si="8"/>
        <v>583273.60000000009</v>
      </c>
    </row>
    <row r="166" spans="1:9" x14ac:dyDescent="0.3">
      <c r="A166" s="23" t="s">
        <v>206</v>
      </c>
      <c r="B166" s="79" t="s">
        <v>155</v>
      </c>
      <c r="C166" s="30"/>
      <c r="D166" s="69"/>
      <c r="E166" s="28"/>
      <c r="F166" s="28"/>
      <c r="G166" s="28">
        <f t="shared" si="6"/>
        <v>0</v>
      </c>
      <c r="H166" s="28">
        <f t="shared" si="7"/>
        <v>0</v>
      </c>
      <c r="I166" s="28">
        <f t="shared" si="8"/>
        <v>0</v>
      </c>
    </row>
    <row r="167" spans="1:9" x14ac:dyDescent="0.3">
      <c r="A167" s="23"/>
      <c r="B167" s="29" t="s">
        <v>156</v>
      </c>
      <c r="C167" s="30" t="s">
        <v>34</v>
      </c>
      <c r="D167" s="69">
        <f>(0.6*0.15*29+0.5*0.15*3+0.4*0.15*5+0.55*0.15*12+0.5*0.15*4*23+0.4*0.15*6*23+0.6*0.15*27*23+0.55*0.15*13*23+0.55*0.15*2+0.6*0.15*7)*0.2</f>
        <v>20.131500000000003</v>
      </c>
      <c r="E167" s="28"/>
      <c r="F167" s="28">
        <v>4200</v>
      </c>
      <c r="G167" s="28">
        <f t="shared" si="6"/>
        <v>0</v>
      </c>
      <c r="H167" s="28">
        <f t="shared" si="7"/>
        <v>84552.300000000017</v>
      </c>
      <c r="I167" s="28">
        <f t="shared" si="8"/>
        <v>84552.300000000017</v>
      </c>
    </row>
    <row r="168" spans="1:9" x14ac:dyDescent="0.3">
      <c r="A168" s="23" t="s">
        <v>207</v>
      </c>
      <c r="B168" s="67" t="s">
        <v>208</v>
      </c>
      <c r="C168" s="66" t="s">
        <v>44</v>
      </c>
      <c r="D168" s="58">
        <f>456</f>
        <v>456</v>
      </c>
      <c r="E168" s="28"/>
      <c r="F168" s="28"/>
      <c r="G168" s="28">
        <f t="shared" si="6"/>
        <v>0</v>
      </c>
      <c r="H168" s="28">
        <f t="shared" si="7"/>
        <v>0</v>
      </c>
      <c r="I168" s="28">
        <f t="shared" si="8"/>
        <v>0</v>
      </c>
    </row>
    <row r="169" spans="1:9" x14ac:dyDescent="0.3">
      <c r="A169" s="23"/>
      <c r="B169" s="31" t="s">
        <v>142</v>
      </c>
      <c r="C169" s="32" t="s">
        <v>62</v>
      </c>
      <c r="D169" s="33">
        <f>2*5.3*456/1000*1.04</f>
        <v>5.0269439999999994</v>
      </c>
      <c r="E169" s="28"/>
      <c r="F169" s="28">
        <v>35100</v>
      </c>
      <c r="G169" s="28">
        <f t="shared" si="6"/>
        <v>0</v>
      </c>
      <c r="H169" s="28">
        <f t="shared" si="7"/>
        <v>176445.73439999999</v>
      </c>
      <c r="I169" s="28">
        <f t="shared" si="8"/>
        <v>176445.73439999999</v>
      </c>
    </row>
    <row r="170" spans="1:9" x14ac:dyDescent="0.3">
      <c r="A170" s="23"/>
      <c r="B170" s="31" t="s">
        <v>113</v>
      </c>
      <c r="C170" s="32" t="s">
        <v>62</v>
      </c>
      <c r="D170" s="33">
        <f>2*1.4*456/1000*1.04</f>
        <v>1.3278719999999999</v>
      </c>
      <c r="E170" s="28"/>
      <c r="F170" s="28">
        <v>35100</v>
      </c>
      <c r="G170" s="28">
        <f t="shared" si="6"/>
        <v>0</v>
      </c>
      <c r="H170" s="28">
        <f t="shared" si="7"/>
        <v>46608.307199999996</v>
      </c>
      <c r="I170" s="28">
        <f t="shared" si="8"/>
        <v>46608.307199999996</v>
      </c>
    </row>
    <row r="171" spans="1:9" x14ac:dyDescent="0.3">
      <c r="A171" s="23"/>
      <c r="B171" s="31" t="s">
        <v>139</v>
      </c>
      <c r="C171" s="32" t="s">
        <v>62</v>
      </c>
      <c r="D171" s="33">
        <f>5*0.26*456/1000*1.04</f>
        <v>0.61651200000000017</v>
      </c>
      <c r="E171" s="28"/>
      <c r="F171" s="28">
        <v>40000</v>
      </c>
      <c r="G171" s="28">
        <f t="shared" si="6"/>
        <v>0</v>
      </c>
      <c r="H171" s="28">
        <f t="shared" si="7"/>
        <v>24660.480000000007</v>
      </c>
      <c r="I171" s="28">
        <f t="shared" si="8"/>
        <v>24660.480000000007</v>
      </c>
    </row>
    <row r="172" spans="1:9" x14ac:dyDescent="0.3">
      <c r="A172" s="23" t="s">
        <v>209</v>
      </c>
      <c r="B172" s="67" t="s">
        <v>210</v>
      </c>
      <c r="C172" s="66" t="s">
        <v>44</v>
      </c>
      <c r="D172" s="58">
        <v>336</v>
      </c>
      <c r="E172" s="28"/>
      <c r="F172" s="28"/>
      <c r="G172" s="28">
        <f t="shared" si="6"/>
        <v>0</v>
      </c>
      <c r="H172" s="28">
        <f t="shared" si="7"/>
        <v>0</v>
      </c>
      <c r="I172" s="28">
        <f t="shared" si="8"/>
        <v>0</v>
      </c>
    </row>
    <row r="173" spans="1:9" x14ac:dyDescent="0.3">
      <c r="A173" s="23"/>
      <c r="B173" s="31" t="s">
        <v>142</v>
      </c>
      <c r="C173" s="32" t="s">
        <v>62</v>
      </c>
      <c r="D173" s="33">
        <f>2*5.3*336/1000*1.04</f>
        <v>3.7040639999999998</v>
      </c>
      <c r="E173" s="28"/>
      <c r="F173" s="28">
        <v>35100</v>
      </c>
      <c r="G173" s="28">
        <f t="shared" si="6"/>
        <v>0</v>
      </c>
      <c r="H173" s="28">
        <f t="shared" si="7"/>
        <v>130012.6464</v>
      </c>
      <c r="I173" s="28">
        <f t="shared" si="8"/>
        <v>130012.6464</v>
      </c>
    </row>
    <row r="174" spans="1:9" x14ac:dyDescent="0.3">
      <c r="A174" s="23"/>
      <c r="B174" s="31" t="s">
        <v>113</v>
      </c>
      <c r="C174" s="32" t="s">
        <v>62</v>
      </c>
      <c r="D174" s="33">
        <f>2*1.4*336/1000*1.04</f>
        <v>0.97843199999999997</v>
      </c>
      <c r="E174" s="28"/>
      <c r="F174" s="28">
        <v>35100</v>
      </c>
      <c r="G174" s="28">
        <f t="shared" si="6"/>
        <v>0</v>
      </c>
      <c r="H174" s="28">
        <f t="shared" si="7"/>
        <v>34342.963199999998</v>
      </c>
      <c r="I174" s="28">
        <f t="shared" si="8"/>
        <v>34342.963199999998</v>
      </c>
    </row>
    <row r="175" spans="1:9" x14ac:dyDescent="0.3">
      <c r="A175" s="23"/>
      <c r="B175" s="31" t="s">
        <v>139</v>
      </c>
      <c r="C175" s="32" t="s">
        <v>62</v>
      </c>
      <c r="D175" s="33">
        <f>5*0.26*336/1000*1.04</f>
        <v>0.45427200000000006</v>
      </c>
      <c r="E175" s="28"/>
      <c r="F175" s="28">
        <v>40000</v>
      </c>
      <c r="G175" s="28">
        <f t="shared" ref="G175:G224" si="9">D175*E175</f>
        <v>0</v>
      </c>
      <c r="H175" s="28">
        <f t="shared" ref="H175:H224" si="10">D175*F175</f>
        <v>18170.88</v>
      </c>
      <c r="I175" s="28">
        <f t="shared" ref="I175:I224" si="11">G175+H175</f>
        <v>18170.88</v>
      </c>
    </row>
    <row r="176" spans="1:9" x14ac:dyDescent="0.3">
      <c r="A176" s="23" t="s">
        <v>211</v>
      </c>
      <c r="B176" s="67" t="s">
        <v>212</v>
      </c>
      <c r="C176" s="66" t="s">
        <v>44</v>
      </c>
      <c r="D176" s="58">
        <v>192</v>
      </c>
      <c r="E176" s="28"/>
      <c r="F176" s="28"/>
      <c r="G176" s="28">
        <f t="shared" si="9"/>
        <v>0</v>
      </c>
      <c r="H176" s="28">
        <f t="shared" si="10"/>
        <v>0</v>
      </c>
      <c r="I176" s="28">
        <f t="shared" si="11"/>
        <v>0</v>
      </c>
    </row>
    <row r="177" spans="1:9" x14ac:dyDescent="0.3">
      <c r="A177" s="23"/>
      <c r="B177" s="31" t="s">
        <v>142</v>
      </c>
      <c r="C177" s="32" t="s">
        <v>62</v>
      </c>
      <c r="D177" s="33">
        <f>2*5.6*192/1000*1.04</f>
        <v>2.2364159999999993</v>
      </c>
      <c r="E177" s="28"/>
      <c r="F177" s="28">
        <v>35100</v>
      </c>
      <c r="G177" s="28">
        <f t="shared" si="9"/>
        <v>0</v>
      </c>
      <c r="H177" s="28">
        <f t="shared" si="10"/>
        <v>78498.201599999971</v>
      </c>
      <c r="I177" s="28">
        <f t="shared" si="11"/>
        <v>78498.201599999971</v>
      </c>
    </row>
    <row r="178" spans="1:9" x14ac:dyDescent="0.3">
      <c r="A178" s="23"/>
      <c r="B178" s="31" t="s">
        <v>113</v>
      </c>
      <c r="C178" s="32" t="s">
        <v>62</v>
      </c>
      <c r="D178" s="33">
        <f>2*1.5*192/1000*1.04</f>
        <v>0.59904000000000002</v>
      </c>
      <c r="E178" s="28"/>
      <c r="F178" s="28">
        <v>35100</v>
      </c>
      <c r="G178" s="28">
        <f t="shared" si="9"/>
        <v>0</v>
      </c>
      <c r="H178" s="28">
        <f t="shared" si="10"/>
        <v>21026.304</v>
      </c>
      <c r="I178" s="28">
        <f t="shared" si="11"/>
        <v>21026.304</v>
      </c>
    </row>
    <row r="179" spans="1:9" x14ac:dyDescent="0.3">
      <c r="A179" s="23"/>
      <c r="B179" s="31" t="s">
        <v>139</v>
      </c>
      <c r="C179" s="32" t="s">
        <v>62</v>
      </c>
      <c r="D179" s="33">
        <f>5*0.26*192/1000*1.04</f>
        <v>0.25958400000000004</v>
      </c>
      <c r="E179" s="28"/>
      <c r="F179" s="28">
        <v>40000</v>
      </c>
      <c r="G179" s="28">
        <f t="shared" si="9"/>
        <v>0</v>
      </c>
      <c r="H179" s="28">
        <f t="shared" si="10"/>
        <v>10383.36</v>
      </c>
      <c r="I179" s="28">
        <f t="shared" si="11"/>
        <v>10383.36</v>
      </c>
    </row>
    <row r="180" spans="1:9" x14ac:dyDescent="0.3">
      <c r="A180" s="23" t="s">
        <v>213</v>
      </c>
      <c r="B180" s="67" t="s">
        <v>214</v>
      </c>
      <c r="C180" s="66" t="s">
        <v>44</v>
      </c>
      <c r="D180" s="58">
        <v>149</v>
      </c>
      <c r="E180" s="28"/>
      <c r="F180" s="28"/>
      <c r="G180" s="28">
        <f t="shared" si="9"/>
        <v>0</v>
      </c>
      <c r="H180" s="28">
        <f t="shared" si="10"/>
        <v>0</v>
      </c>
      <c r="I180" s="28">
        <f t="shared" si="11"/>
        <v>0</v>
      </c>
    </row>
    <row r="181" spans="1:9" x14ac:dyDescent="0.3">
      <c r="A181" s="23"/>
      <c r="B181" s="31" t="s">
        <v>142</v>
      </c>
      <c r="C181" s="32" t="s">
        <v>62</v>
      </c>
      <c r="D181" s="33">
        <f>2*6.1*149/1000*1.04</f>
        <v>1.890512</v>
      </c>
      <c r="E181" s="28"/>
      <c r="F181" s="28">
        <v>35100</v>
      </c>
      <c r="G181" s="28">
        <f t="shared" si="9"/>
        <v>0</v>
      </c>
      <c r="H181" s="28">
        <f t="shared" si="10"/>
        <v>66356.9712</v>
      </c>
      <c r="I181" s="28">
        <f t="shared" si="11"/>
        <v>66356.9712</v>
      </c>
    </row>
    <row r="182" spans="1:9" x14ac:dyDescent="0.3">
      <c r="A182" s="39"/>
      <c r="B182" s="31" t="s">
        <v>113</v>
      </c>
      <c r="C182" s="32" t="s">
        <v>62</v>
      </c>
      <c r="D182" s="33">
        <f>2*1.6*149/1000*1.04</f>
        <v>0.49587200000000003</v>
      </c>
      <c r="E182" s="28"/>
      <c r="F182" s="28">
        <v>35100</v>
      </c>
      <c r="G182" s="28">
        <f t="shared" si="9"/>
        <v>0</v>
      </c>
      <c r="H182" s="28">
        <f t="shared" si="10"/>
        <v>17405.107200000002</v>
      </c>
      <c r="I182" s="28">
        <f t="shared" si="11"/>
        <v>17405.107200000002</v>
      </c>
    </row>
    <row r="183" spans="1:9" x14ac:dyDescent="0.3">
      <c r="A183" s="39"/>
      <c r="B183" s="31" t="s">
        <v>139</v>
      </c>
      <c r="C183" s="32" t="s">
        <v>62</v>
      </c>
      <c r="D183" s="33">
        <f>5*0.26*149/1000*1.04</f>
        <v>0.20144800000000002</v>
      </c>
      <c r="E183" s="28"/>
      <c r="F183" s="28">
        <v>40000</v>
      </c>
      <c r="G183" s="28">
        <f t="shared" si="9"/>
        <v>0</v>
      </c>
      <c r="H183" s="28">
        <f t="shared" si="10"/>
        <v>8057.920000000001</v>
      </c>
      <c r="I183" s="28">
        <f t="shared" si="11"/>
        <v>8057.920000000001</v>
      </c>
    </row>
    <row r="184" spans="1:9" s="22" customFormat="1" ht="28.8" x14ac:dyDescent="0.3">
      <c r="A184" s="39" t="s">
        <v>215</v>
      </c>
      <c r="B184" s="41" t="s">
        <v>216</v>
      </c>
      <c r="C184" s="42" t="s">
        <v>34</v>
      </c>
      <c r="D184" s="43">
        <f>9.67+9.54*23+6.57</f>
        <v>235.65999999999997</v>
      </c>
      <c r="E184" s="44">
        <v>2700</v>
      </c>
      <c r="F184" s="44"/>
      <c r="G184" s="44">
        <f t="shared" si="9"/>
        <v>636281.99999999988</v>
      </c>
      <c r="H184" s="44">
        <f t="shared" si="10"/>
        <v>0</v>
      </c>
      <c r="I184" s="44">
        <f t="shared" si="11"/>
        <v>636281.99999999988</v>
      </c>
    </row>
    <row r="185" spans="1:9" x14ac:dyDescent="0.3">
      <c r="A185" s="23" t="s">
        <v>217</v>
      </c>
      <c r="B185" s="45" t="s">
        <v>171</v>
      </c>
      <c r="C185" s="30" t="s">
        <v>34</v>
      </c>
      <c r="D185" s="80">
        <f>(9.67+9.54*4)*1.05</f>
        <v>50.221499999999999</v>
      </c>
      <c r="E185" s="28"/>
      <c r="F185" s="28">
        <v>5450</v>
      </c>
      <c r="G185" s="28">
        <f t="shared" si="9"/>
        <v>0</v>
      </c>
      <c r="H185" s="28">
        <f t="shared" si="10"/>
        <v>273707.17499999999</v>
      </c>
      <c r="I185" s="28">
        <f t="shared" si="11"/>
        <v>273707.17499999999</v>
      </c>
    </row>
    <row r="186" spans="1:9" x14ac:dyDescent="0.3">
      <c r="A186" s="23" t="s">
        <v>218</v>
      </c>
      <c r="B186" s="81" t="s">
        <v>175</v>
      </c>
      <c r="C186" s="82" t="s">
        <v>34</v>
      </c>
      <c r="D186" s="83">
        <f>(9.54*19+6.57)*1.05</f>
        <v>197.22149999999999</v>
      </c>
      <c r="E186" s="72"/>
      <c r="F186" s="72">
        <v>5300</v>
      </c>
      <c r="G186" s="28">
        <f t="shared" si="9"/>
        <v>0</v>
      </c>
      <c r="H186" s="28">
        <f t="shared" si="10"/>
        <v>1045273.95</v>
      </c>
      <c r="I186" s="28">
        <f t="shared" si="11"/>
        <v>1045273.95</v>
      </c>
    </row>
    <row r="187" spans="1:9" x14ac:dyDescent="0.3">
      <c r="A187" s="23" t="s">
        <v>219</v>
      </c>
      <c r="B187" s="45" t="s">
        <v>60</v>
      </c>
      <c r="C187" s="30" t="s">
        <v>62</v>
      </c>
      <c r="D187" s="34">
        <f>SUM(D188:D191)</f>
        <v>26.12012</v>
      </c>
      <c r="E187" s="28"/>
      <c r="F187" s="28"/>
      <c r="G187" s="28">
        <f t="shared" si="9"/>
        <v>0</v>
      </c>
      <c r="H187" s="28">
        <f t="shared" si="10"/>
        <v>0</v>
      </c>
      <c r="I187" s="28">
        <f t="shared" si="11"/>
        <v>0</v>
      </c>
    </row>
    <row r="188" spans="1:9" x14ac:dyDescent="0.3">
      <c r="A188" s="39"/>
      <c r="B188" s="45" t="s">
        <v>178</v>
      </c>
      <c r="C188" s="30" t="s">
        <v>62</v>
      </c>
      <c r="D188" s="34">
        <f>(268.8+264.8*22+264.8+112.8)/1000*1.04</f>
        <v>6.7308800000000018</v>
      </c>
      <c r="E188" s="71"/>
      <c r="F188" s="28">
        <v>33500</v>
      </c>
      <c r="G188" s="28">
        <f t="shared" si="9"/>
        <v>0</v>
      </c>
      <c r="H188" s="28">
        <f t="shared" si="10"/>
        <v>225484.48000000007</v>
      </c>
      <c r="I188" s="28">
        <f t="shared" si="11"/>
        <v>225484.48000000007</v>
      </c>
    </row>
    <row r="189" spans="1:9" x14ac:dyDescent="0.3">
      <c r="A189" s="39"/>
      <c r="B189" s="45" t="s">
        <v>162</v>
      </c>
      <c r="C189" s="30" t="s">
        <v>62</v>
      </c>
      <c r="D189" s="34">
        <f>(448+435.4*22+444.4+290)/1000*1.04</f>
        <v>11.191647999999999</v>
      </c>
      <c r="E189" s="71"/>
      <c r="F189" s="28">
        <v>34400</v>
      </c>
      <c r="G189" s="28">
        <f t="shared" si="9"/>
        <v>0</v>
      </c>
      <c r="H189" s="28">
        <f t="shared" si="10"/>
        <v>384992.69119999994</v>
      </c>
      <c r="I189" s="28">
        <f t="shared" si="11"/>
        <v>384992.69119999994</v>
      </c>
    </row>
    <row r="190" spans="1:9" x14ac:dyDescent="0.3">
      <c r="A190" s="39"/>
      <c r="B190" s="45" t="s">
        <v>163</v>
      </c>
      <c r="C190" s="30" t="s">
        <v>62</v>
      </c>
      <c r="D190" s="34">
        <f>(236.1+244.2*22+244.2+185.7)/1000*1.04</f>
        <v>6.2799359999999993</v>
      </c>
      <c r="E190" s="71"/>
      <c r="F190" s="28">
        <v>39400</v>
      </c>
      <c r="G190" s="28">
        <f t="shared" si="9"/>
        <v>0</v>
      </c>
      <c r="H190" s="28">
        <f t="shared" si="10"/>
        <v>247429.47839999996</v>
      </c>
      <c r="I190" s="28">
        <f t="shared" si="11"/>
        <v>247429.47839999996</v>
      </c>
    </row>
    <row r="191" spans="1:9" x14ac:dyDescent="0.3">
      <c r="A191" s="39"/>
      <c r="B191" s="45" t="s">
        <v>179</v>
      </c>
      <c r="C191" s="30" t="s">
        <v>62</v>
      </c>
      <c r="D191" s="34">
        <f>(74.7+74.7*22+74.7+51.1)/1000*1.04</f>
        <v>1.9176560000000002</v>
      </c>
      <c r="E191" s="71"/>
      <c r="F191" s="28">
        <v>40000</v>
      </c>
      <c r="G191" s="28">
        <f t="shared" si="9"/>
        <v>0</v>
      </c>
      <c r="H191" s="28">
        <f t="shared" si="10"/>
        <v>76706.240000000005</v>
      </c>
      <c r="I191" s="28">
        <f t="shared" si="11"/>
        <v>76706.240000000005</v>
      </c>
    </row>
    <row r="192" spans="1:9" ht="15.65" x14ac:dyDescent="0.3">
      <c r="A192" s="59"/>
      <c r="B192" s="45" t="s">
        <v>71</v>
      </c>
      <c r="C192" s="30" t="s">
        <v>62</v>
      </c>
      <c r="D192" s="34">
        <f>0.02*D187</f>
        <v>0.52240240000000004</v>
      </c>
      <c r="E192" s="28"/>
      <c r="F192" s="28">
        <v>53104</v>
      </c>
      <c r="G192" s="28">
        <f t="shared" si="9"/>
        <v>0</v>
      </c>
      <c r="H192" s="28">
        <f t="shared" si="10"/>
        <v>27741.657049600002</v>
      </c>
      <c r="I192" s="28">
        <f t="shared" si="11"/>
        <v>27741.657049600002</v>
      </c>
    </row>
    <row r="193" spans="1:9" s="22" customFormat="1" ht="28.8" x14ac:dyDescent="0.3">
      <c r="A193" s="39" t="s">
        <v>220</v>
      </c>
      <c r="B193" s="41" t="s">
        <v>221</v>
      </c>
      <c r="C193" s="42" t="s">
        <v>34</v>
      </c>
      <c r="D193" s="43">
        <f>5.42+5.35*23+3.75</f>
        <v>132.22</v>
      </c>
      <c r="E193" s="44">
        <v>2700</v>
      </c>
      <c r="F193" s="44"/>
      <c r="G193" s="44">
        <f t="shared" si="9"/>
        <v>356994</v>
      </c>
      <c r="H193" s="44">
        <f t="shared" si="10"/>
        <v>0</v>
      </c>
      <c r="I193" s="44">
        <f t="shared" si="11"/>
        <v>356994</v>
      </c>
    </row>
    <row r="194" spans="1:9" x14ac:dyDescent="0.3">
      <c r="A194" s="23" t="s">
        <v>222</v>
      </c>
      <c r="B194" s="45" t="s">
        <v>171</v>
      </c>
      <c r="C194" s="30" t="s">
        <v>34</v>
      </c>
      <c r="D194" s="80">
        <f>(5.42+5.35*4)*1.05</f>
        <v>28.161000000000001</v>
      </c>
      <c r="E194" s="28"/>
      <c r="F194" s="28">
        <v>5450</v>
      </c>
      <c r="G194" s="28">
        <f t="shared" si="9"/>
        <v>0</v>
      </c>
      <c r="H194" s="28">
        <f t="shared" si="10"/>
        <v>153477.45000000001</v>
      </c>
      <c r="I194" s="28">
        <f t="shared" si="11"/>
        <v>153477.45000000001</v>
      </c>
    </row>
    <row r="195" spans="1:9" x14ac:dyDescent="0.3">
      <c r="A195" s="23" t="s">
        <v>223</v>
      </c>
      <c r="B195" s="81" t="s">
        <v>175</v>
      </c>
      <c r="C195" s="82" t="s">
        <v>34</v>
      </c>
      <c r="D195" s="83">
        <f>(5.35*19+3.75)*1.05</f>
        <v>110.67</v>
      </c>
      <c r="E195" s="72"/>
      <c r="F195" s="72">
        <v>5300</v>
      </c>
      <c r="G195" s="28">
        <f t="shared" si="9"/>
        <v>0</v>
      </c>
      <c r="H195" s="28">
        <f t="shared" si="10"/>
        <v>586551</v>
      </c>
      <c r="I195" s="28">
        <f t="shared" si="11"/>
        <v>586551</v>
      </c>
    </row>
    <row r="196" spans="1:9" x14ac:dyDescent="0.3">
      <c r="A196" s="23" t="s">
        <v>224</v>
      </c>
      <c r="B196" s="45" t="s">
        <v>60</v>
      </c>
      <c r="C196" s="30" t="s">
        <v>62</v>
      </c>
      <c r="D196" s="34">
        <f>SUM(D197:D200)</f>
        <v>15.347176000000001</v>
      </c>
      <c r="E196" s="28"/>
      <c r="F196" s="28"/>
      <c r="G196" s="28">
        <f t="shared" si="9"/>
        <v>0</v>
      </c>
      <c r="H196" s="28">
        <f t="shared" si="10"/>
        <v>0</v>
      </c>
      <c r="I196" s="28">
        <f t="shared" si="11"/>
        <v>0</v>
      </c>
    </row>
    <row r="197" spans="1:9" x14ac:dyDescent="0.3">
      <c r="A197" s="39"/>
      <c r="B197" s="45" t="s">
        <v>178</v>
      </c>
      <c r="C197" s="30" t="s">
        <v>62</v>
      </c>
      <c r="D197" s="34">
        <f>(161.2+158.8*22+175.2+69.2)/1000*1.04</f>
        <v>4.0551680000000001</v>
      </c>
      <c r="E197" s="71"/>
      <c r="F197" s="28">
        <v>33500</v>
      </c>
      <c r="G197" s="28">
        <f t="shared" si="9"/>
        <v>0</v>
      </c>
      <c r="H197" s="28">
        <f t="shared" si="10"/>
        <v>135848.128</v>
      </c>
      <c r="I197" s="28">
        <f t="shared" si="11"/>
        <v>135848.128</v>
      </c>
    </row>
    <row r="198" spans="1:9" x14ac:dyDescent="0.3">
      <c r="A198" s="39"/>
      <c r="B198" s="45" t="s">
        <v>162</v>
      </c>
      <c r="C198" s="30" t="s">
        <v>62</v>
      </c>
      <c r="D198" s="34">
        <f>(254.4+247.4*22+253.7+209.3)/1000*1.04</f>
        <v>6.4066080000000003</v>
      </c>
      <c r="E198" s="71"/>
      <c r="F198" s="28">
        <v>34400</v>
      </c>
      <c r="G198" s="28">
        <f t="shared" si="9"/>
        <v>0</v>
      </c>
      <c r="H198" s="28">
        <f t="shared" si="10"/>
        <v>220387.31520000001</v>
      </c>
      <c r="I198" s="28">
        <f t="shared" si="11"/>
        <v>220387.31520000001</v>
      </c>
    </row>
    <row r="199" spans="1:9" x14ac:dyDescent="0.3">
      <c r="A199" s="39"/>
      <c r="B199" s="45" t="s">
        <v>163</v>
      </c>
      <c r="C199" s="30" t="s">
        <v>62</v>
      </c>
      <c r="D199" s="34">
        <f>(143.6+149.1*22+149.1+98.6)/1000*1.04</f>
        <v>3.8183599999999998</v>
      </c>
      <c r="E199" s="71"/>
      <c r="F199" s="28">
        <v>39400</v>
      </c>
      <c r="G199" s="28">
        <f t="shared" si="9"/>
        <v>0</v>
      </c>
      <c r="H199" s="28">
        <f t="shared" si="10"/>
        <v>150443.38399999999</v>
      </c>
      <c r="I199" s="28">
        <f t="shared" si="11"/>
        <v>150443.38399999999</v>
      </c>
    </row>
    <row r="200" spans="1:9" x14ac:dyDescent="0.3">
      <c r="A200" s="39"/>
      <c r="B200" s="45" t="s">
        <v>179</v>
      </c>
      <c r="C200" s="30" t="s">
        <v>62</v>
      </c>
      <c r="D200" s="34">
        <f>(41.8+41.6*22+41.6+27.4)/1000*1.04</f>
        <v>1.06704</v>
      </c>
      <c r="E200" s="71"/>
      <c r="F200" s="28">
        <v>40000</v>
      </c>
      <c r="G200" s="28">
        <f t="shared" si="9"/>
        <v>0</v>
      </c>
      <c r="H200" s="28">
        <f t="shared" si="10"/>
        <v>42681.599999999999</v>
      </c>
      <c r="I200" s="28">
        <f t="shared" si="11"/>
        <v>42681.599999999999</v>
      </c>
    </row>
    <row r="201" spans="1:9" ht="15.65" x14ac:dyDescent="0.3">
      <c r="A201" s="59"/>
      <c r="B201" s="45" t="s">
        <v>71</v>
      </c>
      <c r="C201" s="30" t="s">
        <v>62</v>
      </c>
      <c r="D201" s="34">
        <f>0.02*D196</f>
        <v>0.30694352000000003</v>
      </c>
      <c r="E201" s="28"/>
      <c r="F201" s="28">
        <v>53104</v>
      </c>
      <c r="G201" s="28">
        <f t="shared" si="9"/>
        <v>0</v>
      </c>
      <c r="H201" s="28">
        <f t="shared" si="10"/>
        <v>16299.928686080002</v>
      </c>
      <c r="I201" s="28">
        <f t="shared" si="11"/>
        <v>16299.928686080002</v>
      </c>
    </row>
    <row r="202" spans="1:9" s="22" customFormat="1" ht="28.8" x14ac:dyDescent="0.3">
      <c r="A202" s="39" t="s">
        <v>225</v>
      </c>
      <c r="B202" s="41" t="s">
        <v>226</v>
      </c>
      <c r="C202" s="42" t="s">
        <v>34</v>
      </c>
      <c r="D202" s="43">
        <f>10.06+9.92*23+6.15</f>
        <v>244.37</v>
      </c>
      <c r="E202" s="44">
        <v>2700</v>
      </c>
      <c r="F202" s="44"/>
      <c r="G202" s="44">
        <f t="shared" si="9"/>
        <v>659799</v>
      </c>
      <c r="H202" s="44">
        <f t="shared" si="10"/>
        <v>0</v>
      </c>
      <c r="I202" s="44">
        <f t="shared" si="11"/>
        <v>659799</v>
      </c>
    </row>
    <row r="203" spans="1:9" x14ac:dyDescent="0.3">
      <c r="A203" s="23" t="s">
        <v>227</v>
      </c>
      <c r="B203" s="45" t="s">
        <v>171</v>
      </c>
      <c r="C203" s="30" t="s">
        <v>34</v>
      </c>
      <c r="D203" s="80">
        <f>(10.06+9.92*22)*1.05</f>
        <v>239.71500000000003</v>
      </c>
      <c r="E203" s="28"/>
      <c r="F203" s="28">
        <v>5450</v>
      </c>
      <c r="G203" s="28">
        <f t="shared" si="9"/>
        <v>0</v>
      </c>
      <c r="H203" s="28">
        <f t="shared" si="10"/>
        <v>1306446.7500000002</v>
      </c>
      <c r="I203" s="28">
        <f t="shared" si="11"/>
        <v>1306446.7500000002</v>
      </c>
    </row>
    <row r="204" spans="1:9" x14ac:dyDescent="0.3">
      <c r="A204" s="23" t="s">
        <v>228</v>
      </c>
      <c r="B204" s="81" t="s">
        <v>175</v>
      </c>
      <c r="C204" s="82" t="s">
        <v>34</v>
      </c>
      <c r="D204" s="83">
        <f>(9.92+6.15)*1.05</f>
        <v>16.8735</v>
      </c>
      <c r="E204" s="72"/>
      <c r="F204" s="72">
        <v>5300</v>
      </c>
      <c r="G204" s="28">
        <f t="shared" si="9"/>
        <v>0</v>
      </c>
      <c r="H204" s="28">
        <f t="shared" si="10"/>
        <v>89429.55</v>
      </c>
      <c r="I204" s="28">
        <f t="shared" si="11"/>
        <v>89429.55</v>
      </c>
    </row>
    <row r="205" spans="1:9" x14ac:dyDescent="0.3">
      <c r="A205" s="23" t="s">
        <v>229</v>
      </c>
      <c r="B205" s="45" t="s">
        <v>60</v>
      </c>
      <c r="C205" s="30" t="s">
        <v>62</v>
      </c>
      <c r="D205" s="34">
        <f>SUM(D206:D209)</f>
        <v>23.235264000000001</v>
      </c>
      <c r="E205" s="28"/>
      <c r="F205" s="28"/>
      <c r="G205" s="28">
        <f t="shared" si="9"/>
        <v>0</v>
      </c>
      <c r="H205" s="28">
        <f t="shared" si="10"/>
        <v>0</v>
      </c>
      <c r="I205" s="28">
        <f t="shared" si="11"/>
        <v>0</v>
      </c>
    </row>
    <row r="206" spans="1:9" x14ac:dyDescent="0.3">
      <c r="A206" s="39"/>
      <c r="B206" s="45" t="s">
        <v>178</v>
      </c>
      <c r="C206" s="30" t="s">
        <v>62</v>
      </c>
      <c r="D206" s="34">
        <f>(118+116*22+111.6+51.2)/1000*1.04</f>
        <v>2.9461119999999998</v>
      </c>
      <c r="E206" s="71"/>
      <c r="F206" s="28">
        <v>33500</v>
      </c>
      <c r="G206" s="28">
        <f t="shared" si="9"/>
        <v>0</v>
      </c>
      <c r="H206" s="28">
        <f t="shared" si="10"/>
        <v>98694.751999999993</v>
      </c>
      <c r="I206" s="28">
        <f t="shared" si="11"/>
        <v>98694.751999999993</v>
      </c>
    </row>
    <row r="207" spans="1:9" x14ac:dyDescent="0.3">
      <c r="A207" s="39"/>
      <c r="B207" s="45" t="s">
        <v>162</v>
      </c>
      <c r="C207" s="30" t="s">
        <v>62</v>
      </c>
      <c r="D207" s="34">
        <f>(521.6+506.4*22+503.2+294.4)/1000*1.04</f>
        <v>12.958400000000001</v>
      </c>
      <c r="E207" s="71"/>
      <c r="F207" s="28">
        <v>34400</v>
      </c>
      <c r="G207" s="28">
        <f t="shared" si="9"/>
        <v>0</v>
      </c>
      <c r="H207" s="28">
        <f t="shared" si="10"/>
        <v>445768.96000000002</v>
      </c>
      <c r="I207" s="28">
        <f t="shared" si="11"/>
        <v>445768.96000000002</v>
      </c>
    </row>
    <row r="208" spans="1:9" x14ac:dyDescent="0.3">
      <c r="A208" s="39"/>
      <c r="B208" s="45" t="s">
        <v>163</v>
      </c>
      <c r="C208" s="30" t="s">
        <v>62</v>
      </c>
      <c r="D208" s="34">
        <f>(225.5+225.5*22+225.5+152.2)/1000*1.04</f>
        <v>5.7867679999999995</v>
      </c>
      <c r="E208" s="71"/>
      <c r="F208" s="28">
        <v>39400</v>
      </c>
      <c r="G208" s="28">
        <f t="shared" si="9"/>
        <v>0</v>
      </c>
      <c r="H208" s="28">
        <f t="shared" si="10"/>
        <v>227998.65919999997</v>
      </c>
      <c r="I208" s="28">
        <f t="shared" si="11"/>
        <v>227998.65919999997</v>
      </c>
    </row>
    <row r="209" spans="1:9" x14ac:dyDescent="0.3">
      <c r="A209" s="39"/>
      <c r="B209" s="45" t="s">
        <v>179</v>
      </c>
      <c r="C209" s="30" t="s">
        <v>62</v>
      </c>
      <c r="D209" s="34">
        <f>(60.6+60.6*22+60.6+30.2)/1000*1.04</f>
        <v>1.543984</v>
      </c>
      <c r="E209" s="71"/>
      <c r="F209" s="28">
        <v>40000</v>
      </c>
      <c r="G209" s="28">
        <f t="shared" si="9"/>
        <v>0</v>
      </c>
      <c r="H209" s="28">
        <f t="shared" si="10"/>
        <v>61759.360000000001</v>
      </c>
      <c r="I209" s="28">
        <f t="shared" si="11"/>
        <v>61759.360000000001</v>
      </c>
    </row>
    <row r="210" spans="1:9" ht="15.65" x14ac:dyDescent="0.3">
      <c r="A210" s="59"/>
      <c r="B210" s="45" t="s">
        <v>71</v>
      </c>
      <c r="C210" s="30" t="s">
        <v>62</v>
      </c>
      <c r="D210" s="34">
        <f>0.02*D205</f>
        <v>0.46470528</v>
      </c>
      <c r="E210" s="28"/>
      <c r="F210" s="28">
        <v>53104</v>
      </c>
      <c r="G210" s="28">
        <f t="shared" si="9"/>
        <v>0</v>
      </c>
      <c r="H210" s="28">
        <f t="shared" si="10"/>
        <v>24677.70918912</v>
      </c>
      <c r="I210" s="28">
        <f t="shared" si="11"/>
        <v>24677.70918912</v>
      </c>
    </row>
    <row r="211" spans="1:9" s="22" customFormat="1" ht="28.8" x14ac:dyDescent="0.3">
      <c r="A211" s="39" t="s">
        <v>230</v>
      </c>
      <c r="B211" s="41" t="s">
        <v>231</v>
      </c>
      <c r="C211" s="42" t="s">
        <v>34</v>
      </c>
      <c r="D211" s="70">
        <f>0.82*24+0.83</f>
        <v>20.509999999999998</v>
      </c>
      <c r="E211" s="44">
        <v>2700</v>
      </c>
      <c r="F211" s="44"/>
      <c r="G211" s="44">
        <f t="shared" si="9"/>
        <v>55376.999999999993</v>
      </c>
      <c r="H211" s="44">
        <f t="shared" si="10"/>
        <v>0</v>
      </c>
      <c r="I211" s="44">
        <f t="shared" si="11"/>
        <v>55376.999999999993</v>
      </c>
    </row>
    <row r="212" spans="1:9" x14ac:dyDescent="0.3">
      <c r="A212" s="23" t="s">
        <v>232</v>
      </c>
      <c r="B212" s="45" t="s">
        <v>175</v>
      </c>
      <c r="C212" s="30" t="s">
        <v>34</v>
      </c>
      <c r="D212" s="69">
        <f>D211*1.04</f>
        <v>21.330399999999997</v>
      </c>
      <c r="E212" s="28"/>
      <c r="F212" s="28">
        <v>5300</v>
      </c>
      <c r="G212" s="28">
        <f t="shared" si="9"/>
        <v>0</v>
      </c>
      <c r="H212" s="28">
        <f t="shared" si="10"/>
        <v>113051.11999999998</v>
      </c>
      <c r="I212" s="28">
        <f t="shared" si="11"/>
        <v>113051.11999999998</v>
      </c>
    </row>
    <row r="213" spans="1:9" x14ac:dyDescent="0.3">
      <c r="A213" s="23" t="s">
        <v>233</v>
      </c>
      <c r="B213" s="45" t="s">
        <v>60</v>
      </c>
      <c r="C213" s="30" t="s">
        <v>62</v>
      </c>
      <c r="D213" s="69">
        <v>2.7456</v>
      </c>
      <c r="E213" s="28"/>
      <c r="F213" s="28"/>
      <c r="G213" s="28">
        <f t="shared" si="9"/>
        <v>0</v>
      </c>
      <c r="H213" s="28">
        <f t="shared" si="10"/>
        <v>0</v>
      </c>
      <c r="I213" s="28">
        <f t="shared" si="11"/>
        <v>0</v>
      </c>
    </row>
    <row r="214" spans="1:9" x14ac:dyDescent="0.3">
      <c r="A214" s="39"/>
      <c r="B214" s="45" t="s">
        <v>178</v>
      </c>
      <c r="C214" s="30" t="s">
        <v>62</v>
      </c>
      <c r="D214" s="34">
        <f>(765)/1000*1.04</f>
        <v>0.79560000000000008</v>
      </c>
      <c r="E214" s="71"/>
      <c r="F214" s="28">
        <v>33500</v>
      </c>
      <c r="G214" s="28">
        <f t="shared" si="9"/>
        <v>0</v>
      </c>
      <c r="H214" s="28">
        <f t="shared" si="10"/>
        <v>26652.600000000002</v>
      </c>
      <c r="I214" s="28">
        <f t="shared" si="11"/>
        <v>26652.600000000002</v>
      </c>
    </row>
    <row r="215" spans="1:9" x14ac:dyDescent="0.3">
      <c r="A215" s="39"/>
      <c r="B215" s="45" t="s">
        <v>234</v>
      </c>
      <c r="C215" s="30" t="s">
        <v>62</v>
      </c>
      <c r="D215" s="34">
        <f>(1791)/1000*1.04</f>
        <v>1.8626400000000001</v>
      </c>
      <c r="E215" s="71"/>
      <c r="F215" s="28">
        <v>35100</v>
      </c>
      <c r="G215" s="28">
        <f t="shared" si="9"/>
        <v>0</v>
      </c>
      <c r="H215" s="28">
        <f t="shared" si="10"/>
        <v>65378.664000000004</v>
      </c>
      <c r="I215" s="28">
        <f t="shared" si="11"/>
        <v>65378.664000000004</v>
      </c>
    </row>
    <row r="216" spans="1:9" x14ac:dyDescent="0.3">
      <c r="A216" s="39"/>
      <c r="B216" s="45" t="s">
        <v>179</v>
      </c>
      <c r="C216" s="30" t="s">
        <v>62</v>
      </c>
      <c r="D216" s="34">
        <f>(111+46.9)/1000*1.04</f>
        <v>0.16421600000000003</v>
      </c>
      <c r="E216" s="71"/>
      <c r="F216" s="28">
        <v>40000</v>
      </c>
      <c r="G216" s="28">
        <f t="shared" si="9"/>
        <v>0</v>
      </c>
      <c r="H216" s="28">
        <f t="shared" si="10"/>
        <v>6568.6400000000012</v>
      </c>
      <c r="I216" s="28">
        <f t="shared" si="11"/>
        <v>6568.6400000000012</v>
      </c>
    </row>
    <row r="217" spans="1:9" ht="15.65" x14ac:dyDescent="0.3">
      <c r="A217" s="59"/>
      <c r="B217" s="45" t="s">
        <v>71</v>
      </c>
      <c r="C217" s="30" t="s">
        <v>62</v>
      </c>
      <c r="D217" s="34">
        <f>0.02*D213</f>
        <v>5.4912000000000002E-2</v>
      </c>
      <c r="E217" s="28"/>
      <c r="F217" s="28">
        <v>53104</v>
      </c>
      <c r="G217" s="28">
        <f t="shared" si="9"/>
        <v>0</v>
      </c>
      <c r="H217" s="28">
        <f t="shared" si="10"/>
        <v>2916.046848</v>
      </c>
      <c r="I217" s="28">
        <f t="shared" si="11"/>
        <v>2916.046848</v>
      </c>
    </row>
    <row r="218" spans="1:9" s="22" customFormat="1" ht="15.65" x14ac:dyDescent="0.3">
      <c r="A218" s="62" t="s">
        <v>235</v>
      </c>
      <c r="B218" s="84" t="s">
        <v>236</v>
      </c>
      <c r="C218" s="42"/>
      <c r="D218" s="43"/>
      <c r="E218" s="44"/>
      <c r="F218" s="44"/>
      <c r="G218" s="44">
        <f t="shared" si="9"/>
        <v>0</v>
      </c>
      <c r="H218" s="44">
        <f t="shared" si="10"/>
        <v>0</v>
      </c>
      <c r="I218" s="44">
        <f t="shared" si="11"/>
        <v>0</v>
      </c>
    </row>
    <row r="219" spans="1:9" ht="15.65" x14ac:dyDescent="0.3">
      <c r="A219" s="59" t="s">
        <v>237</v>
      </c>
      <c r="B219" s="85" t="s">
        <v>238</v>
      </c>
      <c r="C219" s="86" t="s">
        <v>44</v>
      </c>
      <c r="D219" s="50">
        <f>902</f>
        <v>902</v>
      </c>
      <c r="E219" s="53">
        <v>15</v>
      </c>
      <c r="F219" s="28"/>
      <c r="G219" s="28">
        <f t="shared" si="9"/>
        <v>13530</v>
      </c>
      <c r="H219" s="28">
        <f t="shared" si="10"/>
        <v>0</v>
      </c>
      <c r="I219" s="28">
        <f t="shared" si="11"/>
        <v>13530</v>
      </c>
    </row>
    <row r="220" spans="1:9" ht="15.65" x14ac:dyDescent="0.3">
      <c r="A220" s="59" t="s">
        <v>239</v>
      </c>
      <c r="B220" s="85" t="s">
        <v>240</v>
      </c>
      <c r="C220" s="86" t="s">
        <v>44</v>
      </c>
      <c r="D220" s="50">
        <f>809+806+806*5+917*5+919*4+920*3+920+921</f>
        <v>18507</v>
      </c>
      <c r="E220" s="53">
        <v>15</v>
      </c>
      <c r="F220" s="28"/>
      <c r="G220" s="28">
        <f t="shared" si="9"/>
        <v>277605</v>
      </c>
      <c r="H220" s="28">
        <f t="shared" si="10"/>
        <v>0</v>
      </c>
      <c r="I220" s="28">
        <f t="shared" si="11"/>
        <v>277605</v>
      </c>
    </row>
    <row r="221" spans="1:9" ht="31.3" x14ac:dyDescent="0.3">
      <c r="A221" s="59" t="s">
        <v>241</v>
      </c>
      <c r="B221" s="85" t="s">
        <v>242</v>
      </c>
      <c r="C221" s="86" t="s">
        <v>44</v>
      </c>
      <c r="D221" s="50">
        <f>1274</f>
        <v>1274</v>
      </c>
      <c r="E221" s="53">
        <v>50</v>
      </c>
      <c r="F221" s="28"/>
      <c r="G221" s="28">
        <f t="shared" si="9"/>
        <v>63700</v>
      </c>
      <c r="H221" s="28">
        <f t="shared" si="10"/>
        <v>0</v>
      </c>
      <c r="I221" s="28">
        <f t="shared" si="11"/>
        <v>63700</v>
      </c>
    </row>
    <row r="222" spans="1:9" ht="15.65" x14ac:dyDescent="0.3">
      <c r="A222" s="59" t="s">
        <v>243</v>
      </c>
      <c r="B222" s="85" t="s">
        <v>244</v>
      </c>
      <c r="C222" s="86" t="s">
        <v>44</v>
      </c>
      <c r="D222" s="50">
        <f>1*18</f>
        <v>18</v>
      </c>
      <c r="E222" s="53">
        <v>15</v>
      </c>
      <c r="F222" s="28"/>
      <c r="G222" s="28">
        <f t="shared" si="9"/>
        <v>270</v>
      </c>
      <c r="H222" s="28">
        <f t="shared" si="10"/>
        <v>0</v>
      </c>
      <c r="I222" s="28">
        <f t="shared" si="11"/>
        <v>270</v>
      </c>
    </row>
    <row r="223" spans="1:9" ht="15.65" x14ac:dyDescent="0.3">
      <c r="A223" s="59" t="s">
        <v>245</v>
      </c>
      <c r="B223" s="85" t="s">
        <v>246</v>
      </c>
      <c r="C223" s="86" t="s">
        <v>44</v>
      </c>
      <c r="D223" s="50">
        <f>24*47+36*2</f>
        <v>1200</v>
      </c>
      <c r="E223" s="53">
        <v>15</v>
      </c>
      <c r="F223" s="28"/>
      <c r="G223" s="28">
        <f t="shared" si="9"/>
        <v>18000</v>
      </c>
      <c r="H223" s="28">
        <f t="shared" si="10"/>
        <v>0</v>
      </c>
      <c r="I223" s="28">
        <f t="shared" si="11"/>
        <v>18000</v>
      </c>
    </row>
    <row r="224" spans="1:9" ht="15.65" x14ac:dyDescent="0.3">
      <c r="A224" s="59" t="s">
        <v>247</v>
      </c>
      <c r="B224" s="87" t="s">
        <v>248</v>
      </c>
      <c r="C224" s="86" t="s">
        <v>44</v>
      </c>
      <c r="D224" s="30">
        <f>1*47+2*2</f>
        <v>51</v>
      </c>
      <c r="E224" s="53">
        <v>15</v>
      </c>
      <c r="F224" s="28"/>
      <c r="G224" s="28">
        <f t="shared" si="9"/>
        <v>765</v>
      </c>
      <c r="H224" s="28">
        <f t="shared" si="10"/>
        <v>0</v>
      </c>
      <c r="I224" s="28">
        <f t="shared" si="11"/>
        <v>765</v>
      </c>
    </row>
    <row r="225" spans="1:10" x14ac:dyDescent="0.3">
      <c r="A225" s="17" t="s">
        <v>249</v>
      </c>
      <c r="B225" s="18" t="s">
        <v>5</v>
      </c>
      <c r="C225" s="19"/>
      <c r="D225" s="88"/>
      <c r="E225" s="89"/>
      <c r="F225" s="90"/>
      <c r="G225" s="91"/>
      <c r="H225" s="91"/>
      <c r="I225" s="91"/>
    </row>
    <row r="226" spans="1:10" s="22" customFormat="1" x14ac:dyDescent="0.3">
      <c r="A226" s="39" t="s">
        <v>250</v>
      </c>
      <c r="B226" s="41" t="s">
        <v>251</v>
      </c>
      <c r="C226" s="42" t="s">
        <v>44</v>
      </c>
      <c r="D226" s="92">
        <f>49</f>
        <v>49</v>
      </c>
      <c r="E226" s="93">
        <v>1100</v>
      </c>
      <c r="F226" s="94"/>
      <c r="G226" s="95">
        <f>D226*E226</f>
        <v>53900</v>
      </c>
      <c r="H226" s="95">
        <f>D226*F226</f>
        <v>0</v>
      </c>
      <c r="I226" s="95">
        <f>G226+H226</f>
        <v>53900</v>
      </c>
    </row>
    <row r="227" spans="1:10" x14ac:dyDescent="0.3">
      <c r="A227" s="23" t="s">
        <v>252</v>
      </c>
      <c r="B227" s="29" t="s">
        <v>253</v>
      </c>
      <c r="C227" s="30" t="s">
        <v>44</v>
      </c>
      <c r="D227" s="96">
        <f>49</f>
        <v>49</v>
      </c>
      <c r="E227" s="97"/>
      <c r="F227" s="98">
        <v>15850</v>
      </c>
      <c r="G227" s="99">
        <f>D227*E227</f>
        <v>0</v>
      </c>
      <c r="H227" s="99">
        <f>D227*F227</f>
        <v>776650</v>
      </c>
      <c r="I227" s="99">
        <f>G227+H227</f>
        <v>776650</v>
      </c>
    </row>
    <row r="228" spans="1:10" x14ac:dyDescent="0.3">
      <c r="A228" s="23" t="s">
        <v>254</v>
      </c>
      <c r="B228" s="29" t="s">
        <v>255</v>
      </c>
      <c r="C228" s="30" t="s">
        <v>62</v>
      </c>
      <c r="D228" s="100">
        <f>4.52/1000*1.04</f>
        <v>4.7007999999999998E-3</v>
      </c>
      <c r="E228" s="97"/>
      <c r="F228" s="98">
        <v>44100</v>
      </c>
      <c r="G228" s="99">
        <f>D228*E228</f>
        <v>0</v>
      </c>
      <c r="H228" s="99">
        <f>D228*F228</f>
        <v>207.30527999999998</v>
      </c>
      <c r="I228" s="99">
        <f>G228+H228</f>
        <v>207.30527999999998</v>
      </c>
    </row>
    <row r="229" spans="1:10" x14ac:dyDescent="0.3">
      <c r="A229" s="23" t="s">
        <v>256</v>
      </c>
      <c r="B229" s="29" t="s">
        <v>257</v>
      </c>
      <c r="C229" s="30" t="s">
        <v>44</v>
      </c>
      <c r="D229" s="96">
        <v>2</v>
      </c>
      <c r="E229" s="97"/>
      <c r="F229" s="98">
        <v>27.96</v>
      </c>
      <c r="G229" s="99">
        <f>D229*E229</f>
        <v>0</v>
      </c>
      <c r="H229" s="99">
        <f>D229*F229</f>
        <v>55.92</v>
      </c>
      <c r="I229" s="99">
        <f>G229+H229</f>
        <v>55.92</v>
      </c>
      <c r="J229" s="300"/>
    </row>
    <row r="230" spans="1:10" x14ac:dyDescent="0.3">
      <c r="A230" s="23" t="s">
        <v>258</v>
      </c>
      <c r="B230" s="45" t="s">
        <v>259</v>
      </c>
      <c r="C230" s="30" t="s">
        <v>62</v>
      </c>
      <c r="D230" s="30">
        <v>2.5</v>
      </c>
      <c r="E230" s="97">
        <v>25000</v>
      </c>
      <c r="F230" s="98">
        <v>45000</v>
      </c>
      <c r="G230" s="99">
        <f>D230*E230</f>
        <v>62500</v>
      </c>
      <c r="H230" s="99">
        <f>D230*F230</f>
        <v>112500</v>
      </c>
      <c r="I230" s="99">
        <f>G230+H230</f>
        <v>175000</v>
      </c>
    </row>
    <row r="231" spans="1:10" x14ac:dyDescent="0.3">
      <c r="A231" s="17" t="s">
        <v>249</v>
      </c>
      <c r="B231" s="18" t="s">
        <v>260</v>
      </c>
      <c r="C231" s="101"/>
      <c r="D231" s="102"/>
      <c r="E231" s="40"/>
      <c r="F231" s="40"/>
      <c r="G231" s="40"/>
      <c r="H231" s="40"/>
      <c r="I231" s="40"/>
    </row>
    <row r="232" spans="1:10" s="22" customFormat="1" ht="28.8" x14ac:dyDescent="0.3">
      <c r="A232" s="39" t="s">
        <v>261</v>
      </c>
      <c r="B232" s="41" t="s">
        <v>262</v>
      </c>
      <c r="C232" s="42" t="s">
        <v>34</v>
      </c>
      <c r="D232" s="70">
        <f>SUM(D233,D239)</f>
        <v>27.699999999999996</v>
      </c>
      <c r="E232" s="44"/>
      <c r="F232" s="44"/>
      <c r="G232" s="44">
        <f>D232*E232</f>
        <v>0</v>
      </c>
      <c r="H232" s="44">
        <f>D232*F232</f>
        <v>0</v>
      </c>
      <c r="I232" s="44">
        <f>G232+H232</f>
        <v>0</v>
      </c>
    </row>
    <row r="233" spans="1:10" x14ac:dyDescent="0.3">
      <c r="A233" s="23" t="s">
        <v>252</v>
      </c>
      <c r="B233" s="79" t="s">
        <v>263</v>
      </c>
      <c r="C233" s="30" t="s">
        <v>34</v>
      </c>
      <c r="D233" s="69">
        <v>11.62</v>
      </c>
      <c r="E233" s="28"/>
      <c r="F233" s="28"/>
      <c r="G233" s="28">
        <f t="shared" ref="G233:G263" si="12">D233*E233</f>
        <v>0</v>
      </c>
      <c r="H233" s="28">
        <f t="shared" ref="H233:H263" si="13">D233*F233</f>
        <v>0</v>
      </c>
      <c r="I233" s="28">
        <f t="shared" ref="I233:I263" si="14">G233+H233</f>
        <v>0</v>
      </c>
    </row>
    <row r="234" spans="1:10" x14ac:dyDescent="0.3">
      <c r="A234" s="23"/>
      <c r="B234" s="45" t="s">
        <v>264</v>
      </c>
      <c r="C234" s="30" t="s">
        <v>34</v>
      </c>
      <c r="D234" s="69">
        <f>11.62*1.05</f>
        <v>12.201000000000001</v>
      </c>
      <c r="E234" s="28">
        <v>2700</v>
      </c>
      <c r="F234" s="28">
        <v>5450</v>
      </c>
      <c r="G234" s="28">
        <f t="shared" si="12"/>
        <v>32942.700000000004</v>
      </c>
      <c r="H234" s="28">
        <f t="shared" si="13"/>
        <v>66495.45</v>
      </c>
      <c r="I234" s="28">
        <f t="shared" si="14"/>
        <v>99438.15</v>
      </c>
    </row>
    <row r="235" spans="1:10" x14ac:dyDescent="0.3">
      <c r="A235" s="23"/>
      <c r="B235" s="45" t="s">
        <v>60</v>
      </c>
      <c r="C235" s="30" t="s">
        <v>62</v>
      </c>
      <c r="D235" s="69">
        <f>SUM(D236:D237)</f>
        <v>1.3126776000000002</v>
      </c>
      <c r="E235" s="28"/>
      <c r="F235" s="28"/>
      <c r="G235" s="28">
        <f t="shared" si="12"/>
        <v>0</v>
      </c>
      <c r="H235" s="28">
        <f t="shared" si="13"/>
        <v>0</v>
      </c>
      <c r="I235" s="28">
        <f t="shared" si="14"/>
        <v>0</v>
      </c>
    </row>
    <row r="236" spans="1:10" x14ac:dyDescent="0.3">
      <c r="A236" s="23"/>
      <c r="B236" s="45" t="s">
        <v>162</v>
      </c>
      <c r="C236" s="30" t="s">
        <v>62</v>
      </c>
      <c r="D236" s="34">
        <f>1231.68/1000*1.04</f>
        <v>1.2809472000000002</v>
      </c>
      <c r="E236" s="71"/>
      <c r="F236" s="28">
        <v>34400</v>
      </c>
      <c r="G236" s="28">
        <f t="shared" si="12"/>
        <v>0</v>
      </c>
      <c r="H236" s="28">
        <f t="shared" si="13"/>
        <v>44064.583680000003</v>
      </c>
      <c r="I236" s="28">
        <f t="shared" si="14"/>
        <v>44064.583680000003</v>
      </c>
    </row>
    <row r="237" spans="1:10" x14ac:dyDescent="0.3">
      <c r="A237" s="23"/>
      <c r="B237" s="45" t="s">
        <v>179</v>
      </c>
      <c r="C237" s="30" t="s">
        <v>62</v>
      </c>
      <c r="D237" s="34">
        <f>30.51/1000*1.04</f>
        <v>3.1730400000000006E-2</v>
      </c>
      <c r="E237" s="71"/>
      <c r="F237" s="28">
        <v>40000</v>
      </c>
      <c r="G237" s="28">
        <f t="shared" si="12"/>
        <v>0</v>
      </c>
      <c r="H237" s="28">
        <f t="shared" si="13"/>
        <v>1269.2160000000001</v>
      </c>
      <c r="I237" s="28">
        <f t="shared" si="14"/>
        <v>1269.2160000000001</v>
      </c>
    </row>
    <row r="238" spans="1:10" ht="15.65" x14ac:dyDescent="0.3">
      <c r="A238" s="59"/>
      <c r="B238" s="45" t="s">
        <v>71</v>
      </c>
      <c r="C238" s="30" t="s">
        <v>62</v>
      </c>
      <c r="D238" s="34">
        <f>0.02*D235</f>
        <v>2.6253552000000006E-2</v>
      </c>
      <c r="E238" s="28"/>
      <c r="F238" s="28">
        <v>53104</v>
      </c>
      <c r="G238" s="28">
        <f t="shared" si="12"/>
        <v>0</v>
      </c>
      <c r="H238" s="28">
        <f t="shared" si="13"/>
        <v>1394.1686254080003</v>
      </c>
      <c r="I238" s="28">
        <f t="shared" si="14"/>
        <v>1394.1686254080003</v>
      </c>
    </row>
    <row r="239" spans="1:10" x14ac:dyDescent="0.3">
      <c r="A239" s="23" t="s">
        <v>254</v>
      </c>
      <c r="B239" s="68" t="s">
        <v>265</v>
      </c>
      <c r="C239" s="30" t="s">
        <v>34</v>
      </c>
      <c r="D239" s="69">
        <f>11.69+4.39</f>
        <v>16.079999999999998</v>
      </c>
      <c r="E239" s="28"/>
      <c r="F239" s="28"/>
      <c r="G239" s="28">
        <f t="shared" si="12"/>
        <v>0</v>
      </c>
      <c r="H239" s="28">
        <f t="shared" si="13"/>
        <v>0</v>
      </c>
      <c r="I239" s="28">
        <f t="shared" si="14"/>
        <v>0</v>
      </c>
    </row>
    <row r="240" spans="1:10" x14ac:dyDescent="0.3">
      <c r="A240" s="23"/>
      <c r="B240" s="45" t="s">
        <v>264</v>
      </c>
      <c r="C240" s="30" t="s">
        <v>34</v>
      </c>
      <c r="D240" s="69">
        <f>11.69*1.05</f>
        <v>12.2745</v>
      </c>
      <c r="E240" s="28">
        <v>2700</v>
      </c>
      <c r="F240" s="28">
        <v>5450</v>
      </c>
      <c r="G240" s="28">
        <f t="shared" si="12"/>
        <v>33141.15</v>
      </c>
      <c r="H240" s="28">
        <f t="shared" si="13"/>
        <v>66896.024999999994</v>
      </c>
      <c r="I240" s="28">
        <f t="shared" si="14"/>
        <v>100037.17499999999</v>
      </c>
    </row>
    <row r="241" spans="1:9" x14ac:dyDescent="0.3">
      <c r="A241" s="23"/>
      <c r="B241" s="45" t="s">
        <v>266</v>
      </c>
      <c r="C241" s="30" t="s">
        <v>34</v>
      </c>
      <c r="D241" s="69">
        <f>4.39*1.05</f>
        <v>4.6094999999999997</v>
      </c>
      <c r="E241" s="28">
        <v>1200</v>
      </c>
      <c r="F241" s="28">
        <v>4300</v>
      </c>
      <c r="G241" s="28">
        <f t="shared" si="12"/>
        <v>5531.4</v>
      </c>
      <c r="H241" s="28">
        <f t="shared" si="13"/>
        <v>19820.849999999999</v>
      </c>
      <c r="I241" s="28">
        <f t="shared" si="14"/>
        <v>25352.25</v>
      </c>
    </row>
    <row r="242" spans="1:9" x14ac:dyDescent="0.3">
      <c r="A242" s="23"/>
      <c r="B242" s="45" t="s">
        <v>60</v>
      </c>
      <c r="C242" s="30" t="s">
        <v>62</v>
      </c>
      <c r="D242" s="69">
        <f>SUM(D243:D244)</f>
        <v>1.6348383999999998</v>
      </c>
      <c r="E242" s="28"/>
      <c r="F242" s="28"/>
      <c r="G242" s="28">
        <f t="shared" si="12"/>
        <v>0</v>
      </c>
      <c r="H242" s="28">
        <f t="shared" si="13"/>
        <v>0</v>
      </c>
      <c r="I242" s="28">
        <f t="shared" si="14"/>
        <v>0</v>
      </c>
    </row>
    <row r="243" spans="1:9" x14ac:dyDescent="0.3">
      <c r="A243" s="23"/>
      <c r="B243" s="45" t="s">
        <v>162</v>
      </c>
      <c r="C243" s="30" t="s">
        <v>62</v>
      </c>
      <c r="D243" s="34">
        <f>1534.34/1000*1.04</f>
        <v>1.5957135999999998</v>
      </c>
      <c r="E243" s="71"/>
      <c r="F243" s="28">
        <v>34400</v>
      </c>
      <c r="G243" s="28">
        <f t="shared" si="12"/>
        <v>0</v>
      </c>
      <c r="H243" s="28">
        <f t="shared" si="13"/>
        <v>54892.547839999992</v>
      </c>
      <c r="I243" s="28">
        <f t="shared" si="14"/>
        <v>54892.547839999992</v>
      </c>
    </row>
    <row r="244" spans="1:9" x14ac:dyDescent="0.3">
      <c r="A244" s="23"/>
      <c r="B244" s="45" t="s">
        <v>267</v>
      </c>
      <c r="C244" s="30" t="s">
        <v>62</v>
      </c>
      <c r="D244" s="34">
        <f>37.62/1000*1.04</f>
        <v>3.9124800000000001E-2</v>
      </c>
      <c r="E244" s="71"/>
      <c r="F244" s="28">
        <v>40000</v>
      </c>
      <c r="G244" s="28">
        <f t="shared" si="12"/>
        <v>0</v>
      </c>
      <c r="H244" s="28">
        <f t="shared" si="13"/>
        <v>1564.992</v>
      </c>
      <c r="I244" s="28">
        <f t="shared" si="14"/>
        <v>1564.992</v>
      </c>
    </row>
    <row r="245" spans="1:9" ht="15.65" x14ac:dyDescent="0.3">
      <c r="A245" s="59"/>
      <c r="B245" s="45" t="s">
        <v>71</v>
      </c>
      <c r="C245" s="30" t="s">
        <v>62</v>
      </c>
      <c r="D245" s="34">
        <f>0.02*D242</f>
        <v>3.2696767999999994E-2</v>
      </c>
      <c r="E245" s="28"/>
      <c r="F245" s="28">
        <v>53104</v>
      </c>
      <c r="G245" s="28">
        <f t="shared" si="12"/>
        <v>0</v>
      </c>
      <c r="H245" s="28">
        <f t="shared" si="13"/>
        <v>1736.3291678719997</v>
      </c>
      <c r="I245" s="28">
        <f t="shared" si="14"/>
        <v>1736.3291678719997</v>
      </c>
    </row>
    <row r="246" spans="1:9" x14ac:dyDescent="0.3">
      <c r="A246" s="23" t="s">
        <v>256</v>
      </c>
      <c r="B246" s="29" t="s">
        <v>268</v>
      </c>
      <c r="C246" s="30" t="s">
        <v>34</v>
      </c>
      <c r="D246" s="34">
        <f>((1.05+0.78+1.13+0.84+0.84+1.12+3.69+1.43+0.9+1.06+1+0.84+1.16+4.715+1.065)*0.15*0.27)*1.05</f>
        <v>0.9193905</v>
      </c>
      <c r="E246" s="71"/>
      <c r="F246" s="28">
        <v>4200</v>
      </c>
      <c r="G246" s="28">
        <f t="shared" si="12"/>
        <v>0</v>
      </c>
      <c r="H246" s="28">
        <f t="shared" si="13"/>
        <v>3861.4400999999998</v>
      </c>
      <c r="I246" s="28">
        <f t="shared" si="14"/>
        <v>3861.4400999999998</v>
      </c>
    </row>
    <row r="247" spans="1:9" x14ac:dyDescent="0.3">
      <c r="A247" s="23" t="s">
        <v>258</v>
      </c>
      <c r="B247" s="29" t="s">
        <v>269</v>
      </c>
      <c r="C247" s="30" t="s">
        <v>74</v>
      </c>
      <c r="D247" s="34">
        <f>(2.2*1.82*14+2.4*1.82*10)</f>
        <v>99.736000000000018</v>
      </c>
      <c r="E247" s="71"/>
      <c r="F247" s="28">
        <v>209.96</v>
      </c>
      <c r="G247" s="28">
        <f t="shared" si="12"/>
        <v>0</v>
      </c>
      <c r="H247" s="28">
        <f t="shared" si="13"/>
        <v>20940.570560000004</v>
      </c>
      <c r="I247" s="28">
        <f t="shared" si="14"/>
        <v>20940.570560000004</v>
      </c>
    </row>
    <row r="248" spans="1:9" s="22" customFormat="1" x14ac:dyDescent="0.3">
      <c r="A248" s="39" t="s">
        <v>270</v>
      </c>
      <c r="B248" s="41" t="s">
        <v>271</v>
      </c>
      <c r="C248" s="42" t="s">
        <v>34</v>
      </c>
      <c r="D248" s="70">
        <f>SUM(D249,D255)</f>
        <v>7.2200000000000006</v>
      </c>
      <c r="E248" s="44"/>
      <c r="F248" s="44"/>
      <c r="G248" s="44">
        <f t="shared" si="12"/>
        <v>0</v>
      </c>
      <c r="H248" s="44">
        <f t="shared" si="13"/>
        <v>0</v>
      </c>
      <c r="I248" s="44">
        <f t="shared" si="14"/>
        <v>0</v>
      </c>
    </row>
    <row r="249" spans="1:9" x14ac:dyDescent="0.3">
      <c r="A249" s="23" t="s">
        <v>272</v>
      </c>
      <c r="B249" s="79" t="s">
        <v>263</v>
      </c>
      <c r="C249" s="30" t="s">
        <v>34</v>
      </c>
      <c r="D249" s="69">
        <v>2.82</v>
      </c>
      <c r="E249" s="28"/>
      <c r="F249" s="28"/>
      <c r="G249" s="28">
        <f t="shared" si="12"/>
        <v>0</v>
      </c>
      <c r="H249" s="28">
        <f t="shared" si="13"/>
        <v>0</v>
      </c>
      <c r="I249" s="28">
        <f t="shared" si="14"/>
        <v>0</v>
      </c>
    </row>
    <row r="250" spans="1:9" x14ac:dyDescent="0.3">
      <c r="A250" s="23"/>
      <c r="B250" s="45" t="s">
        <v>264</v>
      </c>
      <c r="C250" s="30" t="s">
        <v>34</v>
      </c>
      <c r="D250" s="69">
        <f>2.82*1.05</f>
        <v>2.9609999999999999</v>
      </c>
      <c r="E250" s="28">
        <v>2700</v>
      </c>
      <c r="F250" s="28">
        <v>5450</v>
      </c>
      <c r="G250" s="28">
        <f t="shared" si="12"/>
        <v>7994.7</v>
      </c>
      <c r="H250" s="28">
        <f t="shared" si="13"/>
        <v>16137.449999999999</v>
      </c>
      <c r="I250" s="28">
        <f t="shared" si="14"/>
        <v>24132.149999999998</v>
      </c>
    </row>
    <row r="251" spans="1:9" x14ac:dyDescent="0.3">
      <c r="A251" s="23"/>
      <c r="B251" s="45" t="s">
        <v>60</v>
      </c>
      <c r="C251" s="30" t="s">
        <v>62</v>
      </c>
      <c r="D251" s="69">
        <f>SUM(D252:D253)</f>
        <v>0.41533439999999999</v>
      </c>
      <c r="E251" s="28"/>
      <c r="F251" s="28"/>
      <c r="G251" s="28">
        <f t="shared" si="12"/>
        <v>0</v>
      </c>
      <c r="H251" s="28">
        <f t="shared" si="13"/>
        <v>0</v>
      </c>
      <c r="I251" s="28">
        <f t="shared" si="14"/>
        <v>0</v>
      </c>
    </row>
    <row r="252" spans="1:9" x14ac:dyDescent="0.3">
      <c r="A252" s="23"/>
      <c r="B252" s="45" t="s">
        <v>162</v>
      </c>
      <c r="C252" s="30" t="s">
        <v>62</v>
      </c>
      <c r="D252" s="34">
        <f>389.22/1000*1.04</f>
        <v>0.4047888</v>
      </c>
      <c r="E252" s="71"/>
      <c r="F252" s="28">
        <v>34400</v>
      </c>
      <c r="G252" s="28">
        <f t="shared" si="12"/>
        <v>0</v>
      </c>
      <c r="H252" s="28">
        <f t="shared" si="13"/>
        <v>13924.73472</v>
      </c>
      <c r="I252" s="28">
        <f t="shared" si="14"/>
        <v>13924.73472</v>
      </c>
    </row>
    <row r="253" spans="1:9" x14ac:dyDescent="0.3">
      <c r="A253" s="23"/>
      <c r="B253" s="45" t="s">
        <v>179</v>
      </c>
      <c r="C253" s="30" t="s">
        <v>62</v>
      </c>
      <c r="D253" s="34">
        <f>10.14/1000*1.04</f>
        <v>1.05456E-2</v>
      </c>
      <c r="E253" s="71"/>
      <c r="F253" s="28">
        <v>40000</v>
      </c>
      <c r="G253" s="28">
        <f t="shared" si="12"/>
        <v>0</v>
      </c>
      <c r="H253" s="28">
        <f t="shared" si="13"/>
        <v>421.82400000000001</v>
      </c>
      <c r="I253" s="28">
        <f t="shared" si="14"/>
        <v>421.82400000000001</v>
      </c>
    </row>
    <row r="254" spans="1:9" ht="15.65" x14ac:dyDescent="0.3">
      <c r="A254" s="59"/>
      <c r="B254" s="45" t="s">
        <v>71</v>
      </c>
      <c r="C254" s="30" t="s">
        <v>62</v>
      </c>
      <c r="D254" s="34">
        <f>0.02*D251</f>
        <v>8.3066879999999996E-3</v>
      </c>
      <c r="E254" s="28"/>
      <c r="F254" s="28">
        <v>53104</v>
      </c>
      <c r="G254" s="28">
        <f t="shared" si="12"/>
        <v>0</v>
      </c>
      <c r="H254" s="28">
        <f t="shared" si="13"/>
        <v>441.11835955199996</v>
      </c>
      <c r="I254" s="28">
        <f t="shared" si="14"/>
        <v>441.11835955199996</v>
      </c>
    </row>
    <row r="255" spans="1:9" x14ac:dyDescent="0.3">
      <c r="A255" s="23" t="s">
        <v>273</v>
      </c>
      <c r="B255" s="68" t="s">
        <v>265</v>
      </c>
      <c r="C255" s="30" t="s">
        <v>34</v>
      </c>
      <c r="D255" s="69">
        <f>3.08+1.32</f>
        <v>4.4000000000000004</v>
      </c>
      <c r="E255" s="28"/>
      <c r="F255" s="28"/>
      <c r="G255" s="28">
        <f t="shared" si="12"/>
        <v>0</v>
      </c>
      <c r="H255" s="28">
        <f t="shared" si="13"/>
        <v>0</v>
      </c>
      <c r="I255" s="28">
        <f t="shared" si="14"/>
        <v>0</v>
      </c>
    </row>
    <row r="256" spans="1:9" x14ac:dyDescent="0.3">
      <c r="A256" s="23"/>
      <c r="B256" s="45" t="s">
        <v>264</v>
      </c>
      <c r="C256" s="30" t="s">
        <v>34</v>
      </c>
      <c r="D256" s="69">
        <f>3.08*1.05</f>
        <v>3.2340000000000004</v>
      </c>
      <c r="E256" s="28">
        <v>2700</v>
      </c>
      <c r="F256" s="28">
        <v>5450</v>
      </c>
      <c r="G256" s="28">
        <f t="shared" si="12"/>
        <v>8731.8000000000011</v>
      </c>
      <c r="H256" s="28">
        <f t="shared" si="13"/>
        <v>17625.300000000003</v>
      </c>
      <c r="I256" s="28">
        <f t="shared" si="14"/>
        <v>26357.100000000006</v>
      </c>
    </row>
    <row r="257" spans="1:9" x14ac:dyDescent="0.3">
      <c r="A257" s="23"/>
      <c r="B257" s="45" t="s">
        <v>266</v>
      </c>
      <c r="C257" s="30" t="s">
        <v>34</v>
      </c>
      <c r="D257" s="69">
        <f>1.32*1.05</f>
        <v>1.3860000000000001</v>
      </c>
      <c r="E257" s="28">
        <v>1200</v>
      </c>
      <c r="F257" s="28">
        <v>4300</v>
      </c>
      <c r="G257" s="28">
        <f t="shared" si="12"/>
        <v>1663.2</v>
      </c>
      <c r="H257" s="28">
        <f t="shared" si="13"/>
        <v>5959.8</v>
      </c>
      <c r="I257" s="28">
        <f t="shared" si="14"/>
        <v>7623</v>
      </c>
    </row>
    <row r="258" spans="1:9" x14ac:dyDescent="0.3">
      <c r="A258" s="23"/>
      <c r="B258" s="45" t="s">
        <v>60</v>
      </c>
      <c r="C258" s="30" t="s">
        <v>62</v>
      </c>
      <c r="D258" s="69">
        <f>SUM(D259:D260)</f>
        <v>0.39605280000000004</v>
      </c>
      <c r="E258" s="28"/>
      <c r="F258" s="28"/>
      <c r="G258" s="28">
        <f t="shared" si="12"/>
        <v>0</v>
      </c>
      <c r="H258" s="28">
        <f t="shared" si="13"/>
        <v>0</v>
      </c>
      <c r="I258" s="28">
        <f t="shared" si="14"/>
        <v>0</v>
      </c>
    </row>
    <row r="259" spans="1:9" x14ac:dyDescent="0.3">
      <c r="A259" s="23"/>
      <c r="B259" s="45" t="s">
        <v>162</v>
      </c>
      <c r="C259" s="30" t="s">
        <v>62</v>
      </c>
      <c r="D259" s="34">
        <f>370.34/1000*1.04</f>
        <v>0.38515360000000004</v>
      </c>
      <c r="E259" s="71"/>
      <c r="F259" s="28">
        <v>34400</v>
      </c>
      <c r="G259" s="28">
        <f t="shared" si="12"/>
        <v>0</v>
      </c>
      <c r="H259" s="28">
        <f t="shared" si="13"/>
        <v>13249.283840000002</v>
      </c>
      <c r="I259" s="28">
        <f t="shared" si="14"/>
        <v>13249.283840000002</v>
      </c>
    </row>
    <row r="260" spans="1:9" x14ac:dyDescent="0.3">
      <c r="A260" s="23"/>
      <c r="B260" s="45" t="s">
        <v>274</v>
      </c>
      <c r="C260" s="30" t="s">
        <v>62</v>
      </c>
      <c r="D260" s="34">
        <f>10.48/1000*1.04</f>
        <v>1.08992E-2</v>
      </c>
      <c r="E260" s="71"/>
      <c r="F260" s="28">
        <v>40000</v>
      </c>
      <c r="G260" s="28">
        <f t="shared" si="12"/>
        <v>0</v>
      </c>
      <c r="H260" s="28">
        <f t="shared" si="13"/>
        <v>435.96799999999996</v>
      </c>
      <c r="I260" s="28">
        <f t="shared" si="14"/>
        <v>435.96799999999996</v>
      </c>
    </row>
    <row r="261" spans="1:9" ht="15.65" x14ac:dyDescent="0.3">
      <c r="A261" s="59"/>
      <c r="B261" s="45" t="s">
        <v>71</v>
      </c>
      <c r="C261" s="30" t="s">
        <v>62</v>
      </c>
      <c r="D261" s="34">
        <f>0.02*D258</f>
        <v>7.921056000000001E-3</v>
      </c>
      <c r="E261" s="28"/>
      <c r="F261" s="28">
        <v>53104</v>
      </c>
      <c r="G261" s="28">
        <f t="shared" si="12"/>
        <v>0</v>
      </c>
      <c r="H261" s="28">
        <f t="shared" si="13"/>
        <v>420.63975782400007</v>
      </c>
      <c r="I261" s="28">
        <f t="shared" si="14"/>
        <v>420.63975782400007</v>
      </c>
    </row>
    <row r="262" spans="1:9" x14ac:dyDescent="0.3">
      <c r="A262" s="23" t="s">
        <v>275</v>
      </c>
      <c r="B262" s="45" t="s">
        <v>268</v>
      </c>
      <c r="C262" s="30" t="s">
        <v>34</v>
      </c>
      <c r="D262" s="34">
        <f>(3.31*0.15*0.27)*1.05</f>
        <v>0.14075775000000001</v>
      </c>
      <c r="E262" s="71"/>
      <c r="F262" s="28">
        <v>4200</v>
      </c>
      <c r="G262" s="28">
        <f t="shared" si="12"/>
        <v>0</v>
      </c>
      <c r="H262" s="28">
        <f t="shared" si="13"/>
        <v>591.18255000000011</v>
      </c>
      <c r="I262" s="28">
        <f t="shared" si="14"/>
        <v>591.18255000000011</v>
      </c>
    </row>
    <row r="263" spans="1:9" x14ac:dyDescent="0.3">
      <c r="A263" s="23" t="s">
        <v>276</v>
      </c>
      <c r="B263" s="45" t="s">
        <v>269</v>
      </c>
      <c r="C263" s="30" t="s">
        <v>74</v>
      </c>
      <c r="D263" s="34">
        <f>(2.2*2.6*4+2.4*2.6*2)</f>
        <v>35.36</v>
      </c>
      <c r="E263" s="71"/>
      <c r="F263" s="28">
        <v>209.96</v>
      </c>
      <c r="G263" s="28">
        <f t="shared" si="12"/>
        <v>0</v>
      </c>
      <c r="H263" s="28">
        <f t="shared" si="13"/>
        <v>7424.1855999999998</v>
      </c>
      <c r="I263" s="28">
        <f t="shared" si="14"/>
        <v>7424.1855999999998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zoomScaleNormal="100" workbookViewId="0">
      <selection activeCell="A4" sqref="A4:XFD163"/>
    </sheetView>
  </sheetViews>
  <sheetFormatPr defaultRowHeight="15.05" x14ac:dyDescent="0.3"/>
  <cols>
    <col min="1" max="1" width="6.88671875" style="35" bestFit="1" customWidth="1"/>
    <col min="2" max="2" width="140.5546875" style="9" bestFit="1" customWidth="1"/>
    <col min="3" max="3" width="8.88671875" style="36" bestFit="1" customWidth="1"/>
    <col min="4" max="4" width="11.6640625" style="36" customWidth="1"/>
    <col min="5" max="5" width="11.44140625" style="154" bestFit="1" customWidth="1"/>
    <col min="6" max="6" width="16.5546875" style="155" customWidth="1"/>
    <col min="7" max="7" width="15.5546875" style="9" bestFit="1" customWidth="1"/>
    <col min="8" max="9" width="16.6640625" style="9" bestFit="1" customWidth="1"/>
    <col min="10" max="10" width="12.44140625" style="9" bestFit="1" customWidth="1"/>
    <col min="11" max="11" width="19.33203125" style="9" bestFit="1" customWidth="1"/>
    <col min="12" max="12" width="36.5546875" style="9" customWidth="1"/>
    <col min="13" max="256" width="210.33203125" style="9" customWidth="1"/>
    <col min="257" max="257" width="6.88671875" style="9" bestFit="1" customWidth="1"/>
    <col min="258" max="258" width="140.5546875" style="9" bestFit="1" customWidth="1"/>
    <col min="259" max="259" width="8.88671875" style="9" bestFit="1" customWidth="1"/>
    <col min="260" max="260" width="9.5546875" style="9" bestFit="1" customWidth="1"/>
    <col min="261" max="261" width="11.44140625" style="9" bestFit="1" customWidth="1"/>
    <col min="262" max="262" width="13.33203125" style="9" bestFit="1" customWidth="1"/>
    <col min="263" max="263" width="15.5546875" style="9" bestFit="1" customWidth="1"/>
    <col min="264" max="265" width="16.6640625" style="9" bestFit="1" customWidth="1"/>
    <col min="266" max="512" width="210.33203125" style="9" customWidth="1"/>
    <col min="513" max="513" width="6.88671875" style="9" bestFit="1" customWidth="1"/>
    <col min="514" max="514" width="140.5546875" style="9" bestFit="1" customWidth="1"/>
    <col min="515" max="515" width="8.88671875" style="9" bestFit="1" customWidth="1"/>
    <col min="516" max="516" width="9.5546875" style="9" bestFit="1" customWidth="1"/>
    <col min="517" max="517" width="11.44140625" style="9" bestFit="1" customWidth="1"/>
    <col min="518" max="518" width="13.33203125" style="9" bestFit="1" customWidth="1"/>
    <col min="519" max="519" width="15.5546875" style="9" bestFit="1" customWidth="1"/>
    <col min="520" max="521" width="16.6640625" style="9" bestFit="1" customWidth="1"/>
    <col min="522" max="768" width="210.33203125" style="9" customWidth="1"/>
    <col min="769" max="769" width="6.88671875" style="9" bestFit="1" customWidth="1"/>
    <col min="770" max="770" width="140.5546875" style="9" bestFit="1" customWidth="1"/>
    <col min="771" max="771" width="8.88671875" style="9" bestFit="1" customWidth="1"/>
    <col min="772" max="772" width="9.5546875" style="9" bestFit="1" customWidth="1"/>
    <col min="773" max="773" width="11.44140625" style="9" bestFit="1" customWidth="1"/>
    <col min="774" max="774" width="13.33203125" style="9" bestFit="1" customWidth="1"/>
    <col min="775" max="775" width="15.5546875" style="9" bestFit="1" customWidth="1"/>
    <col min="776" max="777" width="16.6640625" style="9" bestFit="1" customWidth="1"/>
    <col min="778" max="1024" width="210.33203125" style="9" customWidth="1"/>
    <col min="1025" max="1025" width="6.88671875" style="9" bestFit="1" customWidth="1"/>
    <col min="1026" max="1026" width="140.5546875" style="9" bestFit="1" customWidth="1"/>
    <col min="1027" max="1027" width="8.88671875" style="9" bestFit="1" customWidth="1"/>
    <col min="1028" max="1028" width="9.5546875" style="9" bestFit="1" customWidth="1"/>
    <col min="1029" max="1029" width="11.44140625" style="9" bestFit="1" customWidth="1"/>
    <col min="1030" max="1030" width="13.33203125" style="9" bestFit="1" customWidth="1"/>
    <col min="1031" max="1031" width="15.5546875" style="9" bestFit="1" customWidth="1"/>
    <col min="1032" max="1033" width="16.6640625" style="9" bestFit="1" customWidth="1"/>
    <col min="1034" max="1280" width="210.33203125" style="9" customWidth="1"/>
    <col min="1281" max="1281" width="6.88671875" style="9" bestFit="1" customWidth="1"/>
    <col min="1282" max="1282" width="140.5546875" style="9" bestFit="1" customWidth="1"/>
    <col min="1283" max="1283" width="8.88671875" style="9" bestFit="1" customWidth="1"/>
    <col min="1284" max="1284" width="9.5546875" style="9" bestFit="1" customWidth="1"/>
    <col min="1285" max="1285" width="11.44140625" style="9" bestFit="1" customWidth="1"/>
    <col min="1286" max="1286" width="13.33203125" style="9" bestFit="1" customWidth="1"/>
    <col min="1287" max="1287" width="15.5546875" style="9" bestFit="1" customWidth="1"/>
    <col min="1288" max="1289" width="16.6640625" style="9" bestFit="1" customWidth="1"/>
    <col min="1290" max="1536" width="210.33203125" style="9" customWidth="1"/>
    <col min="1537" max="1537" width="6.88671875" style="9" bestFit="1" customWidth="1"/>
    <col min="1538" max="1538" width="140.5546875" style="9" bestFit="1" customWidth="1"/>
    <col min="1539" max="1539" width="8.88671875" style="9" bestFit="1" customWidth="1"/>
    <col min="1540" max="1540" width="9.5546875" style="9" bestFit="1" customWidth="1"/>
    <col min="1541" max="1541" width="11.44140625" style="9" bestFit="1" customWidth="1"/>
    <col min="1542" max="1542" width="13.33203125" style="9" bestFit="1" customWidth="1"/>
    <col min="1543" max="1543" width="15.5546875" style="9" bestFit="1" customWidth="1"/>
    <col min="1544" max="1545" width="16.6640625" style="9" bestFit="1" customWidth="1"/>
    <col min="1546" max="1792" width="210.33203125" style="9" customWidth="1"/>
    <col min="1793" max="1793" width="6.88671875" style="9" bestFit="1" customWidth="1"/>
    <col min="1794" max="1794" width="140.5546875" style="9" bestFit="1" customWidth="1"/>
    <col min="1795" max="1795" width="8.88671875" style="9" bestFit="1" customWidth="1"/>
    <col min="1796" max="1796" width="9.5546875" style="9" bestFit="1" customWidth="1"/>
    <col min="1797" max="1797" width="11.44140625" style="9" bestFit="1" customWidth="1"/>
    <col min="1798" max="1798" width="13.33203125" style="9" bestFit="1" customWidth="1"/>
    <col min="1799" max="1799" width="15.5546875" style="9" bestFit="1" customWidth="1"/>
    <col min="1800" max="1801" width="16.6640625" style="9" bestFit="1" customWidth="1"/>
    <col min="1802" max="2048" width="210.33203125" style="9" customWidth="1"/>
    <col min="2049" max="2049" width="6.88671875" style="9" bestFit="1" customWidth="1"/>
    <col min="2050" max="2050" width="140.5546875" style="9" bestFit="1" customWidth="1"/>
    <col min="2051" max="2051" width="8.88671875" style="9" bestFit="1" customWidth="1"/>
    <col min="2052" max="2052" width="9.5546875" style="9" bestFit="1" customWidth="1"/>
    <col min="2053" max="2053" width="11.44140625" style="9" bestFit="1" customWidth="1"/>
    <col min="2054" max="2054" width="13.33203125" style="9" bestFit="1" customWidth="1"/>
    <col min="2055" max="2055" width="15.5546875" style="9" bestFit="1" customWidth="1"/>
    <col min="2056" max="2057" width="16.6640625" style="9" bestFit="1" customWidth="1"/>
    <col min="2058" max="2304" width="210.33203125" style="9" customWidth="1"/>
    <col min="2305" max="2305" width="6.88671875" style="9" bestFit="1" customWidth="1"/>
    <col min="2306" max="2306" width="140.5546875" style="9" bestFit="1" customWidth="1"/>
    <col min="2307" max="2307" width="8.88671875" style="9" bestFit="1" customWidth="1"/>
    <col min="2308" max="2308" width="9.5546875" style="9" bestFit="1" customWidth="1"/>
    <col min="2309" max="2309" width="11.44140625" style="9" bestFit="1" customWidth="1"/>
    <col min="2310" max="2310" width="13.33203125" style="9" bestFit="1" customWidth="1"/>
    <col min="2311" max="2311" width="15.5546875" style="9" bestFit="1" customWidth="1"/>
    <col min="2312" max="2313" width="16.6640625" style="9" bestFit="1" customWidth="1"/>
    <col min="2314" max="2560" width="210.33203125" style="9" customWidth="1"/>
    <col min="2561" max="2561" width="6.88671875" style="9" bestFit="1" customWidth="1"/>
    <col min="2562" max="2562" width="140.5546875" style="9" bestFit="1" customWidth="1"/>
    <col min="2563" max="2563" width="8.88671875" style="9" bestFit="1" customWidth="1"/>
    <col min="2564" max="2564" width="9.5546875" style="9" bestFit="1" customWidth="1"/>
    <col min="2565" max="2565" width="11.44140625" style="9" bestFit="1" customWidth="1"/>
    <col min="2566" max="2566" width="13.33203125" style="9" bestFit="1" customWidth="1"/>
    <col min="2567" max="2567" width="15.5546875" style="9" bestFit="1" customWidth="1"/>
    <col min="2568" max="2569" width="16.6640625" style="9" bestFit="1" customWidth="1"/>
    <col min="2570" max="2816" width="210.33203125" style="9" customWidth="1"/>
    <col min="2817" max="2817" width="6.88671875" style="9" bestFit="1" customWidth="1"/>
    <col min="2818" max="2818" width="140.5546875" style="9" bestFit="1" customWidth="1"/>
    <col min="2819" max="2819" width="8.88671875" style="9" bestFit="1" customWidth="1"/>
    <col min="2820" max="2820" width="9.5546875" style="9" bestFit="1" customWidth="1"/>
    <col min="2821" max="2821" width="11.44140625" style="9" bestFit="1" customWidth="1"/>
    <col min="2822" max="2822" width="13.33203125" style="9" bestFit="1" customWidth="1"/>
    <col min="2823" max="2823" width="15.5546875" style="9" bestFit="1" customWidth="1"/>
    <col min="2824" max="2825" width="16.6640625" style="9" bestFit="1" customWidth="1"/>
    <col min="2826" max="3072" width="210.33203125" style="9" customWidth="1"/>
    <col min="3073" max="3073" width="6.88671875" style="9" bestFit="1" customWidth="1"/>
    <col min="3074" max="3074" width="140.5546875" style="9" bestFit="1" customWidth="1"/>
    <col min="3075" max="3075" width="8.88671875" style="9" bestFit="1" customWidth="1"/>
    <col min="3076" max="3076" width="9.5546875" style="9" bestFit="1" customWidth="1"/>
    <col min="3077" max="3077" width="11.44140625" style="9" bestFit="1" customWidth="1"/>
    <col min="3078" max="3078" width="13.33203125" style="9" bestFit="1" customWidth="1"/>
    <col min="3079" max="3079" width="15.5546875" style="9" bestFit="1" customWidth="1"/>
    <col min="3080" max="3081" width="16.6640625" style="9" bestFit="1" customWidth="1"/>
    <col min="3082" max="3328" width="210.33203125" style="9" customWidth="1"/>
    <col min="3329" max="3329" width="6.88671875" style="9" bestFit="1" customWidth="1"/>
    <col min="3330" max="3330" width="140.5546875" style="9" bestFit="1" customWidth="1"/>
    <col min="3331" max="3331" width="8.88671875" style="9" bestFit="1" customWidth="1"/>
    <col min="3332" max="3332" width="9.5546875" style="9" bestFit="1" customWidth="1"/>
    <col min="3333" max="3333" width="11.44140625" style="9" bestFit="1" customWidth="1"/>
    <col min="3334" max="3334" width="13.33203125" style="9" bestFit="1" customWidth="1"/>
    <col min="3335" max="3335" width="15.5546875" style="9" bestFit="1" customWidth="1"/>
    <col min="3336" max="3337" width="16.6640625" style="9" bestFit="1" customWidth="1"/>
    <col min="3338" max="3584" width="210.33203125" style="9" customWidth="1"/>
    <col min="3585" max="3585" width="6.88671875" style="9" bestFit="1" customWidth="1"/>
    <col min="3586" max="3586" width="140.5546875" style="9" bestFit="1" customWidth="1"/>
    <col min="3587" max="3587" width="8.88671875" style="9" bestFit="1" customWidth="1"/>
    <col min="3588" max="3588" width="9.5546875" style="9" bestFit="1" customWidth="1"/>
    <col min="3589" max="3589" width="11.44140625" style="9" bestFit="1" customWidth="1"/>
    <col min="3590" max="3590" width="13.33203125" style="9" bestFit="1" customWidth="1"/>
    <col min="3591" max="3591" width="15.5546875" style="9" bestFit="1" customWidth="1"/>
    <col min="3592" max="3593" width="16.6640625" style="9" bestFit="1" customWidth="1"/>
    <col min="3594" max="3840" width="210.33203125" style="9" customWidth="1"/>
    <col min="3841" max="3841" width="6.88671875" style="9" bestFit="1" customWidth="1"/>
    <col min="3842" max="3842" width="140.5546875" style="9" bestFit="1" customWidth="1"/>
    <col min="3843" max="3843" width="8.88671875" style="9" bestFit="1" customWidth="1"/>
    <col min="3844" max="3844" width="9.5546875" style="9" bestFit="1" customWidth="1"/>
    <col min="3845" max="3845" width="11.44140625" style="9" bestFit="1" customWidth="1"/>
    <col min="3846" max="3846" width="13.33203125" style="9" bestFit="1" customWidth="1"/>
    <col min="3847" max="3847" width="15.5546875" style="9" bestFit="1" customWidth="1"/>
    <col min="3848" max="3849" width="16.6640625" style="9" bestFit="1" customWidth="1"/>
    <col min="3850" max="4096" width="210.33203125" style="9" customWidth="1"/>
    <col min="4097" max="4097" width="6.88671875" style="9" bestFit="1" customWidth="1"/>
    <col min="4098" max="4098" width="140.5546875" style="9" bestFit="1" customWidth="1"/>
    <col min="4099" max="4099" width="8.88671875" style="9" bestFit="1" customWidth="1"/>
    <col min="4100" max="4100" width="9.5546875" style="9" bestFit="1" customWidth="1"/>
    <col min="4101" max="4101" width="11.44140625" style="9" bestFit="1" customWidth="1"/>
    <col min="4102" max="4102" width="13.33203125" style="9" bestFit="1" customWidth="1"/>
    <col min="4103" max="4103" width="15.5546875" style="9" bestFit="1" customWidth="1"/>
    <col min="4104" max="4105" width="16.6640625" style="9" bestFit="1" customWidth="1"/>
    <col min="4106" max="4352" width="210.33203125" style="9" customWidth="1"/>
    <col min="4353" max="4353" width="6.88671875" style="9" bestFit="1" customWidth="1"/>
    <col min="4354" max="4354" width="140.5546875" style="9" bestFit="1" customWidth="1"/>
    <col min="4355" max="4355" width="8.88671875" style="9" bestFit="1" customWidth="1"/>
    <col min="4356" max="4356" width="9.5546875" style="9" bestFit="1" customWidth="1"/>
    <col min="4357" max="4357" width="11.44140625" style="9" bestFit="1" customWidth="1"/>
    <col min="4358" max="4358" width="13.33203125" style="9" bestFit="1" customWidth="1"/>
    <col min="4359" max="4359" width="15.5546875" style="9" bestFit="1" customWidth="1"/>
    <col min="4360" max="4361" width="16.6640625" style="9" bestFit="1" customWidth="1"/>
    <col min="4362" max="4608" width="210.33203125" style="9" customWidth="1"/>
    <col min="4609" max="4609" width="6.88671875" style="9" bestFit="1" customWidth="1"/>
    <col min="4610" max="4610" width="140.5546875" style="9" bestFit="1" customWidth="1"/>
    <col min="4611" max="4611" width="8.88671875" style="9" bestFit="1" customWidth="1"/>
    <col min="4612" max="4612" width="9.5546875" style="9" bestFit="1" customWidth="1"/>
    <col min="4613" max="4613" width="11.44140625" style="9" bestFit="1" customWidth="1"/>
    <col min="4614" max="4614" width="13.33203125" style="9" bestFit="1" customWidth="1"/>
    <col min="4615" max="4615" width="15.5546875" style="9" bestFit="1" customWidth="1"/>
    <col min="4616" max="4617" width="16.6640625" style="9" bestFit="1" customWidth="1"/>
    <col min="4618" max="4864" width="210.33203125" style="9" customWidth="1"/>
    <col min="4865" max="4865" width="6.88671875" style="9" bestFit="1" customWidth="1"/>
    <col min="4866" max="4866" width="140.5546875" style="9" bestFit="1" customWidth="1"/>
    <col min="4867" max="4867" width="8.88671875" style="9" bestFit="1" customWidth="1"/>
    <col min="4868" max="4868" width="9.5546875" style="9" bestFit="1" customWidth="1"/>
    <col min="4869" max="4869" width="11.44140625" style="9" bestFit="1" customWidth="1"/>
    <col min="4870" max="4870" width="13.33203125" style="9" bestFit="1" customWidth="1"/>
    <col min="4871" max="4871" width="15.5546875" style="9" bestFit="1" customWidth="1"/>
    <col min="4872" max="4873" width="16.6640625" style="9" bestFit="1" customWidth="1"/>
    <col min="4874" max="5120" width="210.33203125" style="9" customWidth="1"/>
    <col min="5121" max="5121" width="6.88671875" style="9" bestFit="1" customWidth="1"/>
    <col min="5122" max="5122" width="140.5546875" style="9" bestFit="1" customWidth="1"/>
    <col min="5123" max="5123" width="8.88671875" style="9" bestFit="1" customWidth="1"/>
    <col min="5124" max="5124" width="9.5546875" style="9" bestFit="1" customWidth="1"/>
    <col min="5125" max="5125" width="11.44140625" style="9" bestFit="1" customWidth="1"/>
    <col min="5126" max="5126" width="13.33203125" style="9" bestFit="1" customWidth="1"/>
    <col min="5127" max="5127" width="15.5546875" style="9" bestFit="1" customWidth="1"/>
    <col min="5128" max="5129" width="16.6640625" style="9" bestFit="1" customWidth="1"/>
    <col min="5130" max="5376" width="210.33203125" style="9" customWidth="1"/>
    <col min="5377" max="5377" width="6.88671875" style="9" bestFit="1" customWidth="1"/>
    <col min="5378" max="5378" width="140.5546875" style="9" bestFit="1" customWidth="1"/>
    <col min="5379" max="5379" width="8.88671875" style="9" bestFit="1" customWidth="1"/>
    <col min="5380" max="5380" width="9.5546875" style="9" bestFit="1" customWidth="1"/>
    <col min="5381" max="5381" width="11.44140625" style="9" bestFit="1" customWidth="1"/>
    <col min="5382" max="5382" width="13.33203125" style="9" bestFit="1" customWidth="1"/>
    <col min="5383" max="5383" width="15.5546875" style="9" bestFit="1" customWidth="1"/>
    <col min="5384" max="5385" width="16.6640625" style="9" bestFit="1" customWidth="1"/>
    <col min="5386" max="5632" width="210.33203125" style="9" customWidth="1"/>
    <col min="5633" max="5633" width="6.88671875" style="9" bestFit="1" customWidth="1"/>
    <col min="5634" max="5634" width="140.5546875" style="9" bestFit="1" customWidth="1"/>
    <col min="5635" max="5635" width="8.88671875" style="9" bestFit="1" customWidth="1"/>
    <col min="5636" max="5636" width="9.5546875" style="9" bestFit="1" customWidth="1"/>
    <col min="5637" max="5637" width="11.44140625" style="9" bestFit="1" customWidth="1"/>
    <col min="5638" max="5638" width="13.33203125" style="9" bestFit="1" customWidth="1"/>
    <col min="5639" max="5639" width="15.5546875" style="9" bestFit="1" customWidth="1"/>
    <col min="5640" max="5641" width="16.6640625" style="9" bestFit="1" customWidth="1"/>
    <col min="5642" max="5888" width="210.33203125" style="9" customWidth="1"/>
    <col min="5889" max="5889" width="6.88671875" style="9" bestFit="1" customWidth="1"/>
    <col min="5890" max="5890" width="140.5546875" style="9" bestFit="1" customWidth="1"/>
    <col min="5891" max="5891" width="8.88671875" style="9" bestFit="1" customWidth="1"/>
    <col min="5892" max="5892" width="9.5546875" style="9" bestFit="1" customWidth="1"/>
    <col min="5893" max="5893" width="11.44140625" style="9" bestFit="1" customWidth="1"/>
    <col min="5894" max="5894" width="13.33203125" style="9" bestFit="1" customWidth="1"/>
    <col min="5895" max="5895" width="15.5546875" style="9" bestFit="1" customWidth="1"/>
    <col min="5896" max="5897" width="16.6640625" style="9" bestFit="1" customWidth="1"/>
    <col min="5898" max="6144" width="210.33203125" style="9" customWidth="1"/>
    <col min="6145" max="6145" width="6.88671875" style="9" bestFit="1" customWidth="1"/>
    <col min="6146" max="6146" width="140.5546875" style="9" bestFit="1" customWidth="1"/>
    <col min="6147" max="6147" width="8.88671875" style="9" bestFit="1" customWidth="1"/>
    <col min="6148" max="6148" width="9.5546875" style="9" bestFit="1" customWidth="1"/>
    <col min="6149" max="6149" width="11.44140625" style="9" bestFit="1" customWidth="1"/>
    <col min="6150" max="6150" width="13.33203125" style="9" bestFit="1" customWidth="1"/>
    <col min="6151" max="6151" width="15.5546875" style="9" bestFit="1" customWidth="1"/>
    <col min="6152" max="6153" width="16.6640625" style="9" bestFit="1" customWidth="1"/>
    <col min="6154" max="6400" width="210.33203125" style="9" customWidth="1"/>
    <col min="6401" max="6401" width="6.88671875" style="9" bestFit="1" customWidth="1"/>
    <col min="6402" max="6402" width="140.5546875" style="9" bestFit="1" customWidth="1"/>
    <col min="6403" max="6403" width="8.88671875" style="9" bestFit="1" customWidth="1"/>
    <col min="6404" max="6404" width="9.5546875" style="9" bestFit="1" customWidth="1"/>
    <col min="6405" max="6405" width="11.44140625" style="9" bestFit="1" customWidth="1"/>
    <col min="6406" max="6406" width="13.33203125" style="9" bestFit="1" customWidth="1"/>
    <col min="6407" max="6407" width="15.5546875" style="9" bestFit="1" customWidth="1"/>
    <col min="6408" max="6409" width="16.6640625" style="9" bestFit="1" customWidth="1"/>
    <col min="6410" max="6656" width="210.33203125" style="9" customWidth="1"/>
    <col min="6657" max="6657" width="6.88671875" style="9" bestFit="1" customWidth="1"/>
    <col min="6658" max="6658" width="140.5546875" style="9" bestFit="1" customWidth="1"/>
    <col min="6659" max="6659" width="8.88671875" style="9" bestFit="1" customWidth="1"/>
    <col min="6660" max="6660" width="9.5546875" style="9" bestFit="1" customWidth="1"/>
    <col min="6661" max="6661" width="11.44140625" style="9" bestFit="1" customWidth="1"/>
    <col min="6662" max="6662" width="13.33203125" style="9" bestFit="1" customWidth="1"/>
    <col min="6663" max="6663" width="15.5546875" style="9" bestFit="1" customWidth="1"/>
    <col min="6664" max="6665" width="16.6640625" style="9" bestFit="1" customWidth="1"/>
    <col min="6666" max="6912" width="210.33203125" style="9" customWidth="1"/>
    <col min="6913" max="6913" width="6.88671875" style="9" bestFit="1" customWidth="1"/>
    <col min="6914" max="6914" width="140.5546875" style="9" bestFit="1" customWidth="1"/>
    <col min="6915" max="6915" width="8.88671875" style="9" bestFit="1" customWidth="1"/>
    <col min="6916" max="6916" width="9.5546875" style="9" bestFit="1" customWidth="1"/>
    <col min="6917" max="6917" width="11.44140625" style="9" bestFit="1" customWidth="1"/>
    <col min="6918" max="6918" width="13.33203125" style="9" bestFit="1" customWidth="1"/>
    <col min="6919" max="6919" width="15.5546875" style="9" bestFit="1" customWidth="1"/>
    <col min="6920" max="6921" width="16.6640625" style="9" bestFit="1" customWidth="1"/>
    <col min="6922" max="7168" width="210.33203125" style="9" customWidth="1"/>
    <col min="7169" max="7169" width="6.88671875" style="9" bestFit="1" customWidth="1"/>
    <col min="7170" max="7170" width="140.5546875" style="9" bestFit="1" customWidth="1"/>
    <col min="7171" max="7171" width="8.88671875" style="9" bestFit="1" customWidth="1"/>
    <col min="7172" max="7172" width="9.5546875" style="9" bestFit="1" customWidth="1"/>
    <col min="7173" max="7173" width="11.44140625" style="9" bestFit="1" customWidth="1"/>
    <col min="7174" max="7174" width="13.33203125" style="9" bestFit="1" customWidth="1"/>
    <col min="7175" max="7175" width="15.5546875" style="9" bestFit="1" customWidth="1"/>
    <col min="7176" max="7177" width="16.6640625" style="9" bestFit="1" customWidth="1"/>
    <col min="7178" max="7424" width="210.33203125" style="9" customWidth="1"/>
    <col min="7425" max="7425" width="6.88671875" style="9" bestFit="1" customWidth="1"/>
    <col min="7426" max="7426" width="140.5546875" style="9" bestFit="1" customWidth="1"/>
    <col min="7427" max="7427" width="8.88671875" style="9" bestFit="1" customWidth="1"/>
    <col min="7428" max="7428" width="9.5546875" style="9" bestFit="1" customWidth="1"/>
    <col min="7429" max="7429" width="11.44140625" style="9" bestFit="1" customWidth="1"/>
    <col min="7430" max="7430" width="13.33203125" style="9" bestFit="1" customWidth="1"/>
    <col min="7431" max="7431" width="15.5546875" style="9" bestFit="1" customWidth="1"/>
    <col min="7432" max="7433" width="16.6640625" style="9" bestFit="1" customWidth="1"/>
    <col min="7434" max="7680" width="210.33203125" style="9" customWidth="1"/>
    <col min="7681" max="7681" width="6.88671875" style="9" bestFit="1" customWidth="1"/>
    <col min="7682" max="7682" width="140.5546875" style="9" bestFit="1" customWidth="1"/>
    <col min="7683" max="7683" width="8.88671875" style="9" bestFit="1" customWidth="1"/>
    <col min="7684" max="7684" width="9.5546875" style="9" bestFit="1" customWidth="1"/>
    <col min="7685" max="7685" width="11.44140625" style="9" bestFit="1" customWidth="1"/>
    <col min="7686" max="7686" width="13.33203125" style="9" bestFit="1" customWidth="1"/>
    <col min="7687" max="7687" width="15.5546875" style="9" bestFit="1" customWidth="1"/>
    <col min="7688" max="7689" width="16.6640625" style="9" bestFit="1" customWidth="1"/>
    <col min="7690" max="7936" width="210.33203125" style="9" customWidth="1"/>
    <col min="7937" max="7937" width="6.88671875" style="9" bestFit="1" customWidth="1"/>
    <col min="7938" max="7938" width="140.5546875" style="9" bestFit="1" customWidth="1"/>
    <col min="7939" max="7939" width="8.88671875" style="9" bestFit="1" customWidth="1"/>
    <col min="7940" max="7940" width="9.5546875" style="9" bestFit="1" customWidth="1"/>
    <col min="7941" max="7941" width="11.44140625" style="9" bestFit="1" customWidth="1"/>
    <col min="7942" max="7942" width="13.33203125" style="9" bestFit="1" customWidth="1"/>
    <col min="7943" max="7943" width="15.5546875" style="9" bestFit="1" customWidth="1"/>
    <col min="7944" max="7945" width="16.6640625" style="9" bestFit="1" customWidth="1"/>
    <col min="7946" max="8192" width="210.33203125" style="9" customWidth="1"/>
    <col min="8193" max="8193" width="6.88671875" style="9" bestFit="1" customWidth="1"/>
    <col min="8194" max="8194" width="140.5546875" style="9" bestFit="1" customWidth="1"/>
    <col min="8195" max="8195" width="8.88671875" style="9" bestFit="1" customWidth="1"/>
    <col min="8196" max="8196" width="9.5546875" style="9" bestFit="1" customWidth="1"/>
    <col min="8197" max="8197" width="11.44140625" style="9" bestFit="1" customWidth="1"/>
    <col min="8198" max="8198" width="13.33203125" style="9" bestFit="1" customWidth="1"/>
    <col min="8199" max="8199" width="15.5546875" style="9" bestFit="1" customWidth="1"/>
    <col min="8200" max="8201" width="16.6640625" style="9" bestFit="1" customWidth="1"/>
    <col min="8202" max="8448" width="210.33203125" style="9" customWidth="1"/>
    <col min="8449" max="8449" width="6.88671875" style="9" bestFit="1" customWidth="1"/>
    <col min="8450" max="8450" width="140.5546875" style="9" bestFit="1" customWidth="1"/>
    <col min="8451" max="8451" width="8.88671875" style="9" bestFit="1" customWidth="1"/>
    <col min="8452" max="8452" width="9.5546875" style="9" bestFit="1" customWidth="1"/>
    <col min="8453" max="8453" width="11.44140625" style="9" bestFit="1" customWidth="1"/>
    <col min="8454" max="8454" width="13.33203125" style="9" bestFit="1" customWidth="1"/>
    <col min="8455" max="8455" width="15.5546875" style="9" bestFit="1" customWidth="1"/>
    <col min="8456" max="8457" width="16.6640625" style="9" bestFit="1" customWidth="1"/>
    <col min="8458" max="8704" width="210.33203125" style="9" customWidth="1"/>
    <col min="8705" max="8705" width="6.88671875" style="9" bestFit="1" customWidth="1"/>
    <col min="8706" max="8706" width="140.5546875" style="9" bestFit="1" customWidth="1"/>
    <col min="8707" max="8707" width="8.88671875" style="9" bestFit="1" customWidth="1"/>
    <col min="8708" max="8708" width="9.5546875" style="9" bestFit="1" customWidth="1"/>
    <col min="8709" max="8709" width="11.44140625" style="9" bestFit="1" customWidth="1"/>
    <col min="8710" max="8710" width="13.33203125" style="9" bestFit="1" customWidth="1"/>
    <col min="8711" max="8711" width="15.5546875" style="9" bestFit="1" customWidth="1"/>
    <col min="8712" max="8713" width="16.6640625" style="9" bestFit="1" customWidth="1"/>
    <col min="8714" max="8960" width="210.33203125" style="9" customWidth="1"/>
    <col min="8961" max="8961" width="6.88671875" style="9" bestFit="1" customWidth="1"/>
    <col min="8962" max="8962" width="140.5546875" style="9" bestFit="1" customWidth="1"/>
    <col min="8963" max="8963" width="8.88671875" style="9" bestFit="1" customWidth="1"/>
    <col min="8964" max="8964" width="9.5546875" style="9" bestFit="1" customWidth="1"/>
    <col min="8965" max="8965" width="11.44140625" style="9" bestFit="1" customWidth="1"/>
    <col min="8966" max="8966" width="13.33203125" style="9" bestFit="1" customWidth="1"/>
    <col min="8967" max="8967" width="15.5546875" style="9" bestFit="1" customWidth="1"/>
    <col min="8968" max="8969" width="16.6640625" style="9" bestFit="1" customWidth="1"/>
    <col min="8970" max="9216" width="210.33203125" style="9" customWidth="1"/>
    <col min="9217" max="9217" width="6.88671875" style="9" bestFit="1" customWidth="1"/>
    <col min="9218" max="9218" width="140.5546875" style="9" bestFit="1" customWidth="1"/>
    <col min="9219" max="9219" width="8.88671875" style="9" bestFit="1" customWidth="1"/>
    <col min="9220" max="9220" width="9.5546875" style="9" bestFit="1" customWidth="1"/>
    <col min="9221" max="9221" width="11.44140625" style="9" bestFit="1" customWidth="1"/>
    <col min="9222" max="9222" width="13.33203125" style="9" bestFit="1" customWidth="1"/>
    <col min="9223" max="9223" width="15.5546875" style="9" bestFit="1" customWidth="1"/>
    <col min="9224" max="9225" width="16.6640625" style="9" bestFit="1" customWidth="1"/>
    <col min="9226" max="9472" width="210.33203125" style="9" customWidth="1"/>
    <col min="9473" max="9473" width="6.88671875" style="9" bestFit="1" customWidth="1"/>
    <col min="9474" max="9474" width="140.5546875" style="9" bestFit="1" customWidth="1"/>
    <col min="9475" max="9475" width="8.88671875" style="9" bestFit="1" customWidth="1"/>
    <col min="9476" max="9476" width="9.5546875" style="9" bestFit="1" customWidth="1"/>
    <col min="9477" max="9477" width="11.44140625" style="9" bestFit="1" customWidth="1"/>
    <col min="9478" max="9478" width="13.33203125" style="9" bestFit="1" customWidth="1"/>
    <col min="9479" max="9479" width="15.5546875" style="9" bestFit="1" customWidth="1"/>
    <col min="9480" max="9481" width="16.6640625" style="9" bestFit="1" customWidth="1"/>
    <col min="9482" max="9728" width="210.33203125" style="9" customWidth="1"/>
    <col min="9729" max="9729" width="6.88671875" style="9" bestFit="1" customWidth="1"/>
    <col min="9730" max="9730" width="140.5546875" style="9" bestFit="1" customWidth="1"/>
    <col min="9731" max="9731" width="8.88671875" style="9" bestFit="1" customWidth="1"/>
    <col min="9732" max="9732" width="9.5546875" style="9" bestFit="1" customWidth="1"/>
    <col min="9733" max="9733" width="11.44140625" style="9" bestFit="1" customWidth="1"/>
    <col min="9734" max="9734" width="13.33203125" style="9" bestFit="1" customWidth="1"/>
    <col min="9735" max="9735" width="15.5546875" style="9" bestFit="1" customWidth="1"/>
    <col min="9736" max="9737" width="16.6640625" style="9" bestFit="1" customWidth="1"/>
    <col min="9738" max="9984" width="210.33203125" style="9" customWidth="1"/>
    <col min="9985" max="9985" width="6.88671875" style="9" bestFit="1" customWidth="1"/>
    <col min="9986" max="9986" width="140.5546875" style="9" bestFit="1" customWidth="1"/>
    <col min="9987" max="9987" width="8.88671875" style="9" bestFit="1" customWidth="1"/>
    <col min="9988" max="9988" width="9.5546875" style="9" bestFit="1" customWidth="1"/>
    <col min="9989" max="9989" width="11.44140625" style="9" bestFit="1" customWidth="1"/>
    <col min="9990" max="9990" width="13.33203125" style="9" bestFit="1" customWidth="1"/>
    <col min="9991" max="9991" width="15.5546875" style="9" bestFit="1" customWidth="1"/>
    <col min="9992" max="9993" width="16.6640625" style="9" bestFit="1" customWidth="1"/>
    <col min="9994" max="10240" width="210.33203125" style="9" customWidth="1"/>
    <col min="10241" max="10241" width="6.88671875" style="9" bestFit="1" customWidth="1"/>
    <col min="10242" max="10242" width="140.5546875" style="9" bestFit="1" customWidth="1"/>
    <col min="10243" max="10243" width="8.88671875" style="9" bestFit="1" customWidth="1"/>
    <col min="10244" max="10244" width="9.5546875" style="9" bestFit="1" customWidth="1"/>
    <col min="10245" max="10245" width="11.44140625" style="9" bestFit="1" customWidth="1"/>
    <col min="10246" max="10246" width="13.33203125" style="9" bestFit="1" customWidth="1"/>
    <col min="10247" max="10247" width="15.5546875" style="9" bestFit="1" customWidth="1"/>
    <col min="10248" max="10249" width="16.6640625" style="9" bestFit="1" customWidth="1"/>
    <col min="10250" max="10496" width="210.33203125" style="9" customWidth="1"/>
    <col min="10497" max="10497" width="6.88671875" style="9" bestFit="1" customWidth="1"/>
    <col min="10498" max="10498" width="140.5546875" style="9" bestFit="1" customWidth="1"/>
    <col min="10499" max="10499" width="8.88671875" style="9" bestFit="1" customWidth="1"/>
    <col min="10500" max="10500" width="9.5546875" style="9" bestFit="1" customWidth="1"/>
    <col min="10501" max="10501" width="11.44140625" style="9" bestFit="1" customWidth="1"/>
    <col min="10502" max="10502" width="13.33203125" style="9" bestFit="1" customWidth="1"/>
    <col min="10503" max="10503" width="15.5546875" style="9" bestFit="1" customWidth="1"/>
    <col min="10504" max="10505" width="16.6640625" style="9" bestFit="1" customWidth="1"/>
    <col min="10506" max="10752" width="210.33203125" style="9" customWidth="1"/>
    <col min="10753" max="10753" width="6.88671875" style="9" bestFit="1" customWidth="1"/>
    <col min="10754" max="10754" width="140.5546875" style="9" bestFit="1" customWidth="1"/>
    <col min="10755" max="10755" width="8.88671875" style="9" bestFit="1" customWidth="1"/>
    <col min="10756" max="10756" width="9.5546875" style="9" bestFit="1" customWidth="1"/>
    <col min="10757" max="10757" width="11.44140625" style="9" bestFit="1" customWidth="1"/>
    <col min="10758" max="10758" width="13.33203125" style="9" bestFit="1" customWidth="1"/>
    <col min="10759" max="10759" width="15.5546875" style="9" bestFit="1" customWidth="1"/>
    <col min="10760" max="10761" width="16.6640625" style="9" bestFit="1" customWidth="1"/>
    <col min="10762" max="11008" width="210.33203125" style="9" customWidth="1"/>
    <col min="11009" max="11009" width="6.88671875" style="9" bestFit="1" customWidth="1"/>
    <col min="11010" max="11010" width="140.5546875" style="9" bestFit="1" customWidth="1"/>
    <col min="11011" max="11011" width="8.88671875" style="9" bestFit="1" customWidth="1"/>
    <col min="11012" max="11012" width="9.5546875" style="9" bestFit="1" customWidth="1"/>
    <col min="11013" max="11013" width="11.44140625" style="9" bestFit="1" customWidth="1"/>
    <col min="11014" max="11014" width="13.33203125" style="9" bestFit="1" customWidth="1"/>
    <col min="11015" max="11015" width="15.5546875" style="9" bestFit="1" customWidth="1"/>
    <col min="11016" max="11017" width="16.6640625" style="9" bestFit="1" customWidth="1"/>
    <col min="11018" max="11264" width="210.33203125" style="9" customWidth="1"/>
    <col min="11265" max="11265" width="6.88671875" style="9" bestFit="1" customWidth="1"/>
    <col min="11266" max="11266" width="140.5546875" style="9" bestFit="1" customWidth="1"/>
    <col min="11267" max="11267" width="8.88671875" style="9" bestFit="1" customWidth="1"/>
    <col min="11268" max="11268" width="9.5546875" style="9" bestFit="1" customWidth="1"/>
    <col min="11269" max="11269" width="11.44140625" style="9" bestFit="1" customWidth="1"/>
    <col min="11270" max="11270" width="13.33203125" style="9" bestFit="1" customWidth="1"/>
    <col min="11271" max="11271" width="15.5546875" style="9" bestFit="1" customWidth="1"/>
    <col min="11272" max="11273" width="16.6640625" style="9" bestFit="1" customWidth="1"/>
    <col min="11274" max="11520" width="210.33203125" style="9" customWidth="1"/>
    <col min="11521" max="11521" width="6.88671875" style="9" bestFit="1" customWidth="1"/>
    <col min="11522" max="11522" width="140.5546875" style="9" bestFit="1" customWidth="1"/>
    <col min="11523" max="11523" width="8.88671875" style="9" bestFit="1" customWidth="1"/>
    <col min="11524" max="11524" width="9.5546875" style="9" bestFit="1" customWidth="1"/>
    <col min="11525" max="11525" width="11.44140625" style="9" bestFit="1" customWidth="1"/>
    <col min="11526" max="11526" width="13.33203125" style="9" bestFit="1" customWidth="1"/>
    <col min="11527" max="11527" width="15.5546875" style="9" bestFit="1" customWidth="1"/>
    <col min="11528" max="11529" width="16.6640625" style="9" bestFit="1" customWidth="1"/>
    <col min="11530" max="11776" width="210.33203125" style="9" customWidth="1"/>
    <col min="11777" max="11777" width="6.88671875" style="9" bestFit="1" customWidth="1"/>
    <col min="11778" max="11778" width="140.5546875" style="9" bestFit="1" customWidth="1"/>
    <col min="11779" max="11779" width="8.88671875" style="9" bestFit="1" customWidth="1"/>
    <col min="11780" max="11780" width="9.5546875" style="9" bestFit="1" customWidth="1"/>
    <col min="11781" max="11781" width="11.44140625" style="9" bestFit="1" customWidth="1"/>
    <col min="11782" max="11782" width="13.33203125" style="9" bestFit="1" customWidth="1"/>
    <col min="11783" max="11783" width="15.5546875" style="9" bestFit="1" customWidth="1"/>
    <col min="11784" max="11785" width="16.6640625" style="9" bestFit="1" customWidth="1"/>
    <col min="11786" max="12032" width="210.33203125" style="9" customWidth="1"/>
    <col min="12033" max="12033" width="6.88671875" style="9" bestFit="1" customWidth="1"/>
    <col min="12034" max="12034" width="140.5546875" style="9" bestFit="1" customWidth="1"/>
    <col min="12035" max="12035" width="8.88671875" style="9" bestFit="1" customWidth="1"/>
    <col min="12036" max="12036" width="9.5546875" style="9" bestFit="1" customWidth="1"/>
    <col min="12037" max="12037" width="11.44140625" style="9" bestFit="1" customWidth="1"/>
    <col min="12038" max="12038" width="13.33203125" style="9" bestFit="1" customWidth="1"/>
    <col min="12039" max="12039" width="15.5546875" style="9" bestFit="1" customWidth="1"/>
    <col min="12040" max="12041" width="16.6640625" style="9" bestFit="1" customWidth="1"/>
    <col min="12042" max="12288" width="210.33203125" style="9" customWidth="1"/>
    <col min="12289" max="12289" width="6.88671875" style="9" bestFit="1" customWidth="1"/>
    <col min="12290" max="12290" width="140.5546875" style="9" bestFit="1" customWidth="1"/>
    <col min="12291" max="12291" width="8.88671875" style="9" bestFit="1" customWidth="1"/>
    <col min="12292" max="12292" width="9.5546875" style="9" bestFit="1" customWidth="1"/>
    <col min="12293" max="12293" width="11.44140625" style="9" bestFit="1" customWidth="1"/>
    <col min="12294" max="12294" width="13.33203125" style="9" bestFit="1" customWidth="1"/>
    <col min="12295" max="12295" width="15.5546875" style="9" bestFit="1" customWidth="1"/>
    <col min="12296" max="12297" width="16.6640625" style="9" bestFit="1" customWidth="1"/>
    <col min="12298" max="12544" width="210.33203125" style="9" customWidth="1"/>
    <col min="12545" max="12545" width="6.88671875" style="9" bestFit="1" customWidth="1"/>
    <col min="12546" max="12546" width="140.5546875" style="9" bestFit="1" customWidth="1"/>
    <col min="12547" max="12547" width="8.88671875" style="9" bestFit="1" customWidth="1"/>
    <col min="12548" max="12548" width="9.5546875" style="9" bestFit="1" customWidth="1"/>
    <col min="12549" max="12549" width="11.44140625" style="9" bestFit="1" customWidth="1"/>
    <col min="12550" max="12550" width="13.33203125" style="9" bestFit="1" customWidth="1"/>
    <col min="12551" max="12551" width="15.5546875" style="9" bestFit="1" customWidth="1"/>
    <col min="12552" max="12553" width="16.6640625" style="9" bestFit="1" customWidth="1"/>
    <col min="12554" max="12800" width="210.33203125" style="9" customWidth="1"/>
    <col min="12801" max="12801" width="6.88671875" style="9" bestFit="1" customWidth="1"/>
    <col min="12802" max="12802" width="140.5546875" style="9" bestFit="1" customWidth="1"/>
    <col min="12803" max="12803" width="8.88671875" style="9" bestFit="1" customWidth="1"/>
    <col min="12804" max="12804" width="9.5546875" style="9" bestFit="1" customWidth="1"/>
    <col min="12805" max="12805" width="11.44140625" style="9" bestFit="1" customWidth="1"/>
    <col min="12806" max="12806" width="13.33203125" style="9" bestFit="1" customWidth="1"/>
    <col min="12807" max="12807" width="15.5546875" style="9" bestFit="1" customWidth="1"/>
    <col min="12808" max="12809" width="16.6640625" style="9" bestFit="1" customWidth="1"/>
    <col min="12810" max="13056" width="210.33203125" style="9" customWidth="1"/>
    <col min="13057" max="13057" width="6.88671875" style="9" bestFit="1" customWidth="1"/>
    <col min="13058" max="13058" width="140.5546875" style="9" bestFit="1" customWidth="1"/>
    <col min="13059" max="13059" width="8.88671875" style="9" bestFit="1" customWidth="1"/>
    <col min="13060" max="13060" width="9.5546875" style="9" bestFit="1" customWidth="1"/>
    <col min="13061" max="13061" width="11.44140625" style="9" bestFit="1" customWidth="1"/>
    <col min="13062" max="13062" width="13.33203125" style="9" bestFit="1" customWidth="1"/>
    <col min="13063" max="13063" width="15.5546875" style="9" bestFit="1" customWidth="1"/>
    <col min="13064" max="13065" width="16.6640625" style="9" bestFit="1" customWidth="1"/>
    <col min="13066" max="13312" width="210.33203125" style="9" customWidth="1"/>
    <col min="13313" max="13313" width="6.88671875" style="9" bestFit="1" customWidth="1"/>
    <col min="13314" max="13314" width="140.5546875" style="9" bestFit="1" customWidth="1"/>
    <col min="13315" max="13315" width="8.88671875" style="9" bestFit="1" customWidth="1"/>
    <col min="13316" max="13316" width="9.5546875" style="9" bestFit="1" customWidth="1"/>
    <col min="13317" max="13317" width="11.44140625" style="9" bestFit="1" customWidth="1"/>
    <col min="13318" max="13318" width="13.33203125" style="9" bestFit="1" customWidth="1"/>
    <col min="13319" max="13319" width="15.5546875" style="9" bestFit="1" customWidth="1"/>
    <col min="13320" max="13321" width="16.6640625" style="9" bestFit="1" customWidth="1"/>
    <col min="13322" max="13568" width="210.33203125" style="9" customWidth="1"/>
    <col min="13569" max="13569" width="6.88671875" style="9" bestFit="1" customWidth="1"/>
    <col min="13570" max="13570" width="140.5546875" style="9" bestFit="1" customWidth="1"/>
    <col min="13571" max="13571" width="8.88671875" style="9" bestFit="1" customWidth="1"/>
    <col min="13572" max="13572" width="9.5546875" style="9" bestFit="1" customWidth="1"/>
    <col min="13573" max="13573" width="11.44140625" style="9" bestFit="1" customWidth="1"/>
    <col min="13574" max="13574" width="13.33203125" style="9" bestFit="1" customWidth="1"/>
    <col min="13575" max="13575" width="15.5546875" style="9" bestFit="1" customWidth="1"/>
    <col min="13576" max="13577" width="16.6640625" style="9" bestFit="1" customWidth="1"/>
    <col min="13578" max="13824" width="210.33203125" style="9" customWidth="1"/>
    <col min="13825" max="13825" width="6.88671875" style="9" bestFit="1" customWidth="1"/>
    <col min="13826" max="13826" width="140.5546875" style="9" bestFit="1" customWidth="1"/>
    <col min="13827" max="13827" width="8.88671875" style="9" bestFit="1" customWidth="1"/>
    <col min="13828" max="13828" width="9.5546875" style="9" bestFit="1" customWidth="1"/>
    <col min="13829" max="13829" width="11.44140625" style="9" bestFit="1" customWidth="1"/>
    <col min="13830" max="13830" width="13.33203125" style="9" bestFit="1" customWidth="1"/>
    <col min="13831" max="13831" width="15.5546875" style="9" bestFit="1" customWidth="1"/>
    <col min="13832" max="13833" width="16.6640625" style="9" bestFit="1" customWidth="1"/>
    <col min="13834" max="14080" width="210.33203125" style="9" customWidth="1"/>
    <col min="14081" max="14081" width="6.88671875" style="9" bestFit="1" customWidth="1"/>
    <col min="14082" max="14082" width="140.5546875" style="9" bestFit="1" customWidth="1"/>
    <col min="14083" max="14083" width="8.88671875" style="9" bestFit="1" customWidth="1"/>
    <col min="14084" max="14084" width="9.5546875" style="9" bestFit="1" customWidth="1"/>
    <col min="14085" max="14085" width="11.44140625" style="9" bestFit="1" customWidth="1"/>
    <col min="14086" max="14086" width="13.33203125" style="9" bestFit="1" customWidth="1"/>
    <col min="14087" max="14087" width="15.5546875" style="9" bestFit="1" customWidth="1"/>
    <col min="14088" max="14089" width="16.6640625" style="9" bestFit="1" customWidth="1"/>
    <col min="14090" max="14336" width="210.33203125" style="9" customWidth="1"/>
    <col min="14337" max="14337" width="6.88671875" style="9" bestFit="1" customWidth="1"/>
    <col min="14338" max="14338" width="140.5546875" style="9" bestFit="1" customWidth="1"/>
    <col min="14339" max="14339" width="8.88671875" style="9" bestFit="1" customWidth="1"/>
    <col min="14340" max="14340" width="9.5546875" style="9" bestFit="1" customWidth="1"/>
    <col min="14341" max="14341" width="11.44140625" style="9" bestFit="1" customWidth="1"/>
    <col min="14342" max="14342" width="13.33203125" style="9" bestFit="1" customWidth="1"/>
    <col min="14343" max="14343" width="15.5546875" style="9" bestFit="1" customWidth="1"/>
    <col min="14344" max="14345" width="16.6640625" style="9" bestFit="1" customWidth="1"/>
    <col min="14346" max="14592" width="210.33203125" style="9" customWidth="1"/>
    <col min="14593" max="14593" width="6.88671875" style="9" bestFit="1" customWidth="1"/>
    <col min="14594" max="14594" width="140.5546875" style="9" bestFit="1" customWidth="1"/>
    <col min="14595" max="14595" width="8.88671875" style="9" bestFit="1" customWidth="1"/>
    <col min="14596" max="14596" width="9.5546875" style="9" bestFit="1" customWidth="1"/>
    <col min="14597" max="14597" width="11.44140625" style="9" bestFit="1" customWidth="1"/>
    <col min="14598" max="14598" width="13.33203125" style="9" bestFit="1" customWidth="1"/>
    <col min="14599" max="14599" width="15.5546875" style="9" bestFit="1" customWidth="1"/>
    <col min="14600" max="14601" width="16.6640625" style="9" bestFit="1" customWidth="1"/>
    <col min="14602" max="14848" width="210.33203125" style="9" customWidth="1"/>
    <col min="14849" max="14849" width="6.88671875" style="9" bestFit="1" customWidth="1"/>
    <col min="14850" max="14850" width="140.5546875" style="9" bestFit="1" customWidth="1"/>
    <col min="14851" max="14851" width="8.88671875" style="9" bestFit="1" customWidth="1"/>
    <col min="14852" max="14852" width="9.5546875" style="9" bestFit="1" customWidth="1"/>
    <col min="14853" max="14853" width="11.44140625" style="9" bestFit="1" customWidth="1"/>
    <col min="14854" max="14854" width="13.33203125" style="9" bestFit="1" customWidth="1"/>
    <col min="14855" max="14855" width="15.5546875" style="9" bestFit="1" customWidth="1"/>
    <col min="14856" max="14857" width="16.6640625" style="9" bestFit="1" customWidth="1"/>
    <col min="14858" max="15104" width="210.33203125" style="9" customWidth="1"/>
    <col min="15105" max="15105" width="6.88671875" style="9" bestFit="1" customWidth="1"/>
    <col min="15106" max="15106" width="140.5546875" style="9" bestFit="1" customWidth="1"/>
    <col min="15107" max="15107" width="8.88671875" style="9" bestFit="1" customWidth="1"/>
    <col min="15108" max="15108" width="9.5546875" style="9" bestFit="1" customWidth="1"/>
    <col min="15109" max="15109" width="11.44140625" style="9" bestFit="1" customWidth="1"/>
    <col min="15110" max="15110" width="13.33203125" style="9" bestFit="1" customWidth="1"/>
    <col min="15111" max="15111" width="15.5546875" style="9" bestFit="1" customWidth="1"/>
    <col min="15112" max="15113" width="16.6640625" style="9" bestFit="1" customWidth="1"/>
    <col min="15114" max="15360" width="210.33203125" style="9" customWidth="1"/>
    <col min="15361" max="15361" width="6.88671875" style="9" bestFit="1" customWidth="1"/>
    <col min="15362" max="15362" width="140.5546875" style="9" bestFit="1" customWidth="1"/>
    <col min="15363" max="15363" width="8.88671875" style="9" bestFit="1" customWidth="1"/>
    <col min="15364" max="15364" width="9.5546875" style="9" bestFit="1" customWidth="1"/>
    <col min="15365" max="15365" width="11.44140625" style="9" bestFit="1" customWidth="1"/>
    <col min="15366" max="15366" width="13.33203125" style="9" bestFit="1" customWidth="1"/>
    <col min="15367" max="15367" width="15.5546875" style="9" bestFit="1" customWidth="1"/>
    <col min="15368" max="15369" width="16.6640625" style="9" bestFit="1" customWidth="1"/>
    <col min="15370" max="15616" width="210.33203125" style="9" customWidth="1"/>
    <col min="15617" max="15617" width="6.88671875" style="9" bestFit="1" customWidth="1"/>
    <col min="15618" max="15618" width="140.5546875" style="9" bestFit="1" customWidth="1"/>
    <col min="15619" max="15619" width="8.88671875" style="9" bestFit="1" customWidth="1"/>
    <col min="15620" max="15620" width="9.5546875" style="9" bestFit="1" customWidth="1"/>
    <col min="15621" max="15621" width="11.44140625" style="9" bestFit="1" customWidth="1"/>
    <col min="15622" max="15622" width="13.33203125" style="9" bestFit="1" customWidth="1"/>
    <col min="15623" max="15623" width="15.5546875" style="9" bestFit="1" customWidth="1"/>
    <col min="15624" max="15625" width="16.6640625" style="9" bestFit="1" customWidth="1"/>
    <col min="15626" max="15872" width="210.33203125" style="9" customWidth="1"/>
    <col min="15873" max="15873" width="6.88671875" style="9" bestFit="1" customWidth="1"/>
    <col min="15874" max="15874" width="140.5546875" style="9" bestFit="1" customWidth="1"/>
    <col min="15875" max="15875" width="8.88671875" style="9" bestFit="1" customWidth="1"/>
    <col min="15876" max="15876" width="9.5546875" style="9" bestFit="1" customWidth="1"/>
    <col min="15877" max="15877" width="11.44140625" style="9" bestFit="1" customWidth="1"/>
    <col min="15878" max="15878" width="13.33203125" style="9" bestFit="1" customWidth="1"/>
    <col min="15879" max="15879" width="15.5546875" style="9" bestFit="1" customWidth="1"/>
    <col min="15880" max="15881" width="16.6640625" style="9" bestFit="1" customWidth="1"/>
    <col min="15882" max="16128" width="210.33203125" style="9" customWidth="1"/>
    <col min="16129" max="16129" width="6.88671875" style="9" bestFit="1" customWidth="1"/>
    <col min="16130" max="16130" width="140.5546875" style="9" bestFit="1" customWidth="1"/>
    <col min="16131" max="16131" width="8.88671875" style="9" bestFit="1" customWidth="1"/>
    <col min="16132" max="16132" width="9.5546875" style="9" bestFit="1" customWidth="1"/>
    <col min="16133" max="16133" width="11.44140625" style="9" bestFit="1" customWidth="1"/>
    <col min="16134" max="16134" width="13.33203125" style="9" bestFit="1" customWidth="1"/>
    <col min="16135" max="16135" width="15.5546875" style="9" bestFit="1" customWidth="1"/>
    <col min="16136" max="16137" width="16.6640625" style="9" bestFit="1" customWidth="1"/>
    <col min="16138" max="16384" width="210.33203125" style="9" customWidth="1"/>
  </cols>
  <sheetData>
    <row r="1" spans="1:12" x14ac:dyDescent="0.3">
      <c r="A1" s="1388" t="s">
        <v>22</v>
      </c>
      <c r="B1" s="1389" t="s">
        <v>1</v>
      </c>
      <c r="C1" s="1390" t="s">
        <v>23</v>
      </c>
      <c r="D1" s="1391" t="s">
        <v>24</v>
      </c>
      <c r="E1" s="1392" t="s">
        <v>25</v>
      </c>
      <c r="F1" s="1392"/>
      <c r="G1" s="1387" t="s">
        <v>26</v>
      </c>
      <c r="H1" s="1387"/>
      <c r="I1" s="1387" t="s">
        <v>27</v>
      </c>
    </row>
    <row r="2" spans="1:12" x14ac:dyDescent="0.3">
      <c r="A2" s="1388"/>
      <c r="B2" s="1389"/>
      <c r="C2" s="1390"/>
      <c r="D2" s="1391"/>
      <c r="E2" s="10" t="s">
        <v>28</v>
      </c>
      <c r="F2" s="104" t="s">
        <v>29</v>
      </c>
      <c r="G2" s="104" t="s">
        <v>28</v>
      </c>
      <c r="H2" s="104" t="s">
        <v>30</v>
      </c>
      <c r="I2" s="1387"/>
    </row>
    <row r="3" spans="1:12" x14ac:dyDescent="0.3">
      <c r="A3" s="11"/>
      <c r="B3" s="73" t="s">
        <v>167</v>
      </c>
      <c r="C3" s="74"/>
      <c r="D3" s="105"/>
      <c r="E3" s="421"/>
      <c r="F3" s="422"/>
      <c r="G3" s="423"/>
      <c r="H3" s="423"/>
      <c r="I3" s="423"/>
    </row>
    <row r="4" spans="1:12" x14ac:dyDescent="0.3">
      <c r="A4" s="17" t="s">
        <v>296</v>
      </c>
      <c r="B4" s="18" t="s">
        <v>6</v>
      </c>
      <c r="C4" s="101"/>
      <c r="D4" s="113"/>
      <c r="E4" s="90"/>
      <c r="F4" s="114"/>
      <c r="G4" s="40"/>
      <c r="H4" s="40"/>
      <c r="I4" s="40"/>
    </row>
    <row r="5" spans="1:12" s="22" customFormat="1" x14ac:dyDescent="0.3">
      <c r="A5" s="39" t="s">
        <v>168</v>
      </c>
      <c r="B5" s="63" t="s">
        <v>297</v>
      </c>
      <c r="C5" s="42" t="s">
        <v>34</v>
      </c>
      <c r="D5" s="420">
        <f>(152.59+132.12*23+159.5)*0.25</f>
        <v>837.71250000000009</v>
      </c>
      <c r="E5" s="94">
        <v>1650</v>
      </c>
      <c r="F5" s="108"/>
      <c r="G5" s="44">
        <f t="shared" ref="G5:G48" si="0">D5*E5</f>
        <v>1382225.6250000002</v>
      </c>
      <c r="H5" s="44">
        <f t="shared" ref="H5:H68" si="1">D5*F5</f>
        <v>0</v>
      </c>
      <c r="I5" s="44">
        <f t="shared" ref="I5:I68" si="2">G5+H5</f>
        <v>1382225.6250000002</v>
      </c>
    </row>
    <row r="6" spans="1:12" s="22" customFormat="1" x14ac:dyDescent="0.3">
      <c r="A6" s="39"/>
      <c r="B6" s="424" t="s">
        <v>1118</v>
      </c>
      <c r="C6" s="425" t="s">
        <v>34</v>
      </c>
      <c r="D6" s="426">
        <f>0.02*0.2*24</f>
        <v>9.6000000000000002E-2</v>
      </c>
      <c r="E6" s="94"/>
      <c r="F6" s="109">
        <v>3900</v>
      </c>
      <c r="G6" s="44">
        <f>D6*E6</f>
        <v>0</v>
      </c>
      <c r="H6" s="28">
        <f>D6*F6</f>
        <v>374.40000000000003</v>
      </c>
      <c r="I6" s="28">
        <f>G6+H6</f>
        <v>374.40000000000003</v>
      </c>
    </row>
    <row r="7" spans="1:12" x14ac:dyDescent="0.3">
      <c r="A7" s="23" t="s">
        <v>170</v>
      </c>
      <c r="B7" s="45" t="s">
        <v>298</v>
      </c>
      <c r="C7" s="55" t="s">
        <v>34</v>
      </c>
      <c r="D7" s="100">
        <f>D5*1.01</f>
        <v>846.08962500000007</v>
      </c>
      <c r="E7" s="98"/>
      <c r="F7" s="115">
        <v>3100</v>
      </c>
      <c r="G7" s="28">
        <f t="shared" si="0"/>
        <v>0</v>
      </c>
      <c r="H7" s="28">
        <f t="shared" si="1"/>
        <v>2622877.8375000004</v>
      </c>
      <c r="I7" s="28">
        <f t="shared" si="2"/>
        <v>2622877.8375000004</v>
      </c>
    </row>
    <row r="8" spans="1:12" x14ac:dyDescent="0.3">
      <c r="A8" s="23" t="s">
        <v>172</v>
      </c>
      <c r="B8" s="45" t="s">
        <v>299</v>
      </c>
      <c r="C8" s="30" t="s">
        <v>300</v>
      </c>
      <c r="D8" s="100">
        <f>ROUND(D5*1.6/25,0.1)</f>
        <v>54</v>
      </c>
      <c r="E8" s="98"/>
      <c r="F8" s="109">
        <v>240</v>
      </c>
      <c r="G8" s="28">
        <f t="shared" si="0"/>
        <v>0</v>
      </c>
      <c r="H8" s="28">
        <f t="shared" si="1"/>
        <v>12960</v>
      </c>
      <c r="I8" s="28">
        <f t="shared" si="2"/>
        <v>12960</v>
      </c>
    </row>
    <row r="9" spans="1:12" x14ac:dyDescent="0.3">
      <c r="A9" s="23" t="s">
        <v>174</v>
      </c>
      <c r="B9" s="45" t="s">
        <v>301</v>
      </c>
      <c r="C9" s="30" t="s">
        <v>62</v>
      </c>
      <c r="D9" s="100">
        <f>2*0.25*8.5/1000</f>
        <v>4.2500000000000003E-3</v>
      </c>
      <c r="E9" s="98"/>
      <c r="F9" s="116">
        <v>45950</v>
      </c>
      <c r="G9" s="28">
        <f t="shared" si="0"/>
        <v>0</v>
      </c>
      <c r="H9" s="28">
        <f t="shared" si="1"/>
        <v>195.28750000000002</v>
      </c>
      <c r="I9" s="28">
        <f t="shared" si="2"/>
        <v>195.28750000000002</v>
      </c>
    </row>
    <row r="10" spans="1:12" x14ac:dyDescent="0.3">
      <c r="A10" s="23" t="s">
        <v>176</v>
      </c>
      <c r="B10" s="117" t="s">
        <v>302</v>
      </c>
      <c r="C10" s="118"/>
      <c r="D10" s="119"/>
      <c r="E10" s="98"/>
      <c r="F10" s="109"/>
      <c r="G10" s="28">
        <f t="shared" si="0"/>
        <v>0</v>
      </c>
      <c r="H10" s="28">
        <f t="shared" si="1"/>
        <v>0</v>
      </c>
      <c r="I10" s="28">
        <f t="shared" si="2"/>
        <v>0</v>
      </c>
      <c r="J10" s="120"/>
      <c r="K10" s="120"/>
      <c r="L10" s="120"/>
    </row>
    <row r="11" spans="1:12" x14ac:dyDescent="0.3">
      <c r="A11" s="23"/>
      <c r="B11" s="45" t="s">
        <v>163</v>
      </c>
      <c r="C11" s="30" t="s">
        <v>62</v>
      </c>
      <c r="D11" s="100">
        <f>3410.67/1000*1.04</f>
        <v>3.5470968000000003</v>
      </c>
      <c r="E11" s="98"/>
      <c r="F11" s="109">
        <v>40000</v>
      </c>
      <c r="G11" s="28">
        <f t="shared" si="0"/>
        <v>0</v>
      </c>
      <c r="H11" s="28">
        <f t="shared" si="1"/>
        <v>141883.872</v>
      </c>
      <c r="I11" s="28">
        <f t="shared" si="2"/>
        <v>141883.872</v>
      </c>
      <c r="J11" s="120"/>
      <c r="K11" s="120"/>
      <c r="L11" s="120"/>
    </row>
    <row r="12" spans="1:12" x14ac:dyDescent="0.3">
      <c r="A12" s="23"/>
      <c r="B12" s="45" t="s">
        <v>303</v>
      </c>
      <c r="C12" s="30" t="s">
        <v>62</v>
      </c>
      <c r="D12" s="100">
        <f>342.81/1000*1.04</f>
        <v>0.35652240000000002</v>
      </c>
      <c r="E12" s="98"/>
      <c r="F12" s="109">
        <v>37500</v>
      </c>
      <c r="G12" s="28">
        <f t="shared" si="0"/>
        <v>0</v>
      </c>
      <c r="H12" s="28">
        <f t="shared" si="1"/>
        <v>13369.59</v>
      </c>
      <c r="I12" s="28">
        <f t="shared" si="2"/>
        <v>13369.59</v>
      </c>
      <c r="J12" s="120"/>
      <c r="K12" s="120"/>
      <c r="L12" s="120"/>
    </row>
    <row r="13" spans="1:12" x14ac:dyDescent="0.3">
      <c r="A13" s="23"/>
      <c r="B13" s="45" t="s">
        <v>162</v>
      </c>
      <c r="C13" s="30" t="s">
        <v>62</v>
      </c>
      <c r="D13" s="100">
        <f>4104.34/1000*1.04</f>
        <v>4.2685136000000004</v>
      </c>
      <c r="E13" s="98"/>
      <c r="F13" s="109">
        <v>34400</v>
      </c>
      <c r="G13" s="28">
        <f t="shared" si="0"/>
        <v>0</v>
      </c>
      <c r="H13" s="28">
        <f t="shared" si="1"/>
        <v>146836.86784000002</v>
      </c>
      <c r="I13" s="28">
        <f t="shared" si="2"/>
        <v>146836.86784000002</v>
      </c>
      <c r="J13" s="120"/>
      <c r="K13" s="120"/>
      <c r="L13" s="120"/>
    </row>
    <row r="14" spans="1:12" x14ac:dyDescent="0.3">
      <c r="A14" s="23"/>
      <c r="B14" s="45" t="s">
        <v>304</v>
      </c>
      <c r="C14" s="30" t="s">
        <v>44</v>
      </c>
      <c r="D14" s="100">
        <v>5344</v>
      </c>
      <c r="E14" s="121"/>
      <c r="F14" s="109">
        <v>10</v>
      </c>
      <c r="G14" s="28">
        <f t="shared" si="0"/>
        <v>0</v>
      </c>
      <c r="H14" s="28">
        <f t="shared" si="1"/>
        <v>53440</v>
      </c>
      <c r="I14" s="28">
        <f t="shared" si="2"/>
        <v>53440</v>
      </c>
      <c r="J14" s="120"/>
      <c r="K14" s="120"/>
      <c r="L14" s="120"/>
    </row>
    <row r="15" spans="1:12" x14ac:dyDescent="0.3">
      <c r="A15" s="23" t="s">
        <v>305</v>
      </c>
      <c r="B15" s="122" t="s">
        <v>306</v>
      </c>
      <c r="C15" s="123" t="s">
        <v>44</v>
      </c>
      <c r="D15" s="124">
        <f>797+52+113+290</f>
        <v>1252</v>
      </c>
      <c r="E15" s="125">
        <v>123</v>
      </c>
      <c r="F15" s="126"/>
      <c r="G15" s="28">
        <f t="shared" si="0"/>
        <v>153996</v>
      </c>
      <c r="H15" s="28">
        <f t="shared" si="1"/>
        <v>0</v>
      </c>
      <c r="I15" s="28">
        <f t="shared" si="2"/>
        <v>153996</v>
      </c>
    </row>
    <row r="16" spans="1:12" x14ac:dyDescent="0.3">
      <c r="A16" s="23"/>
      <c r="B16" s="127" t="s">
        <v>307</v>
      </c>
      <c r="C16" s="128" t="s">
        <v>62</v>
      </c>
      <c r="D16" s="129">
        <f>(3*0.94*797+3*0.94*52+2*0.94*113+2*0.94*290)*1.05/1000</f>
        <v>3.3094109999999999</v>
      </c>
      <c r="E16" s="130"/>
      <c r="F16" s="126">
        <v>45790</v>
      </c>
      <c r="G16" s="28">
        <f t="shared" si="0"/>
        <v>0</v>
      </c>
      <c r="H16" s="28">
        <f t="shared" si="1"/>
        <v>151537.92968999999</v>
      </c>
      <c r="I16" s="28">
        <f t="shared" si="2"/>
        <v>151537.92968999999</v>
      </c>
    </row>
    <row r="17" spans="1:9" x14ac:dyDescent="0.3">
      <c r="A17" s="23"/>
      <c r="B17" s="127" t="s">
        <v>308</v>
      </c>
      <c r="C17" s="128" t="s">
        <v>62</v>
      </c>
      <c r="D17" s="129">
        <f>(1*1.7*797+1*1.13*52+1*0.57*113+1*0.44*290)*1.05/1000</f>
        <v>1.6859534999999999</v>
      </c>
      <c r="E17" s="130"/>
      <c r="F17" s="126">
        <v>35000</v>
      </c>
      <c r="G17" s="28">
        <f t="shared" si="0"/>
        <v>0</v>
      </c>
      <c r="H17" s="28">
        <f t="shared" si="1"/>
        <v>59008.372499999998</v>
      </c>
      <c r="I17" s="28">
        <f t="shared" si="2"/>
        <v>59008.372499999998</v>
      </c>
    </row>
    <row r="18" spans="1:9" x14ac:dyDescent="0.3">
      <c r="A18" s="23"/>
      <c r="B18" s="127" t="s">
        <v>309</v>
      </c>
      <c r="C18" s="128" t="s">
        <v>79</v>
      </c>
      <c r="D18" s="129">
        <v>73</v>
      </c>
      <c r="E18" s="130"/>
      <c r="F18" s="126">
        <v>84.43</v>
      </c>
      <c r="G18" s="28">
        <f t="shared" si="0"/>
        <v>0</v>
      </c>
      <c r="H18" s="28">
        <f t="shared" si="1"/>
        <v>6163.39</v>
      </c>
      <c r="I18" s="28">
        <f t="shared" si="2"/>
        <v>6163.39</v>
      </c>
    </row>
    <row r="19" spans="1:9" x14ac:dyDescent="0.3">
      <c r="A19" s="23"/>
      <c r="B19" s="127" t="s">
        <v>310</v>
      </c>
      <c r="C19" s="128" t="s">
        <v>311</v>
      </c>
      <c r="D19" s="129">
        <v>3.59</v>
      </c>
      <c r="E19" s="130"/>
      <c r="F19" s="126">
        <v>97.6</v>
      </c>
      <c r="G19" s="28">
        <f t="shared" si="0"/>
        <v>0</v>
      </c>
      <c r="H19" s="28">
        <f t="shared" si="1"/>
        <v>350.38399999999996</v>
      </c>
      <c r="I19" s="28">
        <f t="shared" si="2"/>
        <v>350.38399999999996</v>
      </c>
    </row>
    <row r="20" spans="1:9" x14ac:dyDescent="0.3">
      <c r="A20" s="23" t="s">
        <v>312</v>
      </c>
      <c r="B20" s="122" t="s">
        <v>313</v>
      </c>
      <c r="C20" s="418" t="s">
        <v>44</v>
      </c>
      <c r="D20" s="131">
        <f>49+147+85+140+24+32+134+78+8+3</f>
        <v>700</v>
      </c>
      <c r="E20" s="132">
        <v>160</v>
      </c>
      <c r="F20" s="133"/>
      <c r="G20" s="28">
        <f t="shared" si="0"/>
        <v>112000</v>
      </c>
      <c r="H20" s="28">
        <f t="shared" si="1"/>
        <v>0</v>
      </c>
      <c r="I20" s="28">
        <f t="shared" si="2"/>
        <v>112000</v>
      </c>
    </row>
    <row r="21" spans="1:9" x14ac:dyDescent="0.3">
      <c r="A21" s="39"/>
      <c r="B21" s="81" t="s">
        <v>290</v>
      </c>
      <c r="C21" s="82" t="s">
        <v>62</v>
      </c>
      <c r="D21" s="129">
        <f>(2*10.44*49+2*8.99*147+1*1.04*147+2*11.6*85+1*1.04*140+2*10.15*140+1*1.04*24+2*8.7*24+2*12.47*32+1*1.04*134+2*11.02*134+1*1.04*78+2*13.34*78+2*7.54*8+2*8.7*3)*1.05/1000</f>
        <v>16.219371000000002</v>
      </c>
      <c r="E21" s="130"/>
      <c r="F21" s="126">
        <v>48280.01</v>
      </c>
      <c r="G21" s="28">
        <f t="shared" si="0"/>
        <v>0</v>
      </c>
      <c r="H21" s="28">
        <f t="shared" si="1"/>
        <v>783071.39407371019</v>
      </c>
      <c r="I21" s="28">
        <f t="shared" si="2"/>
        <v>783071.39407371019</v>
      </c>
    </row>
    <row r="22" spans="1:9" x14ac:dyDescent="0.3">
      <c r="A22" s="39"/>
      <c r="B22" s="81" t="s">
        <v>314</v>
      </c>
      <c r="C22" s="82" t="s">
        <v>44</v>
      </c>
      <c r="D22" s="134">
        <f>2*147+2*140+2*24+2*134+2*78</f>
        <v>1046</v>
      </c>
      <c r="E22" s="130"/>
      <c r="F22" s="126">
        <v>4.96</v>
      </c>
      <c r="G22" s="28">
        <f t="shared" si="0"/>
        <v>0</v>
      </c>
      <c r="H22" s="28">
        <f t="shared" si="1"/>
        <v>5188.16</v>
      </c>
      <c r="I22" s="28">
        <f t="shared" si="2"/>
        <v>5188.16</v>
      </c>
    </row>
    <row r="23" spans="1:9" x14ac:dyDescent="0.3">
      <c r="A23" s="39"/>
      <c r="B23" s="81" t="s">
        <v>315</v>
      </c>
      <c r="C23" s="82" t="s">
        <v>79</v>
      </c>
      <c r="D23" s="134">
        <f>D21*2*2.42</f>
        <v>78.501755640000013</v>
      </c>
      <c r="E23" s="130"/>
      <c r="F23" s="109">
        <v>65</v>
      </c>
      <c r="G23" s="28">
        <f t="shared" si="0"/>
        <v>0</v>
      </c>
      <c r="H23" s="28">
        <f t="shared" si="1"/>
        <v>5102.6141166000007</v>
      </c>
      <c r="I23" s="28">
        <f t="shared" si="2"/>
        <v>5102.6141166000007</v>
      </c>
    </row>
    <row r="24" spans="1:9" x14ac:dyDescent="0.3">
      <c r="A24" s="39"/>
      <c r="B24" s="81" t="s">
        <v>316</v>
      </c>
      <c r="C24" s="82" t="s">
        <v>79</v>
      </c>
      <c r="D24" s="134">
        <f>D21*2*2.15</f>
        <v>69.743295300000014</v>
      </c>
      <c r="E24" s="125"/>
      <c r="F24" s="109">
        <v>88.45</v>
      </c>
      <c r="G24" s="28">
        <f t="shared" si="0"/>
        <v>0</v>
      </c>
      <c r="H24" s="28">
        <f t="shared" si="1"/>
        <v>6168.7944692850015</v>
      </c>
      <c r="I24" s="28">
        <f t="shared" si="2"/>
        <v>6168.7944692850015</v>
      </c>
    </row>
    <row r="25" spans="1:9" x14ac:dyDescent="0.3">
      <c r="A25" s="39"/>
      <c r="B25" s="135" t="s">
        <v>317</v>
      </c>
      <c r="C25" s="82" t="s">
        <v>318</v>
      </c>
      <c r="D25" s="131">
        <f>D26+D27</f>
        <v>6968</v>
      </c>
      <c r="E25" s="125">
        <v>150</v>
      </c>
      <c r="F25" s="126"/>
      <c r="G25" s="28">
        <f t="shared" si="0"/>
        <v>1045200</v>
      </c>
      <c r="H25" s="28">
        <f t="shared" si="1"/>
        <v>0</v>
      </c>
      <c r="I25" s="28">
        <f t="shared" si="2"/>
        <v>1045200</v>
      </c>
    </row>
    <row r="26" spans="1:9" x14ac:dyDescent="0.3">
      <c r="A26" s="23" t="s">
        <v>319</v>
      </c>
      <c r="B26" s="81" t="s">
        <v>320</v>
      </c>
      <c r="C26" s="82" t="s">
        <v>318</v>
      </c>
      <c r="D26" s="134">
        <f>ROUND(23*2.82*2*25,0)</f>
        <v>3243</v>
      </c>
      <c r="E26" s="145"/>
      <c r="F26" s="115">
        <v>6</v>
      </c>
      <c r="G26" s="72">
        <f t="shared" si="0"/>
        <v>0</v>
      </c>
      <c r="H26" s="72">
        <f t="shared" si="1"/>
        <v>19458</v>
      </c>
      <c r="I26" s="72">
        <f t="shared" si="2"/>
        <v>19458</v>
      </c>
    </row>
    <row r="27" spans="1:9" x14ac:dyDescent="0.3">
      <c r="A27" s="23"/>
      <c r="B27" s="81" t="s">
        <v>321</v>
      </c>
      <c r="C27" s="82" t="s">
        <v>318</v>
      </c>
      <c r="D27" s="427">
        <f>ROUND(74.5*2*25,0)</f>
        <v>3725</v>
      </c>
      <c r="E27" s="145"/>
      <c r="F27" s="115">
        <v>23.77</v>
      </c>
      <c r="G27" s="72">
        <f t="shared" si="0"/>
        <v>0</v>
      </c>
      <c r="H27" s="72">
        <f t="shared" si="1"/>
        <v>88543.25</v>
      </c>
      <c r="I27" s="72">
        <f t="shared" si="2"/>
        <v>88543.25</v>
      </c>
    </row>
    <row r="28" spans="1:9" x14ac:dyDescent="0.3">
      <c r="A28" s="23"/>
      <c r="B28" s="136" t="s">
        <v>322</v>
      </c>
      <c r="C28" s="137" t="s">
        <v>44</v>
      </c>
      <c r="D28" s="137">
        <v>250</v>
      </c>
      <c r="E28" s="428"/>
      <c r="F28" s="429">
        <v>174</v>
      </c>
      <c r="G28" s="72">
        <f t="shared" si="0"/>
        <v>0</v>
      </c>
      <c r="H28" s="72">
        <f t="shared" si="1"/>
        <v>43500</v>
      </c>
      <c r="I28" s="72">
        <f t="shared" si="2"/>
        <v>43500</v>
      </c>
    </row>
    <row r="29" spans="1:9" x14ac:dyDescent="0.3">
      <c r="A29" s="23"/>
      <c r="B29" s="136" t="s">
        <v>323</v>
      </c>
      <c r="C29" s="137" t="s">
        <v>34</v>
      </c>
      <c r="D29" s="137">
        <f>23*2.82*0.15*0.05*24</f>
        <v>11.674799999999999</v>
      </c>
      <c r="E29" s="428"/>
      <c r="F29" s="429">
        <v>1365</v>
      </c>
      <c r="G29" s="72">
        <f t="shared" si="0"/>
        <v>0</v>
      </c>
      <c r="H29" s="72">
        <f t="shared" si="1"/>
        <v>15936.101999999999</v>
      </c>
      <c r="I29" s="72">
        <f t="shared" si="2"/>
        <v>15936.101999999999</v>
      </c>
    </row>
    <row r="30" spans="1:9" s="22" customFormat="1" x14ac:dyDescent="0.3">
      <c r="A30" s="39" t="s">
        <v>181</v>
      </c>
      <c r="B30" s="63" t="s">
        <v>324</v>
      </c>
      <c r="C30" s="42" t="s">
        <v>74</v>
      </c>
      <c r="D30" s="420">
        <f>5.36*1.3*24+32.05*1.3*23</f>
        <v>1125.527</v>
      </c>
      <c r="E30" s="94"/>
      <c r="F30" s="108"/>
      <c r="G30" s="44">
        <f t="shared" si="0"/>
        <v>0</v>
      </c>
      <c r="H30" s="44">
        <f t="shared" si="1"/>
        <v>0</v>
      </c>
      <c r="I30" s="44">
        <f t="shared" si="2"/>
        <v>0</v>
      </c>
    </row>
    <row r="31" spans="1:9" s="22" customFormat="1" x14ac:dyDescent="0.3">
      <c r="A31" s="23" t="s">
        <v>183</v>
      </c>
      <c r="B31" s="117" t="s">
        <v>325</v>
      </c>
      <c r="C31" s="30" t="s">
        <v>74</v>
      </c>
      <c r="D31" s="100">
        <f>5.36*1.3*24+32.05*1.3*23</f>
        <v>1125.527</v>
      </c>
      <c r="E31" s="98">
        <v>450</v>
      </c>
      <c r="F31" s="109"/>
      <c r="G31" s="28">
        <f t="shared" si="0"/>
        <v>506487.15</v>
      </c>
      <c r="H31" s="28">
        <f t="shared" si="1"/>
        <v>0</v>
      </c>
      <c r="I31" s="28">
        <f t="shared" si="2"/>
        <v>506487.15</v>
      </c>
    </row>
    <row r="32" spans="1:9" x14ac:dyDescent="0.3">
      <c r="A32" s="23"/>
      <c r="B32" s="45" t="s">
        <v>326</v>
      </c>
      <c r="C32" s="30" t="s">
        <v>44</v>
      </c>
      <c r="D32" s="96">
        <f>D30/100*5040</f>
        <v>56726.560800000007</v>
      </c>
      <c r="E32" s="94"/>
      <c r="F32" s="109">
        <v>10.3</v>
      </c>
      <c r="G32" s="28">
        <f t="shared" si="0"/>
        <v>0</v>
      </c>
      <c r="H32" s="28">
        <f t="shared" si="1"/>
        <v>584283.57624000008</v>
      </c>
      <c r="I32" s="28">
        <f t="shared" si="2"/>
        <v>584283.57624000008</v>
      </c>
    </row>
    <row r="33" spans="1:9" x14ac:dyDescent="0.3">
      <c r="A33" s="23"/>
      <c r="B33" s="45" t="s">
        <v>327</v>
      </c>
      <c r="C33" s="30" t="s">
        <v>34</v>
      </c>
      <c r="D33" s="100">
        <f>D30/100*2.3</f>
        <v>25.887121</v>
      </c>
      <c r="E33" s="94"/>
      <c r="F33" s="109">
        <v>3900</v>
      </c>
      <c r="G33" s="28">
        <f t="shared" si="0"/>
        <v>0</v>
      </c>
      <c r="H33" s="28">
        <f t="shared" si="1"/>
        <v>100959.77190000001</v>
      </c>
      <c r="I33" s="28">
        <f t="shared" si="2"/>
        <v>100959.77190000001</v>
      </c>
    </row>
    <row r="34" spans="1:9" x14ac:dyDescent="0.3">
      <c r="A34" s="39"/>
      <c r="B34" s="45" t="s">
        <v>328</v>
      </c>
      <c r="C34" s="30" t="s">
        <v>62</v>
      </c>
      <c r="D34" s="100">
        <f>(15.09*23+12.62*23+11.39*23+9.96*23+9.96*23+9.96*24)/1000*1.04</f>
        <v>1.6603599999999998</v>
      </c>
      <c r="E34" s="94"/>
      <c r="F34" s="109">
        <v>41965</v>
      </c>
      <c r="G34" s="28">
        <f t="shared" si="0"/>
        <v>0</v>
      </c>
      <c r="H34" s="28">
        <f t="shared" si="1"/>
        <v>69677.007399999988</v>
      </c>
      <c r="I34" s="28">
        <f t="shared" si="2"/>
        <v>69677.007399999988</v>
      </c>
    </row>
    <row r="35" spans="1:9" x14ac:dyDescent="0.3">
      <c r="A35" s="23" t="s">
        <v>184</v>
      </c>
      <c r="B35" s="117" t="s">
        <v>329</v>
      </c>
      <c r="C35" s="30" t="s">
        <v>62</v>
      </c>
      <c r="D35" s="420">
        <f>SUM(D36:D41,D43)</f>
        <v>11.124755200000001</v>
      </c>
      <c r="E35" s="94">
        <v>25000</v>
      </c>
      <c r="F35" s="109"/>
      <c r="G35" s="28">
        <f t="shared" si="0"/>
        <v>278118.88</v>
      </c>
      <c r="H35" s="28">
        <f t="shared" si="1"/>
        <v>0</v>
      </c>
      <c r="I35" s="28">
        <f t="shared" si="2"/>
        <v>278118.88</v>
      </c>
    </row>
    <row r="36" spans="1:9" x14ac:dyDescent="0.3">
      <c r="A36" s="23"/>
      <c r="B36" s="45" t="s">
        <v>1194</v>
      </c>
      <c r="C36" s="30" t="s">
        <v>62</v>
      </c>
      <c r="D36" s="100">
        <f>(2*2.82*23+1*13.83*23+1*13.34*23+1*3.17*23+1*15.25*23+1*7.28*23+2*2.82*23+1*7.28*23+2*2.82*23+1*7.28*24+2*2.82*24)/1000*1.04</f>
        <v>2.1659975999999999</v>
      </c>
      <c r="E36" s="94"/>
      <c r="F36" s="109">
        <v>44100</v>
      </c>
      <c r="G36" s="28">
        <f t="shared" si="0"/>
        <v>0</v>
      </c>
      <c r="H36" s="28">
        <f t="shared" si="1"/>
        <v>95520.494159999987</v>
      </c>
      <c r="I36" s="28">
        <f t="shared" si="2"/>
        <v>95520.494159999987</v>
      </c>
    </row>
    <row r="37" spans="1:9" x14ac:dyDescent="0.3">
      <c r="A37" s="23"/>
      <c r="B37" s="45" t="s">
        <v>330</v>
      </c>
      <c r="C37" s="30" t="s">
        <v>62</v>
      </c>
      <c r="D37" s="100">
        <f>(2*0.53*23+1*0.53*23+2*0.53*23+2*0.53*23+2*0.53*24)/1000*1.04</f>
        <v>0.11520080000000001</v>
      </c>
      <c r="E37" s="94"/>
      <c r="F37" s="109">
        <v>40400</v>
      </c>
      <c r="G37" s="28">
        <f t="shared" si="0"/>
        <v>0</v>
      </c>
      <c r="H37" s="28">
        <f t="shared" si="1"/>
        <v>4654.1123200000002</v>
      </c>
      <c r="I37" s="28">
        <f t="shared" si="2"/>
        <v>4654.1123200000002</v>
      </c>
    </row>
    <row r="38" spans="1:9" x14ac:dyDescent="0.3">
      <c r="A38" s="23"/>
      <c r="B38" s="45" t="s">
        <v>331</v>
      </c>
      <c r="C38" s="30" t="s">
        <v>62</v>
      </c>
      <c r="D38" s="100">
        <f>(1*0.64*23)/1000*1.04</f>
        <v>1.5308800000000001E-2</v>
      </c>
      <c r="E38" s="94"/>
      <c r="F38" s="109">
        <v>40400</v>
      </c>
      <c r="G38" s="28">
        <f t="shared" si="0"/>
        <v>0</v>
      </c>
      <c r="H38" s="28">
        <f t="shared" si="1"/>
        <v>618.47552000000007</v>
      </c>
      <c r="I38" s="28">
        <f t="shared" si="2"/>
        <v>618.47552000000007</v>
      </c>
    </row>
    <row r="39" spans="1:9" x14ac:dyDescent="0.3">
      <c r="A39" s="23"/>
      <c r="B39" s="45" t="s">
        <v>332</v>
      </c>
      <c r="C39" s="30" t="s">
        <v>62</v>
      </c>
      <c r="D39" s="100">
        <f>(1*0.55*23)/1000*1.04</f>
        <v>1.3156000000000001E-2</v>
      </c>
      <c r="E39" s="98"/>
      <c r="F39" s="109">
        <v>54600</v>
      </c>
      <c r="G39" s="28">
        <f t="shared" si="0"/>
        <v>0</v>
      </c>
      <c r="H39" s="28">
        <f t="shared" si="1"/>
        <v>718.31760000000008</v>
      </c>
      <c r="I39" s="28">
        <f t="shared" si="2"/>
        <v>718.31760000000008</v>
      </c>
    </row>
    <row r="40" spans="1:9" x14ac:dyDescent="0.3">
      <c r="A40" s="23"/>
      <c r="B40" s="45" t="s">
        <v>333</v>
      </c>
      <c r="C40" s="30" t="s">
        <v>62</v>
      </c>
      <c r="D40" s="100">
        <f>(2*0.2*23)/1000*1.04</f>
        <v>9.5680000000000019E-3</v>
      </c>
      <c r="E40" s="98"/>
      <c r="F40" s="109">
        <v>54600</v>
      </c>
      <c r="G40" s="28">
        <f t="shared" si="0"/>
        <v>0</v>
      </c>
      <c r="H40" s="28">
        <f t="shared" si="1"/>
        <v>522.41280000000006</v>
      </c>
      <c r="I40" s="28">
        <f t="shared" si="2"/>
        <v>522.41280000000006</v>
      </c>
    </row>
    <row r="41" spans="1:9" x14ac:dyDescent="0.3">
      <c r="A41" s="23"/>
      <c r="B41" s="45" t="s">
        <v>334</v>
      </c>
      <c r="C41" s="30" t="s">
        <v>62</v>
      </c>
      <c r="D41" s="100">
        <f>(1*0.22*23+1*0.22*24)/1000*1.04</f>
        <v>1.07536E-2</v>
      </c>
      <c r="E41" s="98"/>
      <c r="F41" s="109">
        <v>54600</v>
      </c>
      <c r="G41" s="28">
        <f t="shared" si="0"/>
        <v>0</v>
      </c>
      <c r="H41" s="28">
        <f t="shared" si="1"/>
        <v>587.14656000000002</v>
      </c>
      <c r="I41" s="28">
        <f t="shared" si="2"/>
        <v>587.14656000000002</v>
      </c>
    </row>
    <row r="42" spans="1:9" x14ac:dyDescent="0.3">
      <c r="A42" s="23" t="s">
        <v>185</v>
      </c>
      <c r="B42" s="117" t="s">
        <v>335</v>
      </c>
      <c r="C42" s="30" t="s">
        <v>44</v>
      </c>
      <c r="D42" s="96">
        <f>14*23+12*23+11*23+9*23+9*23+9*24</f>
        <v>1481</v>
      </c>
      <c r="E42" s="98"/>
      <c r="F42" s="109">
        <v>0</v>
      </c>
      <c r="G42" s="28">
        <f t="shared" si="0"/>
        <v>0</v>
      </c>
      <c r="H42" s="28">
        <f>D42*F42</f>
        <v>0</v>
      </c>
      <c r="I42" s="28">
        <f>G42+H42</f>
        <v>0</v>
      </c>
    </row>
    <row r="43" spans="1:9" x14ac:dyDescent="0.3">
      <c r="A43" s="39"/>
      <c r="B43" s="45" t="s">
        <v>60</v>
      </c>
      <c r="C43" s="30" t="s">
        <v>62</v>
      </c>
      <c r="D43" s="100">
        <f>SUM(D44:D46)</f>
        <v>8.7947704000000009</v>
      </c>
      <c r="E43" s="98"/>
      <c r="F43" s="109">
        <v>0</v>
      </c>
      <c r="G43" s="28">
        <f t="shared" si="0"/>
        <v>0</v>
      </c>
      <c r="H43" s="28">
        <f>D43*F43</f>
        <v>0</v>
      </c>
      <c r="I43" s="28">
        <f>G43+H43</f>
        <v>0</v>
      </c>
    </row>
    <row r="44" spans="1:9" x14ac:dyDescent="0.3">
      <c r="A44" s="39"/>
      <c r="B44" s="45" t="s">
        <v>336</v>
      </c>
      <c r="C44" s="30" t="s">
        <v>62</v>
      </c>
      <c r="D44" s="100">
        <f>(5.43*1481)/1000*1.04</f>
        <v>8.3635032000000002</v>
      </c>
      <c r="E44" s="98"/>
      <c r="F44" s="109">
        <v>46000</v>
      </c>
      <c r="G44" s="28">
        <f t="shared" si="0"/>
        <v>0</v>
      </c>
      <c r="H44" s="28">
        <f t="shared" si="1"/>
        <v>384721.14720000001</v>
      </c>
      <c r="I44" s="28">
        <f t="shared" si="2"/>
        <v>384721.14720000001</v>
      </c>
    </row>
    <row r="45" spans="1:9" x14ac:dyDescent="0.3">
      <c r="A45" s="39"/>
      <c r="B45" s="45" t="s">
        <v>337</v>
      </c>
      <c r="C45" s="30" t="s">
        <v>62</v>
      </c>
      <c r="D45" s="100">
        <f>(0.23*1481)/1000*1.04</f>
        <v>0.35425519999999999</v>
      </c>
      <c r="E45" s="98"/>
      <c r="F45" s="109">
        <v>40400</v>
      </c>
      <c r="G45" s="28">
        <f t="shared" si="0"/>
        <v>0</v>
      </c>
      <c r="H45" s="28">
        <f t="shared" si="1"/>
        <v>14311.91008</v>
      </c>
      <c r="I45" s="28">
        <f t="shared" si="2"/>
        <v>14311.91008</v>
      </c>
    </row>
    <row r="46" spans="1:9" x14ac:dyDescent="0.3">
      <c r="A46" s="39"/>
      <c r="B46" s="45" t="s">
        <v>338</v>
      </c>
      <c r="C46" s="30" t="s">
        <v>62</v>
      </c>
      <c r="D46" s="100">
        <f>(0.05*1481)/1000*1.04</f>
        <v>7.7011999999999997E-2</v>
      </c>
      <c r="E46" s="98"/>
      <c r="F46" s="109">
        <v>54600</v>
      </c>
      <c r="G46" s="28">
        <f t="shared" si="0"/>
        <v>0</v>
      </c>
      <c r="H46" s="28">
        <f t="shared" si="1"/>
        <v>4204.8552</v>
      </c>
      <c r="I46" s="28">
        <f t="shared" si="2"/>
        <v>4204.8552</v>
      </c>
    </row>
    <row r="47" spans="1:9" x14ac:dyDescent="0.3">
      <c r="A47" s="23" t="s">
        <v>186</v>
      </c>
      <c r="B47" s="45" t="s">
        <v>339</v>
      </c>
      <c r="C47" s="30" t="s">
        <v>44</v>
      </c>
      <c r="D47" s="100">
        <f>4*23+2*23+2*23+2*23+4*23+2*24</f>
        <v>370</v>
      </c>
      <c r="E47" s="98"/>
      <c r="F47" s="109">
        <v>75</v>
      </c>
      <c r="G47" s="28">
        <f t="shared" si="0"/>
        <v>0</v>
      </c>
      <c r="H47" s="28">
        <f t="shared" si="1"/>
        <v>27750</v>
      </c>
      <c r="I47" s="28">
        <f t="shared" si="2"/>
        <v>27750</v>
      </c>
    </row>
    <row r="48" spans="1:9" x14ac:dyDescent="0.3">
      <c r="A48" s="23" t="s">
        <v>340</v>
      </c>
      <c r="B48" s="45" t="s">
        <v>341</v>
      </c>
      <c r="C48" s="30" t="s">
        <v>44</v>
      </c>
      <c r="D48" s="100">
        <f>2*23+2*23+2*24</f>
        <v>140</v>
      </c>
      <c r="E48" s="98"/>
      <c r="F48" s="109">
        <v>14.15</v>
      </c>
      <c r="G48" s="28">
        <f t="shared" si="0"/>
        <v>0</v>
      </c>
      <c r="H48" s="28">
        <f t="shared" si="1"/>
        <v>1981</v>
      </c>
      <c r="I48" s="28">
        <f t="shared" si="2"/>
        <v>1981</v>
      </c>
    </row>
    <row r="49" spans="1:9" s="22" customFormat="1" x14ac:dyDescent="0.3">
      <c r="A49" s="39" t="s">
        <v>189</v>
      </c>
      <c r="B49" s="63" t="s">
        <v>342</v>
      </c>
      <c r="C49" s="42" t="s">
        <v>44</v>
      </c>
      <c r="D49" s="420">
        <v>24</v>
      </c>
      <c r="E49" s="94">
        <v>25000</v>
      </c>
      <c r="F49" s="108"/>
      <c r="G49" s="44">
        <f>D50*E49</f>
        <v>89356.800000000003</v>
      </c>
      <c r="H49" s="44">
        <f t="shared" si="1"/>
        <v>0</v>
      </c>
      <c r="I49" s="44">
        <f t="shared" si="2"/>
        <v>89356.800000000003</v>
      </c>
    </row>
    <row r="50" spans="1:9" x14ac:dyDescent="0.3">
      <c r="A50" s="23" t="s">
        <v>191</v>
      </c>
      <c r="B50" s="45" t="s">
        <v>343</v>
      </c>
      <c r="C50" s="30" t="s">
        <v>62</v>
      </c>
      <c r="D50" s="100">
        <f>SUM(D51:D57)</f>
        <v>3.5742720000000001</v>
      </c>
      <c r="E50" s="98"/>
      <c r="F50" s="109"/>
      <c r="G50" s="28">
        <f t="shared" ref="G50:G90" si="3">D50*E50</f>
        <v>0</v>
      </c>
      <c r="H50" s="28">
        <f t="shared" si="1"/>
        <v>0</v>
      </c>
      <c r="I50" s="28">
        <f t="shared" si="2"/>
        <v>0</v>
      </c>
    </row>
    <row r="51" spans="1:9" x14ac:dyDescent="0.3">
      <c r="A51" s="23"/>
      <c r="B51" s="45" t="s">
        <v>336</v>
      </c>
      <c r="C51" s="30" t="s">
        <v>62</v>
      </c>
      <c r="D51" s="100">
        <f>(8*4.97*24)/1000*1.04</f>
        <v>0.9924096</v>
      </c>
      <c r="E51" s="98"/>
      <c r="F51" s="109">
        <v>46000</v>
      </c>
      <c r="G51" s="28">
        <f t="shared" si="3"/>
        <v>0</v>
      </c>
      <c r="H51" s="28">
        <f t="shared" si="1"/>
        <v>45650.8416</v>
      </c>
      <c r="I51" s="28">
        <f t="shared" si="2"/>
        <v>45650.8416</v>
      </c>
    </row>
    <row r="52" spans="1:9" x14ac:dyDescent="0.3">
      <c r="A52" s="23"/>
      <c r="B52" s="45" t="s">
        <v>344</v>
      </c>
      <c r="C52" s="30" t="s">
        <v>62</v>
      </c>
      <c r="D52" s="100">
        <f>(1*23.27*24)/1000*1.04</f>
        <v>0.58081919999999998</v>
      </c>
      <c r="E52" s="98"/>
      <c r="F52" s="109">
        <v>47200</v>
      </c>
      <c r="G52" s="28">
        <f t="shared" si="3"/>
        <v>0</v>
      </c>
      <c r="H52" s="28">
        <f t="shared" si="1"/>
        <v>27414.666239999999</v>
      </c>
      <c r="I52" s="28">
        <f t="shared" si="2"/>
        <v>27414.666239999999</v>
      </c>
    </row>
    <row r="53" spans="1:9" x14ac:dyDescent="0.3">
      <c r="A53" s="23"/>
      <c r="B53" s="45" t="s">
        <v>345</v>
      </c>
      <c r="C53" s="30" t="s">
        <v>62</v>
      </c>
      <c r="D53" s="100">
        <f>(7*1.7*24)/1000*1.04</f>
        <v>0.29702400000000001</v>
      </c>
      <c r="E53" s="98"/>
      <c r="F53" s="109">
        <v>48700</v>
      </c>
      <c r="G53" s="28">
        <f t="shared" si="3"/>
        <v>0</v>
      </c>
      <c r="H53" s="28">
        <f t="shared" si="1"/>
        <v>14465.068800000001</v>
      </c>
      <c r="I53" s="28">
        <f t="shared" si="2"/>
        <v>14465.068800000001</v>
      </c>
    </row>
    <row r="54" spans="1:9" x14ac:dyDescent="0.3">
      <c r="A54" s="23"/>
      <c r="B54" s="45" t="s">
        <v>337</v>
      </c>
      <c r="C54" s="30" t="s">
        <v>62</v>
      </c>
      <c r="D54" s="100">
        <f>(8*0.23*24)/1000*1.04</f>
        <v>4.5926400000000006E-2</v>
      </c>
      <c r="E54" s="98"/>
      <c r="F54" s="109">
        <v>40400</v>
      </c>
      <c r="G54" s="28">
        <f t="shared" si="3"/>
        <v>0</v>
      </c>
      <c r="H54" s="28">
        <f t="shared" si="1"/>
        <v>1855.4265600000003</v>
      </c>
      <c r="I54" s="28">
        <f t="shared" si="2"/>
        <v>1855.4265600000003</v>
      </c>
    </row>
    <row r="55" spans="1:9" x14ac:dyDescent="0.3">
      <c r="A55" s="23"/>
      <c r="B55" s="45" t="s">
        <v>346</v>
      </c>
      <c r="C55" s="30" t="s">
        <v>62</v>
      </c>
      <c r="D55" s="100">
        <f>(35*1.85*24)/1000*1.04</f>
        <v>1.61616</v>
      </c>
      <c r="E55" s="98"/>
      <c r="F55" s="109">
        <v>56300</v>
      </c>
      <c r="G55" s="28">
        <f t="shared" si="3"/>
        <v>0</v>
      </c>
      <c r="H55" s="28">
        <f t="shared" si="1"/>
        <v>90989.808000000005</v>
      </c>
      <c r="I55" s="28">
        <f t="shared" si="2"/>
        <v>90989.808000000005</v>
      </c>
    </row>
    <row r="56" spans="1:9" x14ac:dyDescent="0.3">
      <c r="A56" s="23"/>
      <c r="B56" s="45" t="s">
        <v>347</v>
      </c>
      <c r="C56" s="30" t="s">
        <v>62</v>
      </c>
      <c r="D56" s="100">
        <f>(48*0.57)/1000*1.04</f>
        <v>2.8454400000000001E-2</v>
      </c>
      <c r="E56" s="98"/>
      <c r="F56" s="109">
        <v>40400</v>
      </c>
      <c r="G56" s="28">
        <f t="shared" si="3"/>
        <v>0</v>
      </c>
      <c r="H56" s="28">
        <f t="shared" si="1"/>
        <v>1149.5577600000001</v>
      </c>
      <c r="I56" s="28">
        <f t="shared" si="2"/>
        <v>1149.5577600000001</v>
      </c>
    </row>
    <row r="57" spans="1:9" x14ac:dyDescent="0.3">
      <c r="A57" s="23"/>
      <c r="B57" s="45" t="s">
        <v>234</v>
      </c>
      <c r="C57" s="30" t="s">
        <v>62</v>
      </c>
      <c r="D57" s="100">
        <f>(12.96)/1000*1.04</f>
        <v>1.3478400000000001E-2</v>
      </c>
      <c r="E57" s="98"/>
      <c r="F57" s="109">
        <v>35000</v>
      </c>
      <c r="G57" s="28">
        <f t="shared" si="3"/>
        <v>0</v>
      </c>
      <c r="H57" s="28">
        <f t="shared" si="1"/>
        <v>471.74400000000003</v>
      </c>
      <c r="I57" s="28">
        <f t="shared" si="2"/>
        <v>471.74400000000003</v>
      </c>
    </row>
    <row r="58" spans="1:9" x14ac:dyDescent="0.3">
      <c r="A58" s="23" t="s">
        <v>192</v>
      </c>
      <c r="B58" s="45" t="s">
        <v>1195</v>
      </c>
      <c r="C58" s="30" t="s">
        <v>79</v>
      </c>
      <c r="D58" s="100">
        <f>121.68*0.24</f>
        <v>29.203199999999999</v>
      </c>
      <c r="E58" s="98"/>
      <c r="F58" s="109">
        <v>385.71</v>
      </c>
      <c r="G58" s="28">
        <f t="shared" si="3"/>
        <v>0</v>
      </c>
      <c r="H58" s="28">
        <f t="shared" si="1"/>
        <v>11263.966272</v>
      </c>
      <c r="I58" s="28">
        <f t="shared" si="2"/>
        <v>11263.966272</v>
      </c>
    </row>
    <row r="59" spans="1:9" x14ac:dyDescent="0.3">
      <c r="A59" s="23" t="s">
        <v>195</v>
      </c>
      <c r="B59" s="45" t="s">
        <v>339</v>
      </c>
      <c r="C59" s="30" t="s">
        <v>44</v>
      </c>
      <c r="D59" s="100">
        <v>96</v>
      </c>
      <c r="E59" s="98"/>
      <c r="F59" s="109">
        <v>75</v>
      </c>
      <c r="G59" s="28">
        <f t="shared" si="3"/>
        <v>0</v>
      </c>
      <c r="H59" s="28">
        <f t="shared" si="1"/>
        <v>7200</v>
      </c>
      <c r="I59" s="28">
        <f t="shared" si="2"/>
        <v>7200</v>
      </c>
    </row>
    <row r="60" spans="1:9" x14ac:dyDescent="0.3">
      <c r="A60" s="23" t="s">
        <v>196</v>
      </c>
      <c r="B60" s="45" t="s">
        <v>348</v>
      </c>
      <c r="C60" s="30" t="s">
        <v>62</v>
      </c>
      <c r="D60" s="100">
        <f>D50*0.019*1.2</f>
        <v>8.1493401599999987E-2</v>
      </c>
      <c r="E60" s="98"/>
      <c r="F60" s="109">
        <v>142000</v>
      </c>
      <c r="G60" s="28">
        <f t="shared" si="3"/>
        <v>0</v>
      </c>
      <c r="H60" s="28">
        <f t="shared" si="1"/>
        <v>11572.063027199998</v>
      </c>
      <c r="I60" s="28">
        <f t="shared" si="2"/>
        <v>11572.063027199998</v>
      </c>
    </row>
    <row r="61" spans="1:9" s="22" customFormat="1" x14ac:dyDescent="0.3">
      <c r="A61" s="39" t="s">
        <v>215</v>
      </c>
      <c r="B61" s="138" t="s">
        <v>349</v>
      </c>
      <c r="C61" s="139" t="s">
        <v>34</v>
      </c>
      <c r="D61" s="139">
        <f>109*0.38</f>
        <v>41.42</v>
      </c>
      <c r="E61" s="94">
        <v>1700</v>
      </c>
      <c r="F61" s="108"/>
      <c r="G61" s="44">
        <f t="shared" si="3"/>
        <v>70414</v>
      </c>
      <c r="H61" s="44">
        <f t="shared" si="1"/>
        <v>0</v>
      </c>
      <c r="I61" s="44">
        <f t="shared" si="2"/>
        <v>70414</v>
      </c>
    </row>
    <row r="62" spans="1:9" x14ac:dyDescent="0.3">
      <c r="A62" s="23" t="s">
        <v>217</v>
      </c>
      <c r="B62" s="140" t="s">
        <v>350</v>
      </c>
      <c r="C62" s="141" t="s">
        <v>44</v>
      </c>
      <c r="D62" s="142">
        <f>394*D61</f>
        <v>16319.480000000001</v>
      </c>
      <c r="E62" s="98"/>
      <c r="F62" s="109">
        <v>10.6</v>
      </c>
      <c r="G62" s="28">
        <f t="shared" si="3"/>
        <v>0</v>
      </c>
      <c r="H62" s="28">
        <f t="shared" si="1"/>
        <v>172986.48800000001</v>
      </c>
      <c r="I62" s="28">
        <f t="shared" si="2"/>
        <v>172986.48800000001</v>
      </c>
    </row>
    <row r="63" spans="1:9" x14ac:dyDescent="0.3">
      <c r="A63" s="23" t="s">
        <v>218</v>
      </c>
      <c r="B63" s="140" t="s">
        <v>351</v>
      </c>
      <c r="C63" s="141" t="s">
        <v>34</v>
      </c>
      <c r="D63" s="141">
        <f>0.221*D61</f>
        <v>9.1538199999999996</v>
      </c>
      <c r="E63" s="98"/>
      <c r="F63" s="109">
        <v>3900</v>
      </c>
      <c r="G63" s="28">
        <f t="shared" si="3"/>
        <v>0</v>
      </c>
      <c r="H63" s="28">
        <f t="shared" si="1"/>
        <v>35699.898000000001</v>
      </c>
      <c r="I63" s="28">
        <f t="shared" si="2"/>
        <v>35699.898000000001</v>
      </c>
    </row>
    <row r="64" spans="1:9" x14ac:dyDescent="0.3">
      <c r="A64" s="23" t="s">
        <v>353</v>
      </c>
      <c r="B64" s="45" t="s">
        <v>354</v>
      </c>
      <c r="C64" s="30" t="s">
        <v>62</v>
      </c>
      <c r="D64" s="100">
        <f>(32*2*0.38*2+22.5*2*0.38*2)*1.794</f>
        <v>148.61496</v>
      </c>
      <c r="E64" s="98"/>
      <c r="F64" s="109">
        <v>100</v>
      </c>
      <c r="G64" s="28">
        <f t="shared" si="3"/>
        <v>0</v>
      </c>
      <c r="H64" s="28">
        <f t="shared" si="1"/>
        <v>14861.495999999999</v>
      </c>
      <c r="I64" s="28">
        <f t="shared" si="2"/>
        <v>14861.495999999999</v>
      </c>
    </row>
    <row r="65" spans="1:9" x14ac:dyDescent="0.3">
      <c r="A65" s="23" t="s">
        <v>355</v>
      </c>
      <c r="B65" s="45" t="s">
        <v>356</v>
      </c>
      <c r="C65" s="30" t="s">
        <v>62</v>
      </c>
      <c r="D65" s="100">
        <f>(32*2*0.38+22.5*2*0.38)*5.16</f>
        <v>213.72720000000001</v>
      </c>
      <c r="E65" s="98"/>
      <c r="F65" s="109">
        <v>100</v>
      </c>
      <c r="G65" s="28">
        <f t="shared" si="3"/>
        <v>0</v>
      </c>
      <c r="H65" s="28">
        <f t="shared" si="1"/>
        <v>21372.720000000001</v>
      </c>
      <c r="I65" s="28">
        <f t="shared" si="2"/>
        <v>21372.720000000001</v>
      </c>
    </row>
    <row r="66" spans="1:9" x14ac:dyDescent="0.3">
      <c r="A66" s="23" t="s">
        <v>357</v>
      </c>
      <c r="B66" s="45" t="s">
        <v>358</v>
      </c>
      <c r="C66" s="30" t="s">
        <v>79</v>
      </c>
      <c r="D66" s="100">
        <f>(32*2+22.5*2)*1.1</f>
        <v>119.9</v>
      </c>
      <c r="E66" s="98"/>
      <c r="F66" s="109">
        <v>649</v>
      </c>
      <c r="G66" s="28">
        <f t="shared" si="3"/>
        <v>0</v>
      </c>
      <c r="H66" s="28">
        <f t="shared" si="1"/>
        <v>77815.100000000006</v>
      </c>
      <c r="I66" s="28">
        <f t="shared" si="2"/>
        <v>77815.100000000006</v>
      </c>
    </row>
    <row r="67" spans="1:9" x14ac:dyDescent="0.3">
      <c r="A67" s="23" t="s">
        <v>359</v>
      </c>
      <c r="B67" s="45" t="s">
        <v>360</v>
      </c>
      <c r="C67" s="30" t="s">
        <v>62</v>
      </c>
      <c r="D67" s="100">
        <f>(54*0.66)/1000*1.04</f>
        <v>3.7065599999999997E-2</v>
      </c>
      <c r="E67" s="98"/>
      <c r="F67" s="109">
        <v>42500</v>
      </c>
      <c r="G67" s="28">
        <f t="shared" si="3"/>
        <v>0</v>
      </c>
      <c r="H67" s="28">
        <f t="shared" si="1"/>
        <v>1575.2879999999998</v>
      </c>
      <c r="I67" s="28">
        <f t="shared" si="2"/>
        <v>1575.2879999999998</v>
      </c>
    </row>
    <row r="68" spans="1:9" s="22" customFormat="1" x14ac:dyDescent="0.3">
      <c r="A68" s="417" t="s">
        <v>220</v>
      </c>
      <c r="B68" s="143" t="s">
        <v>361</v>
      </c>
      <c r="C68" s="418"/>
      <c r="D68" s="144"/>
      <c r="E68" s="145"/>
      <c r="F68" s="146"/>
      <c r="G68" s="44">
        <f t="shared" si="3"/>
        <v>0</v>
      </c>
      <c r="H68" s="44">
        <f t="shared" si="1"/>
        <v>0</v>
      </c>
      <c r="I68" s="44">
        <f t="shared" si="2"/>
        <v>0</v>
      </c>
    </row>
    <row r="69" spans="1:9" x14ac:dyDescent="0.3">
      <c r="A69" s="23" t="s">
        <v>222</v>
      </c>
      <c r="B69" s="117" t="s">
        <v>362</v>
      </c>
      <c r="C69" s="30" t="s">
        <v>34</v>
      </c>
      <c r="D69" s="100">
        <f>(32.81+81.171)*0.25</f>
        <v>28.495250000000002</v>
      </c>
      <c r="E69" s="94">
        <v>1650</v>
      </c>
      <c r="F69" s="109"/>
      <c r="G69" s="28">
        <f t="shared" si="3"/>
        <v>47017.162500000006</v>
      </c>
      <c r="H69" s="28">
        <f t="shared" ref="H69:H90" si="4">D69*F69</f>
        <v>0</v>
      </c>
      <c r="I69" s="28">
        <f t="shared" ref="I69:I90" si="5">G69+H69</f>
        <v>47017.162500000006</v>
      </c>
    </row>
    <row r="70" spans="1:9" x14ac:dyDescent="0.3">
      <c r="A70" s="23"/>
      <c r="B70" s="45" t="s">
        <v>298</v>
      </c>
      <c r="C70" s="55" t="s">
        <v>34</v>
      </c>
      <c r="D70" s="100">
        <f>D69*1.05</f>
        <v>29.920012500000002</v>
      </c>
      <c r="E70" s="94"/>
      <c r="F70" s="115">
        <v>3100</v>
      </c>
      <c r="G70" s="28">
        <f t="shared" si="3"/>
        <v>0</v>
      </c>
      <c r="H70" s="28">
        <f t="shared" si="4"/>
        <v>92752.038750000007</v>
      </c>
      <c r="I70" s="28">
        <f t="shared" si="5"/>
        <v>92752.038750000007</v>
      </c>
    </row>
    <row r="71" spans="1:9" x14ac:dyDescent="0.3">
      <c r="A71" s="23"/>
      <c r="B71" s="45" t="s">
        <v>299</v>
      </c>
      <c r="C71" s="30" t="s">
        <v>300</v>
      </c>
      <c r="D71" s="100">
        <f>ROUND(D69*1.6/25,0.1)</f>
        <v>2</v>
      </c>
      <c r="E71" s="94"/>
      <c r="F71" s="109">
        <v>240</v>
      </c>
      <c r="G71" s="28">
        <f t="shared" si="3"/>
        <v>0</v>
      </c>
      <c r="H71" s="28">
        <f t="shared" si="4"/>
        <v>480</v>
      </c>
      <c r="I71" s="28">
        <f t="shared" si="5"/>
        <v>480</v>
      </c>
    </row>
    <row r="72" spans="1:9" x14ac:dyDescent="0.3">
      <c r="A72" s="23" t="s">
        <v>223</v>
      </c>
      <c r="B72" s="117" t="s">
        <v>363</v>
      </c>
      <c r="C72" s="30" t="s">
        <v>74</v>
      </c>
      <c r="D72" s="100">
        <f>81.375+21.507</f>
        <v>102.88200000000001</v>
      </c>
      <c r="E72" s="94">
        <v>450</v>
      </c>
      <c r="F72" s="109"/>
      <c r="G72" s="28">
        <f t="shared" si="3"/>
        <v>46296.9</v>
      </c>
      <c r="H72" s="28">
        <f t="shared" si="4"/>
        <v>0</v>
      </c>
      <c r="I72" s="28">
        <f t="shared" si="5"/>
        <v>46296.9</v>
      </c>
    </row>
    <row r="73" spans="1:9" x14ac:dyDescent="0.3">
      <c r="A73" s="23"/>
      <c r="B73" s="45" t="s">
        <v>364</v>
      </c>
      <c r="C73" s="30" t="s">
        <v>44</v>
      </c>
      <c r="D73" s="100">
        <f>ROUND(153*D72,0)</f>
        <v>15741</v>
      </c>
      <c r="E73" s="94"/>
      <c r="F73" s="109">
        <v>15.6</v>
      </c>
      <c r="G73" s="28">
        <f t="shared" si="3"/>
        <v>0</v>
      </c>
      <c r="H73" s="28">
        <f t="shared" si="4"/>
        <v>245559.6</v>
      </c>
      <c r="I73" s="28">
        <f t="shared" si="5"/>
        <v>245559.6</v>
      </c>
    </row>
    <row r="74" spans="1:9" x14ac:dyDescent="0.3">
      <c r="A74" s="23"/>
      <c r="B74" s="45" t="s">
        <v>327</v>
      </c>
      <c r="C74" s="30" t="s">
        <v>34</v>
      </c>
      <c r="D74" s="100">
        <f>ROUND(0.241*D72,2)</f>
        <v>24.79</v>
      </c>
      <c r="E74" s="98"/>
      <c r="F74" s="109">
        <v>3900</v>
      </c>
      <c r="G74" s="28">
        <f t="shared" si="3"/>
        <v>0</v>
      </c>
      <c r="H74" s="28">
        <f t="shared" si="4"/>
        <v>96681</v>
      </c>
      <c r="I74" s="28">
        <f t="shared" si="5"/>
        <v>96681</v>
      </c>
    </row>
    <row r="75" spans="1:9" x14ac:dyDescent="0.3">
      <c r="A75" s="23" t="s">
        <v>224</v>
      </c>
      <c r="B75" s="45" t="s">
        <v>365</v>
      </c>
      <c r="C75" s="30" t="s">
        <v>44</v>
      </c>
      <c r="D75" s="100">
        <v>6</v>
      </c>
      <c r="E75" s="98"/>
      <c r="F75" s="109">
        <v>500</v>
      </c>
      <c r="G75" s="28">
        <f t="shared" si="3"/>
        <v>0</v>
      </c>
      <c r="H75" s="28">
        <f t="shared" si="4"/>
        <v>3000</v>
      </c>
      <c r="I75" s="28">
        <f t="shared" si="5"/>
        <v>3000</v>
      </c>
    </row>
    <row r="76" spans="1:9" x14ac:dyDescent="0.3">
      <c r="A76" s="23" t="s">
        <v>366</v>
      </c>
      <c r="B76" s="45" t="s">
        <v>367</v>
      </c>
      <c r="C76" s="30" t="s">
        <v>34</v>
      </c>
      <c r="D76" s="100">
        <f>0.2*0.2*0.01*6*1.05</f>
        <v>2.5200000000000005E-3</v>
      </c>
      <c r="E76" s="98"/>
      <c r="F76" s="109">
        <v>3900</v>
      </c>
      <c r="G76" s="28">
        <f t="shared" si="3"/>
        <v>0</v>
      </c>
      <c r="H76" s="28">
        <f t="shared" si="4"/>
        <v>9.828000000000003</v>
      </c>
      <c r="I76" s="28">
        <f t="shared" si="5"/>
        <v>9.828000000000003</v>
      </c>
    </row>
    <row r="77" spans="1:9" x14ac:dyDescent="0.3">
      <c r="A77" s="23" t="s">
        <v>368</v>
      </c>
      <c r="B77" s="45" t="s">
        <v>289</v>
      </c>
      <c r="C77" s="30" t="s">
        <v>62</v>
      </c>
      <c r="D77" s="100">
        <f>SUM(D78:D82)</f>
        <v>1.8984992000000001</v>
      </c>
      <c r="E77" s="98"/>
      <c r="F77" s="109">
        <v>0</v>
      </c>
      <c r="G77" s="28">
        <f t="shared" si="3"/>
        <v>0</v>
      </c>
      <c r="H77" s="28">
        <f>D77*F77</f>
        <v>0</v>
      </c>
      <c r="I77" s="28">
        <f>G77+H77</f>
        <v>0</v>
      </c>
    </row>
    <row r="78" spans="1:9" x14ac:dyDescent="0.3">
      <c r="A78" s="39"/>
      <c r="B78" s="45" t="s">
        <v>369</v>
      </c>
      <c r="C78" s="30" t="s">
        <v>62</v>
      </c>
      <c r="D78" s="100">
        <f>327/1000*1.04</f>
        <v>0.34008000000000005</v>
      </c>
      <c r="E78" s="98"/>
      <c r="F78" s="109">
        <v>59600</v>
      </c>
      <c r="G78" s="28">
        <f t="shared" si="3"/>
        <v>0</v>
      </c>
      <c r="H78" s="28">
        <f>D78*F78</f>
        <v>20268.768000000004</v>
      </c>
      <c r="I78" s="28">
        <f>G78+H78</f>
        <v>20268.768000000004</v>
      </c>
    </row>
    <row r="79" spans="1:9" x14ac:dyDescent="0.3">
      <c r="A79" s="39"/>
      <c r="B79" s="45" t="s">
        <v>370</v>
      </c>
      <c r="C79" s="30" t="s">
        <v>62</v>
      </c>
      <c r="D79" s="100">
        <f>110.33/1000*1.04</f>
        <v>0.1147432</v>
      </c>
      <c r="E79" s="98"/>
      <c r="F79" s="109">
        <v>60600</v>
      </c>
      <c r="G79" s="28">
        <f t="shared" si="3"/>
        <v>0</v>
      </c>
      <c r="H79" s="28">
        <f t="shared" si="4"/>
        <v>6953.4379200000003</v>
      </c>
      <c r="I79" s="28">
        <f t="shared" si="5"/>
        <v>6953.4379200000003</v>
      </c>
    </row>
    <row r="80" spans="1:9" x14ac:dyDescent="0.3">
      <c r="A80" s="39"/>
      <c r="B80" s="45" t="s">
        <v>371</v>
      </c>
      <c r="C80" s="30" t="s">
        <v>62</v>
      </c>
      <c r="D80" s="100">
        <f>(1*36.71+4*58.88)/1000*1.04</f>
        <v>0.28311920000000002</v>
      </c>
      <c r="E80" s="98"/>
      <c r="F80" s="109">
        <v>65200</v>
      </c>
      <c r="G80" s="28">
        <f t="shared" si="3"/>
        <v>0</v>
      </c>
      <c r="H80" s="28">
        <f t="shared" si="4"/>
        <v>18459.37184</v>
      </c>
      <c r="I80" s="28">
        <f t="shared" si="5"/>
        <v>18459.37184</v>
      </c>
    </row>
    <row r="81" spans="1:11" x14ac:dyDescent="0.3">
      <c r="A81" s="39"/>
      <c r="B81" s="45" t="s">
        <v>372</v>
      </c>
      <c r="C81" s="30" t="s">
        <v>62</v>
      </c>
      <c r="D81" s="100">
        <f>(8*124.32+1*100.56)/1000*1.04</f>
        <v>1.1389247999999998</v>
      </c>
      <c r="E81" s="98"/>
      <c r="F81" s="109">
        <v>75600</v>
      </c>
      <c r="G81" s="28">
        <f t="shared" si="3"/>
        <v>0</v>
      </c>
      <c r="H81" s="28">
        <f t="shared" si="4"/>
        <v>86102.714879999985</v>
      </c>
      <c r="I81" s="28">
        <f t="shared" si="5"/>
        <v>86102.714879999985</v>
      </c>
    </row>
    <row r="82" spans="1:11" x14ac:dyDescent="0.3">
      <c r="A82" s="39"/>
      <c r="B82" s="45" t="s">
        <v>373</v>
      </c>
      <c r="C82" s="30" t="s">
        <v>62</v>
      </c>
      <c r="D82" s="100">
        <f>(26*0.8)/1000*1.04</f>
        <v>2.1631999999999998E-2</v>
      </c>
      <c r="E82" s="98"/>
      <c r="F82" s="109">
        <v>40500</v>
      </c>
      <c r="G82" s="28">
        <f t="shared" si="3"/>
        <v>0</v>
      </c>
      <c r="H82" s="28">
        <f t="shared" si="4"/>
        <v>876.09599999999989</v>
      </c>
      <c r="I82" s="28">
        <f t="shared" si="5"/>
        <v>876.09599999999989</v>
      </c>
    </row>
    <row r="83" spans="1:11" x14ac:dyDescent="0.3">
      <c r="A83" s="23" t="s">
        <v>374</v>
      </c>
      <c r="B83" s="45" t="s">
        <v>294</v>
      </c>
      <c r="C83" s="30" t="s">
        <v>79</v>
      </c>
      <c r="D83" s="100">
        <f>3.89*2*D77</f>
        <v>14.770323776000001</v>
      </c>
      <c r="E83" s="98"/>
      <c r="F83" s="109">
        <v>65</v>
      </c>
      <c r="G83" s="28">
        <f t="shared" si="3"/>
        <v>0</v>
      </c>
      <c r="H83" s="28">
        <f t="shared" si="4"/>
        <v>960.07104544000015</v>
      </c>
      <c r="I83" s="28">
        <f t="shared" si="5"/>
        <v>960.07104544000015</v>
      </c>
    </row>
    <row r="84" spans="1:11" x14ac:dyDescent="0.3">
      <c r="A84" s="23" t="s">
        <v>375</v>
      </c>
      <c r="B84" s="45" t="s">
        <v>295</v>
      </c>
      <c r="C84" s="30" t="s">
        <v>79</v>
      </c>
      <c r="D84" s="100">
        <f>3.37*2*D77</f>
        <v>12.795884608000001</v>
      </c>
      <c r="E84" s="98"/>
      <c r="F84" s="109">
        <v>88.45</v>
      </c>
      <c r="G84" s="28">
        <f t="shared" si="3"/>
        <v>0</v>
      </c>
      <c r="H84" s="28">
        <f t="shared" si="4"/>
        <v>1131.7959935776003</v>
      </c>
      <c r="I84" s="28">
        <f t="shared" si="5"/>
        <v>1131.7959935776003</v>
      </c>
    </row>
    <row r="85" spans="1:11" x14ac:dyDescent="0.3">
      <c r="A85" s="23" t="s">
        <v>376</v>
      </c>
      <c r="B85" s="45" t="s">
        <v>377</v>
      </c>
      <c r="C85" s="30" t="s">
        <v>79</v>
      </c>
      <c r="D85" s="100">
        <f>((1*36.71+4*58.88)/18.4*0.2+(8*124.32+1*100.56)/24*0.24)*1.46</f>
        <v>20.308923739130432</v>
      </c>
      <c r="E85" s="98"/>
      <c r="F85" s="109">
        <v>284</v>
      </c>
      <c r="G85" s="28">
        <f t="shared" si="3"/>
        <v>0</v>
      </c>
      <c r="H85" s="28">
        <f t="shared" si="4"/>
        <v>5767.734341913043</v>
      </c>
      <c r="I85" s="28">
        <f t="shared" si="5"/>
        <v>5767.734341913043</v>
      </c>
    </row>
    <row r="86" spans="1:11" x14ac:dyDescent="0.3">
      <c r="A86" s="23" t="s">
        <v>378</v>
      </c>
      <c r="B86" s="45" t="s">
        <v>379</v>
      </c>
      <c r="C86" s="30" t="s">
        <v>74</v>
      </c>
      <c r="D86" s="100">
        <f>68.27</f>
        <v>68.27</v>
      </c>
      <c r="E86" s="98"/>
      <c r="F86" s="109">
        <v>829</v>
      </c>
      <c r="G86" s="28">
        <f t="shared" si="3"/>
        <v>0</v>
      </c>
      <c r="H86" s="28">
        <f t="shared" si="4"/>
        <v>56595.829999999994</v>
      </c>
      <c r="I86" s="28">
        <f t="shared" si="5"/>
        <v>56595.829999999994</v>
      </c>
    </row>
    <row r="87" spans="1:11" s="22" customFormat="1" x14ac:dyDescent="0.3">
      <c r="A87" s="39" t="s">
        <v>225</v>
      </c>
      <c r="B87" s="63" t="s">
        <v>380</v>
      </c>
      <c r="C87" s="42" t="s">
        <v>34</v>
      </c>
      <c r="D87" s="420">
        <f>(1.226+0.504+0.686)</f>
        <v>2.4159999999999999</v>
      </c>
      <c r="E87" s="94">
        <v>2800</v>
      </c>
      <c r="F87" s="42"/>
      <c r="G87" s="44">
        <f t="shared" si="3"/>
        <v>6764.8</v>
      </c>
      <c r="H87" s="44">
        <f>D87*F87</f>
        <v>0</v>
      </c>
      <c r="I87" s="44">
        <f>G87+H87</f>
        <v>6764.8</v>
      </c>
    </row>
    <row r="88" spans="1:11" x14ac:dyDescent="0.3">
      <c r="A88" s="23" t="s">
        <v>227</v>
      </c>
      <c r="B88" s="45" t="s">
        <v>162</v>
      </c>
      <c r="C88" s="30" t="s">
        <v>62</v>
      </c>
      <c r="D88" s="100">
        <f>(89.01+37.15+49.16)/1000*1.04</f>
        <v>0.18233280000000002</v>
      </c>
      <c r="E88" s="98"/>
      <c r="F88" s="109">
        <v>34400</v>
      </c>
      <c r="G88" s="28">
        <f t="shared" si="3"/>
        <v>0</v>
      </c>
      <c r="H88" s="28">
        <f t="shared" si="4"/>
        <v>6272.2483200000006</v>
      </c>
      <c r="I88" s="28">
        <f t="shared" si="5"/>
        <v>6272.2483200000006</v>
      </c>
    </row>
    <row r="89" spans="1:11" x14ac:dyDescent="0.3">
      <c r="A89" s="23" t="s">
        <v>228</v>
      </c>
      <c r="B89" s="45" t="s">
        <v>381</v>
      </c>
      <c r="C89" s="30" t="s">
        <v>62</v>
      </c>
      <c r="D89" s="100">
        <f>(30.06+11.52+16.38)/1000*1.04</f>
        <v>6.0278399999999989E-2</v>
      </c>
      <c r="E89" s="98"/>
      <c r="F89" s="109">
        <v>45000</v>
      </c>
      <c r="G89" s="28">
        <f t="shared" si="3"/>
        <v>0</v>
      </c>
      <c r="H89" s="28">
        <f t="shared" si="4"/>
        <v>2712.5279999999993</v>
      </c>
      <c r="I89" s="28">
        <f t="shared" si="5"/>
        <v>2712.5279999999993</v>
      </c>
    </row>
    <row r="90" spans="1:11" x14ac:dyDescent="0.3">
      <c r="A90" s="23" t="s">
        <v>229</v>
      </c>
      <c r="B90" s="45" t="s">
        <v>287</v>
      </c>
      <c r="C90" s="30" t="s">
        <v>34</v>
      </c>
      <c r="D90" s="100">
        <f>(1.226+0.504+0.686)*1.05</f>
        <v>2.5367999999999999</v>
      </c>
      <c r="E90" s="98"/>
      <c r="F90" s="109">
        <v>4870</v>
      </c>
      <c r="G90" s="28">
        <f t="shared" si="3"/>
        <v>0</v>
      </c>
      <c r="H90" s="28">
        <f t="shared" si="4"/>
        <v>12354.216</v>
      </c>
      <c r="I90" s="28">
        <f t="shared" si="5"/>
        <v>12354.216</v>
      </c>
    </row>
    <row r="91" spans="1:11" x14ac:dyDescent="0.3">
      <c r="A91" s="17" t="s">
        <v>249</v>
      </c>
      <c r="B91" s="18" t="s">
        <v>7</v>
      </c>
      <c r="C91" s="101"/>
      <c r="D91" s="113"/>
      <c r="E91" s="90"/>
      <c r="F91" s="114"/>
      <c r="G91" s="40"/>
      <c r="H91" s="40"/>
      <c r="I91" s="40"/>
    </row>
    <row r="92" spans="1:11" s="22" customFormat="1" x14ac:dyDescent="0.3">
      <c r="A92" s="430" t="s">
        <v>250</v>
      </c>
      <c r="B92" s="63" t="s">
        <v>382</v>
      </c>
      <c r="C92" s="42" t="s">
        <v>74</v>
      </c>
      <c r="D92" s="431">
        <f>241.06+236.72*12+256.57*10</f>
        <v>5647.4</v>
      </c>
      <c r="E92" s="94">
        <v>350</v>
      </c>
      <c r="F92" s="108"/>
      <c r="G92" s="44">
        <f t="shared" ref="G92:G148" si="6">D92*E92</f>
        <v>1976589.9999999998</v>
      </c>
      <c r="H92" s="44">
        <f t="shared" ref="H92:H148" si="7">D92*F92</f>
        <v>0</v>
      </c>
      <c r="I92" s="44">
        <f t="shared" ref="I92:I148" si="8">G92+H92</f>
        <v>1976589.9999999998</v>
      </c>
      <c r="J92" s="934"/>
    </row>
    <row r="93" spans="1:11" x14ac:dyDescent="0.3">
      <c r="A93" s="23" t="s">
        <v>252</v>
      </c>
      <c r="B93" s="45" t="s">
        <v>1196</v>
      </c>
      <c r="C93" s="55" t="s">
        <v>44</v>
      </c>
      <c r="D93" s="96">
        <f>D92*13</f>
        <v>73416.2</v>
      </c>
      <c r="E93" s="98"/>
      <c r="F93" s="109">
        <v>65</v>
      </c>
      <c r="G93" s="28">
        <f t="shared" si="6"/>
        <v>0</v>
      </c>
      <c r="H93" s="28">
        <f t="shared" si="7"/>
        <v>4772053</v>
      </c>
      <c r="I93" s="28">
        <f t="shared" si="8"/>
        <v>4772053</v>
      </c>
      <c r="J93" s="934"/>
      <c r="K93" s="22"/>
    </row>
    <row r="94" spans="1:11" x14ac:dyDescent="0.3">
      <c r="A94" s="23" t="s">
        <v>254</v>
      </c>
      <c r="B94" s="45" t="s">
        <v>383</v>
      </c>
      <c r="C94" s="55" t="s">
        <v>34</v>
      </c>
      <c r="D94" s="100">
        <f>D92*0.025</f>
        <v>141.185</v>
      </c>
      <c r="E94" s="98"/>
      <c r="F94" s="109">
        <v>3900</v>
      </c>
      <c r="G94" s="28">
        <f t="shared" si="6"/>
        <v>0</v>
      </c>
      <c r="H94" s="28">
        <f t="shared" si="7"/>
        <v>550621.5</v>
      </c>
      <c r="I94" s="28">
        <f t="shared" si="8"/>
        <v>550621.5</v>
      </c>
    </row>
    <row r="95" spans="1:11" x14ac:dyDescent="0.3">
      <c r="A95" s="23" t="s">
        <v>256</v>
      </c>
      <c r="B95" s="45" t="s">
        <v>384</v>
      </c>
      <c r="C95" s="55" t="s">
        <v>44</v>
      </c>
      <c r="D95" s="100">
        <f>D92/1.2</f>
        <v>4706.166666666667</v>
      </c>
      <c r="E95" s="98"/>
      <c r="F95" s="109">
        <v>5.74</v>
      </c>
      <c r="G95" s="28">
        <f t="shared" si="6"/>
        <v>0</v>
      </c>
      <c r="H95" s="28">
        <f t="shared" si="7"/>
        <v>27013.396666666671</v>
      </c>
      <c r="I95" s="28">
        <f t="shared" si="8"/>
        <v>27013.396666666671</v>
      </c>
    </row>
    <row r="96" spans="1:11" x14ac:dyDescent="0.3">
      <c r="A96" s="23" t="s">
        <v>258</v>
      </c>
      <c r="B96" s="45" t="s">
        <v>385</v>
      </c>
      <c r="C96" s="55" t="s">
        <v>62</v>
      </c>
      <c r="D96" s="100">
        <v>3.7</v>
      </c>
      <c r="E96" s="98"/>
      <c r="F96" s="109">
        <v>38000</v>
      </c>
      <c r="G96" s="28">
        <f t="shared" si="6"/>
        <v>0</v>
      </c>
      <c r="H96" s="28">
        <f t="shared" si="7"/>
        <v>140600</v>
      </c>
      <c r="I96" s="28">
        <f t="shared" si="8"/>
        <v>140600</v>
      </c>
    </row>
    <row r="97" spans="1:9" s="22" customFormat="1" x14ac:dyDescent="0.3">
      <c r="A97" s="430" t="s">
        <v>270</v>
      </c>
      <c r="B97" s="63" t="s">
        <v>386</v>
      </c>
      <c r="C97" s="42" t="s">
        <v>74</v>
      </c>
      <c r="D97" s="147">
        <f>27.48+198.72+50.86+50.86*12+50.86*10+39.05-1.31*23</f>
        <v>1404.8999999999999</v>
      </c>
      <c r="E97" s="94">
        <v>350</v>
      </c>
      <c r="F97" s="108"/>
      <c r="G97" s="44">
        <f t="shared" si="6"/>
        <v>491714.99999999994</v>
      </c>
      <c r="H97" s="44">
        <f t="shared" si="7"/>
        <v>0</v>
      </c>
      <c r="I97" s="44">
        <f t="shared" si="8"/>
        <v>491714.99999999994</v>
      </c>
    </row>
    <row r="98" spans="1:9" s="22" customFormat="1" x14ac:dyDescent="0.3">
      <c r="A98" s="23" t="s">
        <v>272</v>
      </c>
      <c r="B98" s="136" t="s">
        <v>1197</v>
      </c>
      <c r="C98" s="137" t="s">
        <v>44</v>
      </c>
      <c r="D98" s="137">
        <f>ROUND(D97*13,0)</f>
        <v>18264</v>
      </c>
      <c r="E98" s="432"/>
      <c r="F98" s="148">
        <v>35</v>
      </c>
      <c r="G98" s="44">
        <f t="shared" si="6"/>
        <v>0</v>
      </c>
      <c r="H98" s="28">
        <f t="shared" si="7"/>
        <v>639240</v>
      </c>
      <c r="I98" s="28">
        <f t="shared" si="8"/>
        <v>639240</v>
      </c>
    </row>
    <row r="99" spans="1:9" s="22" customFormat="1" x14ac:dyDescent="0.3">
      <c r="A99" s="23" t="s">
        <v>273</v>
      </c>
      <c r="B99" s="136" t="s">
        <v>387</v>
      </c>
      <c r="C99" s="137" t="s">
        <v>34</v>
      </c>
      <c r="D99" s="137">
        <f>D97*0.09*0.3</f>
        <v>37.932299999999998</v>
      </c>
      <c r="E99" s="432"/>
      <c r="F99" s="149">
        <f>3255+650</f>
        <v>3905</v>
      </c>
      <c r="G99" s="44">
        <f t="shared" si="6"/>
        <v>0</v>
      </c>
      <c r="H99" s="28">
        <f t="shared" si="7"/>
        <v>148125.63149999999</v>
      </c>
      <c r="I99" s="28">
        <f t="shared" si="8"/>
        <v>148125.63149999999</v>
      </c>
    </row>
    <row r="100" spans="1:9" x14ac:dyDescent="0.3">
      <c r="A100" s="430"/>
      <c r="B100" s="110" t="s">
        <v>1198</v>
      </c>
      <c r="C100" s="82" t="s">
        <v>318</v>
      </c>
      <c r="D100" s="134">
        <f>D101+D102</f>
        <v>13121</v>
      </c>
      <c r="E100" s="125"/>
      <c r="F100" s="126"/>
      <c r="G100" s="44">
        <f t="shared" si="6"/>
        <v>0</v>
      </c>
      <c r="H100" s="44">
        <f t="shared" si="7"/>
        <v>0</v>
      </c>
      <c r="I100" s="44">
        <f t="shared" si="8"/>
        <v>0</v>
      </c>
    </row>
    <row r="101" spans="1:9" x14ac:dyDescent="0.3">
      <c r="A101" s="23" t="s">
        <v>275</v>
      </c>
      <c r="B101" s="81" t="s">
        <v>320</v>
      </c>
      <c r="C101" s="82" t="s">
        <v>318</v>
      </c>
      <c r="D101" s="134">
        <f>ROUND((4*2*2.2+33*2*2.86+57*2*2.82+56*2*2.82*22+11*2*1.88),0)</f>
        <v>7518</v>
      </c>
      <c r="E101" s="145"/>
      <c r="F101" s="115">
        <v>6</v>
      </c>
      <c r="G101" s="72">
        <f t="shared" si="6"/>
        <v>0</v>
      </c>
      <c r="H101" s="72">
        <f t="shared" si="7"/>
        <v>45108</v>
      </c>
      <c r="I101" s="72">
        <f t="shared" si="8"/>
        <v>45108</v>
      </c>
    </row>
    <row r="102" spans="1:9" x14ac:dyDescent="0.3">
      <c r="A102" s="23" t="s">
        <v>276</v>
      </c>
      <c r="B102" s="81" t="s">
        <v>321</v>
      </c>
      <c r="C102" s="82" t="s">
        <v>318</v>
      </c>
      <c r="D102" s="134">
        <f>ROUND((13.48+70.48+115.55+114.005*12+121.045*10+23.52)*2,0)</f>
        <v>5603</v>
      </c>
      <c r="E102" s="145"/>
      <c r="F102" s="115">
        <v>23.77</v>
      </c>
      <c r="G102" s="72">
        <f t="shared" si="6"/>
        <v>0</v>
      </c>
      <c r="H102" s="72">
        <f t="shared" si="7"/>
        <v>133183.31</v>
      </c>
      <c r="I102" s="72">
        <f t="shared" si="8"/>
        <v>133183.31</v>
      </c>
    </row>
    <row r="103" spans="1:9" x14ac:dyDescent="0.3">
      <c r="A103" s="23" t="s">
        <v>2480</v>
      </c>
      <c r="B103" s="136" t="s">
        <v>322</v>
      </c>
      <c r="C103" s="137" t="s">
        <v>44</v>
      </c>
      <c r="D103" s="137">
        <f>20*25</f>
        <v>500</v>
      </c>
      <c r="E103" s="428"/>
      <c r="F103" s="429">
        <v>174</v>
      </c>
      <c r="G103" s="72">
        <f t="shared" si="6"/>
        <v>0</v>
      </c>
      <c r="H103" s="72">
        <f t="shared" si="7"/>
        <v>87000</v>
      </c>
      <c r="I103" s="72">
        <f t="shared" si="8"/>
        <v>87000</v>
      </c>
    </row>
    <row r="104" spans="1:9" x14ac:dyDescent="0.3">
      <c r="A104" s="23" t="s">
        <v>2481</v>
      </c>
      <c r="B104" s="45" t="s">
        <v>383</v>
      </c>
      <c r="C104" s="137" t="s">
        <v>34</v>
      </c>
      <c r="D104" s="137">
        <f>7518*0.03*0.02+5603*0.05*0.02</f>
        <v>10.113800000000001</v>
      </c>
      <c r="E104" s="428"/>
      <c r="F104" s="429">
        <v>1365</v>
      </c>
      <c r="G104" s="72">
        <f t="shared" si="6"/>
        <v>0</v>
      </c>
      <c r="H104" s="72">
        <f t="shared" si="7"/>
        <v>13805.337000000001</v>
      </c>
      <c r="I104" s="72">
        <f t="shared" si="8"/>
        <v>13805.337000000001</v>
      </c>
    </row>
    <row r="105" spans="1:9" s="22" customFormat="1" x14ac:dyDescent="0.3">
      <c r="A105" s="39" t="s">
        <v>388</v>
      </c>
      <c r="B105" s="41" t="s">
        <v>389</v>
      </c>
      <c r="C105" s="42" t="s">
        <v>74</v>
      </c>
      <c r="D105" s="420">
        <f>4.5188+10.01*23+4.9538</f>
        <v>239.70259999999999</v>
      </c>
      <c r="E105" s="94">
        <v>450</v>
      </c>
      <c r="F105" s="108"/>
      <c r="G105" s="44">
        <f t="shared" si="6"/>
        <v>107866.17</v>
      </c>
      <c r="H105" s="44">
        <f t="shared" si="7"/>
        <v>0</v>
      </c>
      <c r="I105" s="44">
        <f t="shared" si="8"/>
        <v>107866.17</v>
      </c>
    </row>
    <row r="106" spans="1:9" x14ac:dyDescent="0.3">
      <c r="A106" s="23" t="s">
        <v>390</v>
      </c>
      <c r="B106" s="45" t="s">
        <v>391</v>
      </c>
      <c r="C106" s="30" t="s">
        <v>44</v>
      </c>
      <c r="D106" s="100">
        <f>ROUND(153*D105,0)</f>
        <v>36674</v>
      </c>
      <c r="E106" s="98"/>
      <c r="F106" s="109">
        <v>10.3</v>
      </c>
      <c r="G106" s="28">
        <f t="shared" si="6"/>
        <v>0</v>
      </c>
      <c r="H106" s="28">
        <f t="shared" si="7"/>
        <v>377742.2</v>
      </c>
      <c r="I106" s="28">
        <f t="shared" si="8"/>
        <v>377742.2</v>
      </c>
    </row>
    <row r="107" spans="1:9" x14ac:dyDescent="0.3">
      <c r="A107" s="23" t="s">
        <v>392</v>
      </c>
      <c r="B107" s="45" t="s">
        <v>327</v>
      </c>
      <c r="C107" s="30" t="s">
        <v>34</v>
      </c>
      <c r="D107" s="100">
        <f>ROUND(0.241*D105,2)</f>
        <v>57.77</v>
      </c>
      <c r="E107" s="98"/>
      <c r="F107" s="109">
        <v>3900</v>
      </c>
      <c r="G107" s="28">
        <f t="shared" si="6"/>
        <v>0</v>
      </c>
      <c r="H107" s="28">
        <f t="shared" si="7"/>
        <v>225303</v>
      </c>
      <c r="I107" s="28">
        <f t="shared" si="8"/>
        <v>225303</v>
      </c>
    </row>
    <row r="108" spans="1:9" s="22" customFormat="1" x14ac:dyDescent="0.3">
      <c r="A108" s="39" t="s">
        <v>388</v>
      </c>
      <c r="B108" s="41" t="s">
        <v>393</v>
      </c>
      <c r="C108" s="42" t="s">
        <v>74</v>
      </c>
      <c r="D108" s="420">
        <f>4.68+2.9422</f>
        <v>7.6221999999999994</v>
      </c>
      <c r="E108" s="94">
        <v>450</v>
      </c>
      <c r="F108" s="108"/>
      <c r="G108" s="44">
        <f t="shared" si="6"/>
        <v>3429.99</v>
      </c>
      <c r="H108" s="44">
        <f t="shared" si="7"/>
        <v>0</v>
      </c>
      <c r="I108" s="44">
        <f t="shared" si="8"/>
        <v>3429.99</v>
      </c>
    </row>
    <row r="109" spans="1:9" x14ac:dyDescent="0.3">
      <c r="A109" s="23" t="s">
        <v>390</v>
      </c>
      <c r="B109" s="45" t="s">
        <v>364</v>
      </c>
      <c r="C109" s="30" t="s">
        <v>44</v>
      </c>
      <c r="D109" s="100">
        <f>ROUND(153*D108,0)</f>
        <v>1166</v>
      </c>
      <c r="E109" s="98"/>
      <c r="F109" s="109">
        <v>15.6</v>
      </c>
      <c r="G109" s="28">
        <f t="shared" si="6"/>
        <v>0</v>
      </c>
      <c r="H109" s="28">
        <f t="shared" si="7"/>
        <v>18189.599999999999</v>
      </c>
      <c r="I109" s="28">
        <f t="shared" si="8"/>
        <v>18189.599999999999</v>
      </c>
    </row>
    <row r="110" spans="1:9" x14ac:dyDescent="0.3">
      <c r="A110" s="23" t="s">
        <v>392</v>
      </c>
      <c r="B110" s="45" t="s">
        <v>327</v>
      </c>
      <c r="C110" s="30" t="s">
        <v>34</v>
      </c>
      <c r="D110" s="100">
        <f>ROUND(0.241*D108,2)</f>
        <v>1.84</v>
      </c>
      <c r="E110" s="98"/>
      <c r="F110" s="109">
        <v>3900</v>
      </c>
      <c r="G110" s="28">
        <f t="shared" si="6"/>
        <v>0</v>
      </c>
      <c r="H110" s="28">
        <f t="shared" si="7"/>
        <v>7176</v>
      </c>
      <c r="I110" s="28">
        <f t="shared" si="8"/>
        <v>7176</v>
      </c>
    </row>
    <row r="111" spans="1:9" s="22" customFormat="1" x14ac:dyDescent="0.3">
      <c r="A111" s="39" t="s">
        <v>394</v>
      </c>
      <c r="B111" s="143" t="s">
        <v>395</v>
      </c>
      <c r="C111" s="418" t="s">
        <v>44</v>
      </c>
      <c r="D111" s="131">
        <f>159+117+24+46+46+2</f>
        <v>394</v>
      </c>
      <c r="E111" s="132">
        <v>160</v>
      </c>
      <c r="F111" s="133"/>
      <c r="G111" s="44">
        <f t="shared" si="6"/>
        <v>63040</v>
      </c>
      <c r="H111" s="44">
        <f t="shared" si="7"/>
        <v>0</v>
      </c>
      <c r="I111" s="44">
        <f t="shared" si="8"/>
        <v>63040</v>
      </c>
    </row>
    <row r="112" spans="1:9" x14ac:dyDescent="0.3">
      <c r="A112" s="23" t="s">
        <v>396</v>
      </c>
      <c r="B112" s="150" t="s">
        <v>397</v>
      </c>
      <c r="C112" s="82" t="s">
        <v>62</v>
      </c>
      <c r="D112" s="129">
        <f>(1*0.96*117+1*0.96*46+1*0.96*2)*1.05/1000</f>
        <v>0.16632</v>
      </c>
      <c r="E112" s="130"/>
      <c r="F112" s="126">
        <v>48280.01</v>
      </c>
      <c r="G112" s="28">
        <f t="shared" si="6"/>
        <v>0</v>
      </c>
      <c r="H112" s="28">
        <f t="shared" si="7"/>
        <v>8029.9312632000001</v>
      </c>
      <c r="I112" s="28">
        <f t="shared" si="8"/>
        <v>8029.9312632000001</v>
      </c>
    </row>
    <row r="113" spans="1:9" x14ac:dyDescent="0.3">
      <c r="A113" s="23" t="s">
        <v>398</v>
      </c>
      <c r="B113" s="81" t="s">
        <v>290</v>
      </c>
      <c r="C113" s="82" t="s">
        <v>62</v>
      </c>
      <c r="D113" s="129">
        <f>(2*8.12*159+2*6.96*117+2*10.15*24+2*10.44*46+2*4.64*46+2*5.22*2)*1.05/1000</f>
        <v>6.4115519999999995</v>
      </c>
      <c r="E113" s="130"/>
      <c r="F113" s="126">
        <v>48280.01</v>
      </c>
      <c r="G113" s="28">
        <f t="shared" si="6"/>
        <v>0</v>
      </c>
      <c r="H113" s="28">
        <f t="shared" si="7"/>
        <v>309549.79467551998</v>
      </c>
      <c r="I113" s="28">
        <f t="shared" si="8"/>
        <v>309549.79467551998</v>
      </c>
    </row>
    <row r="114" spans="1:9" x14ac:dyDescent="0.3">
      <c r="A114" s="23" t="s">
        <v>399</v>
      </c>
      <c r="B114" s="81" t="s">
        <v>400</v>
      </c>
      <c r="C114" s="82" t="s">
        <v>62</v>
      </c>
      <c r="D114" s="129">
        <f>(3*0.29*159+3*0.29*117+3*0.29*24+4*0.29*46+2*0.29*46+2*0.29*2)*1.05/1000</f>
        <v>0.35931000000000007</v>
      </c>
      <c r="E114" s="130"/>
      <c r="F114" s="126">
        <v>54600</v>
      </c>
      <c r="G114" s="28">
        <f t="shared" si="6"/>
        <v>0</v>
      </c>
      <c r="H114" s="28">
        <f t="shared" si="7"/>
        <v>19618.326000000005</v>
      </c>
      <c r="I114" s="28">
        <f t="shared" si="8"/>
        <v>19618.326000000005</v>
      </c>
    </row>
    <row r="115" spans="1:9" x14ac:dyDescent="0.3">
      <c r="A115" s="23" t="s">
        <v>401</v>
      </c>
      <c r="B115" s="81" t="s">
        <v>314</v>
      </c>
      <c r="C115" s="82" t="s">
        <v>44</v>
      </c>
      <c r="D115" s="134">
        <f>2*117+2*46+2*2</f>
        <v>330</v>
      </c>
      <c r="E115" s="130"/>
      <c r="F115" s="126">
        <v>4.96</v>
      </c>
      <c r="G115" s="28">
        <f t="shared" si="6"/>
        <v>0</v>
      </c>
      <c r="H115" s="28">
        <f t="shared" si="7"/>
        <v>1636.8</v>
      </c>
      <c r="I115" s="28">
        <f t="shared" si="8"/>
        <v>1636.8</v>
      </c>
    </row>
    <row r="116" spans="1:9" x14ac:dyDescent="0.3">
      <c r="A116" s="23" t="s">
        <v>402</v>
      </c>
      <c r="B116" s="81" t="s">
        <v>315</v>
      </c>
      <c r="C116" s="82" t="s">
        <v>79</v>
      </c>
      <c r="D116" s="134">
        <f>(D112+D113+D114)*2*2.42</f>
        <v>33.575960879999997</v>
      </c>
      <c r="E116" s="130"/>
      <c r="F116" s="109">
        <v>65</v>
      </c>
      <c r="G116" s="28">
        <f t="shared" si="6"/>
        <v>0</v>
      </c>
      <c r="H116" s="28">
        <f t="shared" si="7"/>
        <v>2182.4374571999997</v>
      </c>
      <c r="I116" s="28">
        <f t="shared" si="8"/>
        <v>2182.4374571999997</v>
      </c>
    </row>
    <row r="117" spans="1:9" x14ac:dyDescent="0.3">
      <c r="A117" s="23" t="s">
        <v>403</v>
      </c>
      <c r="B117" s="81" t="s">
        <v>316</v>
      </c>
      <c r="C117" s="82" t="s">
        <v>79</v>
      </c>
      <c r="D117" s="134">
        <f>(D112+D113+D114)*2*2.13</f>
        <v>29.552395319999995</v>
      </c>
      <c r="E117" s="130"/>
      <c r="F117" s="109">
        <v>88.45</v>
      </c>
      <c r="G117" s="28">
        <f t="shared" si="6"/>
        <v>0</v>
      </c>
      <c r="H117" s="28">
        <f t="shared" si="7"/>
        <v>2613.9093660539997</v>
      </c>
      <c r="I117" s="28">
        <f t="shared" si="8"/>
        <v>2613.9093660539997</v>
      </c>
    </row>
    <row r="118" spans="1:9" s="22" customFormat="1" x14ac:dyDescent="0.3">
      <c r="A118" s="39" t="s">
        <v>404</v>
      </c>
      <c r="B118" s="143" t="s">
        <v>405</v>
      </c>
      <c r="C118" s="123" t="s">
        <v>44</v>
      </c>
      <c r="D118" s="124">
        <f>310+92+71+46+24+207+46+162+138</f>
        <v>1096</v>
      </c>
      <c r="E118" s="125">
        <v>30</v>
      </c>
      <c r="F118" s="151"/>
      <c r="G118" s="44">
        <f t="shared" si="6"/>
        <v>32880</v>
      </c>
      <c r="H118" s="44">
        <f t="shared" si="7"/>
        <v>0</v>
      </c>
      <c r="I118" s="44">
        <f t="shared" si="8"/>
        <v>32880</v>
      </c>
    </row>
    <row r="119" spans="1:9" x14ac:dyDescent="0.3">
      <c r="A119" s="23" t="s">
        <v>406</v>
      </c>
      <c r="B119" s="127" t="s">
        <v>407</v>
      </c>
      <c r="C119" s="128" t="s">
        <v>34</v>
      </c>
      <c r="D119" s="129">
        <f>(0.08*0.08*1.1*310+0.08*0.08*1.2*92+0.08*0.08*1*71+0.08*0.08*1.35*46+0.08*0.08*1.3*24+0.08*0.08*6.62*207+0.08*0.08*6.52*46+0.08*0.08*6.62*162+0.08*0.08*0.9*138)*1.06</f>
        <v>23.625958400000002</v>
      </c>
      <c r="E119" s="130"/>
      <c r="F119" s="126">
        <v>10400</v>
      </c>
      <c r="G119" s="28">
        <f t="shared" si="6"/>
        <v>0</v>
      </c>
      <c r="H119" s="28">
        <f t="shared" si="7"/>
        <v>245709.96736000001</v>
      </c>
      <c r="I119" s="28">
        <f t="shared" si="8"/>
        <v>245709.96736000001</v>
      </c>
    </row>
    <row r="120" spans="1:9" x14ac:dyDescent="0.3">
      <c r="A120" s="23" t="s">
        <v>408</v>
      </c>
      <c r="B120" s="127" t="s">
        <v>397</v>
      </c>
      <c r="C120" s="128" t="s">
        <v>62</v>
      </c>
      <c r="D120" s="129">
        <f>(46+162+138)*0.38/1000</f>
        <v>0.13147999999999999</v>
      </c>
      <c r="E120" s="130"/>
      <c r="F120" s="126">
        <v>48280.01</v>
      </c>
      <c r="G120" s="28">
        <f t="shared" si="6"/>
        <v>0</v>
      </c>
      <c r="H120" s="28">
        <f t="shared" si="7"/>
        <v>6347.8557148</v>
      </c>
      <c r="I120" s="28">
        <f t="shared" si="8"/>
        <v>6347.8557148</v>
      </c>
    </row>
    <row r="121" spans="1:9" x14ac:dyDescent="0.3">
      <c r="A121" s="23" t="s">
        <v>409</v>
      </c>
      <c r="B121" s="81" t="s">
        <v>410</v>
      </c>
      <c r="C121" s="82" t="s">
        <v>44</v>
      </c>
      <c r="D121" s="134">
        <f>(46+162+138)*2</f>
        <v>692</v>
      </c>
      <c r="E121" s="130"/>
      <c r="F121" s="126">
        <v>4.96</v>
      </c>
      <c r="G121" s="28">
        <f t="shared" si="6"/>
        <v>0</v>
      </c>
      <c r="H121" s="28">
        <f t="shared" si="7"/>
        <v>3432.32</v>
      </c>
      <c r="I121" s="28">
        <f t="shared" si="8"/>
        <v>3432.32</v>
      </c>
    </row>
    <row r="122" spans="1:9" x14ac:dyDescent="0.3">
      <c r="A122" s="23" t="s">
        <v>411</v>
      </c>
      <c r="B122" s="127" t="s">
        <v>412</v>
      </c>
      <c r="C122" s="128" t="s">
        <v>44</v>
      </c>
      <c r="D122" s="129">
        <v>19</v>
      </c>
      <c r="E122" s="130"/>
      <c r="F122" s="126">
        <v>477</v>
      </c>
      <c r="G122" s="28">
        <f t="shared" si="6"/>
        <v>0</v>
      </c>
      <c r="H122" s="28">
        <f t="shared" si="7"/>
        <v>9063</v>
      </c>
      <c r="I122" s="28">
        <f t="shared" si="8"/>
        <v>9063</v>
      </c>
    </row>
    <row r="123" spans="1:9" x14ac:dyDescent="0.3">
      <c r="A123" s="23" t="s">
        <v>413</v>
      </c>
      <c r="B123" s="127" t="s">
        <v>414</v>
      </c>
      <c r="C123" s="128" t="s">
        <v>44</v>
      </c>
      <c r="D123" s="129">
        <v>19</v>
      </c>
      <c r="E123" s="130"/>
      <c r="F123" s="126">
        <v>47</v>
      </c>
      <c r="G123" s="28">
        <f t="shared" si="6"/>
        <v>0</v>
      </c>
      <c r="H123" s="28">
        <f t="shared" si="7"/>
        <v>893</v>
      </c>
      <c r="I123" s="28">
        <f t="shared" si="8"/>
        <v>893</v>
      </c>
    </row>
    <row r="124" spans="1:9" s="22" customFormat="1" x14ac:dyDescent="0.3">
      <c r="A124" s="430" t="s">
        <v>415</v>
      </c>
      <c r="B124" s="152" t="s">
        <v>1199</v>
      </c>
      <c r="C124" s="123" t="s">
        <v>74</v>
      </c>
      <c r="D124" s="144">
        <f>5450.33</f>
        <v>5450.33</v>
      </c>
      <c r="E124" s="125">
        <v>350</v>
      </c>
      <c r="F124" s="151"/>
      <c r="G124" s="44">
        <f t="shared" si="6"/>
        <v>1907615.5</v>
      </c>
      <c r="H124" s="44">
        <f t="shared" si="7"/>
        <v>0</v>
      </c>
      <c r="I124" s="44">
        <f t="shared" si="8"/>
        <v>1907615.5</v>
      </c>
    </row>
    <row r="125" spans="1:9" x14ac:dyDescent="0.3">
      <c r="A125" s="23" t="s">
        <v>416</v>
      </c>
      <c r="B125" s="45" t="s">
        <v>1200</v>
      </c>
      <c r="C125" s="55" t="s">
        <v>44</v>
      </c>
      <c r="D125" s="96">
        <f>D124*13</f>
        <v>70854.289999999994</v>
      </c>
      <c r="E125" s="98"/>
      <c r="F125" s="109">
        <v>37</v>
      </c>
      <c r="G125" s="28">
        <f t="shared" si="6"/>
        <v>0</v>
      </c>
      <c r="H125" s="28">
        <f t="shared" si="7"/>
        <v>2621608.73</v>
      </c>
      <c r="I125" s="28">
        <f t="shared" si="8"/>
        <v>2621608.73</v>
      </c>
    </row>
    <row r="126" spans="1:9" x14ac:dyDescent="0.3">
      <c r="A126" s="23" t="s">
        <v>417</v>
      </c>
      <c r="B126" s="45" t="s">
        <v>383</v>
      </c>
      <c r="C126" s="55" t="s">
        <v>34</v>
      </c>
      <c r="D126" s="100">
        <f>D124*0.025</f>
        <v>136.25825</v>
      </c>
      <c r="E126" s="98"/>
      <c r="F126" s="109">
        <v>3900</v>
      </c>
      <c r="G126" s="28">
        <f t="shared" si="6"/>
        <v>0</v>
      </c>
      <c r="H126" s="28">
        <f t="shared" si="7"/>
        <v>531407.17500000005</v>
      </c>
      <c r="I126" s="28">
        <f t="shared" si="8"/>
        <v>531407.17500000005</v>
      </c>
    </row>
    <row r="127" spans="1:9" x14ac:dyDescent="0.3">
      <c r="A127" s="23" t="s">
        <v>418</v>
      </c>
      <c r="B127" s="45" t="s">
        <v>384</v>
      </c>
      <c r="C127" s="55" t="s">
        <v>44</v>
      </c>
      <c r="D127" s="100">
        <f>D124/1.2</f>
        <v>4541.9416666666666</v>
      </c>
      <c r="E127" s="98"/>
      <c r="F127" s="153">
        <v>5.74</v>
      </c>
      <c r="G127" s="433">
        <f t="shared" si="6"/>
        <v>0</v>
      </c>
      <c r="H127" s="433">
        <f t="shared" si="7"/>
        <v>26070.745166666668</v>
      </c>
      <c r="I127" s="433">
        <f t="shared" si="8"/>
        <v>26070.745166666668</v>
      </c>
    </row>
    <row r="128" spans="1:9" customFormat="1" x14ac:dyDescent="0.3">
      <c r="A128" s="905" t="s">
        <v>1095</v>
      </c>
      <c r="B128" s="610" t="s">
        <v>1790</v>
      </c>
      <c r="C128" s="611" t="s">
        <v>74</v>
      </c>
      <c r="D128" s="304">
        <v>2476.9039999999995</v>
      </c>
      <c r="E128" s="612">
        <v>350</v>
      </c>
      <c r="F128" s="613"/>
      <c r="G128" s="614">
        <f t="shared" si="6"/>
        <v>866916.39999999979</v>
      </c>
      <c r="H128" s="614">
        <f t="shared" si="7"/>
        <v>0</v>
      </c>
      <c r="I128" s="614">
        <f t="shared" si="8"/>
        <v>866916.39999999979</v>
      </c>
    </row>
    <row r="129" spans="1:9" customFormat="1" x14ac:dyDescent="0.3">
      <c r="A129" s="307" t="s">
        <v>2482</v>
      </c>
      <c r="B129" s="316" t="s">
        <v>1791</v>
      </c>
      <c r="C129" s="604" t="s">
        <v>44</v>
      </c>
      <c r="D129" s="605">
        <f>D128*13</f>
        <v>32199.751999999993</v>
      </c>
      <c r="E129" s="615"/>
      <c r="F129" s="609">
        <v>37</v>
      </c>
      <c r="G129" s="614">
        <f t="shared" si="6"/>
        <v>0</v>
      </c>
      <c r="H129" s="614">
        <f t="shared" si="7"/>
        <v>1191390.8239999998</v>
      </c>
      <c r="I129" s="614">
        <f t="shared" si="8"/>
        <v>1191390.8239999998</v>
      </c>
    </row>
    <row r="130" spans="1:9" customFormat="1" x14ac:dyDescent="0.3">
      <c r="A130" s="307" t="s">
        <v>2483</v>
      </c>
      <c r="B130" s="316" t="s">
        <v>383</v>
      </c>
      <c r="C130" s="604" t="s">
        <v>34</v>
      </c>
      <c r="D130" s="310">
        <f>D128*0.025</f>
        <v>61.922599999999989</v>
      </c>
      <c r="E130" s="615"/>
      <c r="F130" s="609">
        <v>3900</v>
      </c>
      <c r="G130" s="614">
        <f t="shared" si="6"/>
        <v>0</v>
      </c>
      <c r="H130" s="614">
        <f t="shared" si="7"/>
        <v>241498.13999999996</v>
      </c>
      <c r="I130" s="614">
        <f t="shared" si="8"/>
        <v>241498.13999999996</v>
      </c>
    </row>
    <row r="131" spans="1:9" customFormat="1" x14ac:dyDescent="0.3">
      <c r="A131" s="307" t="s">
        <v>2484</v>
      </c>
      <c r="B131" s="316" t="s">
        <v>384</v>
      </c>
      <c r="C131" s="604" t="s">
        <v>44</v>
      </c>
      <c r="D131" s="310">
        <f>D128/1.2</f>
        <v>2064.0866666666666</v>
      </c>
      <c r="E131" s="615"/>
      <c r="F131" s="616">
        <v>5.74</v>
      </c>
      <c r="G131" s="614">
        <f t="shared" si="6"/>
        <v>0</v>
      </c>
      <c r="H131" s="614">
        <f t="shared" si="7"/>
        <v>11847.857466666666</v>
      </c>
      <c r="I131" s="614">
        <f t="shared" si="8"/>
        <v>11847.857466666666</v>
      </c>
    </row>
    <row r="132" spans="1:9" x14ac:dyDescent="0.3">
      <c r="A132" s="430" t="s">
        <v>1096</v>
      </c>
      <c r="B132" s="63" t="s">
        <v>1201</v>
      </c>
      <c r="C132" s="48" t="s">
        <v>74</v>
      </c>
      <c r="D132" s="420">
        <f>((5.27+1.88+1.835)*2.86-0.55*1.3*2-0.4*0.45-0.3*0.6)+((5.675+2.8+0.34)*2.82*23-0.95*1.01*2*23-0.6*0.5*23-0.55*1.3*23)</f>
        <v>528.16599999999994</v>
      </c>
      <c r="E132" s="94">
        <v>350</v>
      </c>
      <c r="F132" s="435"/>
      <c r="G132" s="433">
        <f t="shared" si="6"/>
        <v>184858.09999999998</v>
      </c>
      <c r="H132" s="433">
        <f t="shared" si="7"/>
        <v>0</v>
      </c>
      <c r="I132" s="433">
        <f t="shared" si="8"/>
        <v>184858.09999999998</v>
      </c>
    </row>
    <row r="133" spans="1:9" x14ac:dyDescent="0.3">
      <c r="A133" s="23" t="s">
        <v>2485</v>
      </c>
      <c r="B133" s="136" t="s">
        <v>1200</v>
      </c>
      <c r="C133" s="137" t="s">
        <v>44</v>
      </c>
      <c r="D133" s="137">
        <f>ROUND(D132*13,0)</f>
        <v>6866</v>
      </c>
      <c r="E133" s="98"/>
      <c r="F133" s="153">
        <v>37</v>
      </c>
      <c r="G133" s="433">
        <f t="shared" si="6"/>
        <v>0</v>
      </c>
      <c r="H133" s="433">
        <f t="shared" si="7"/>
        <v>254042</v>
      </c>
      <c r="I133" s="433">
        <f t="shared" si="8"/>
        <v>254042</v>
      </c>
    </row>
    <row r="134" spans="1:9" x14ac:dyDescent="0.3">
      <c r="A134" s="23" t="s">
        <v>2486</v>
      </c>
      <c r="B134" s="136" t="s">
        <v>387</v>
      </c>
      <c r="C134" s="137" t="s">
        <v>34</v>
      </c>
      <c r="D134" s="137">
        <f>D132*0.09*0.3</f>
        <v>14.260481999999998</v>
      </c>
      <c r="E134" s="98"/>
      <c r="F134" s="153">
        <v>3905</v>
      </c>
      <c r="G134" s="433">
        <f t="shared" si="6"/>
        <v>0</v>
      </c>
      <c r="H134" s="433">
        <f t="shared" si="7"/>
        <v>55687.182209999992</v>
      </c>
      <c r="I134" s="433">
        <f t="shared" si="8"/>
        <v>55687.182209999992</v>
      </c>
    </row>
    <row r="135" spans="1:9" s="22" customFormat="1" x14ac:dyDescent="0.3">
      <c r="A135" s="430" t="s">
        <v>1098</v>
      </c>
      <c r="B135" s="436" t="s">
        <v>1202</v>
      </c>
      <c r="C135" s="437" t="s">
        <v>74</v>
      </c>
      <c r="D135" s="437">
        <f>(0.75*4+0.29*4)*2.86</f>
        <v>11.897600000000001</v>
      </c>
      <c r="E135" s="94">
        <v>400</v>
      </c>
      <c r="F135" s="435"/>
      <c r="G135" s="433">
        <f t="shared" si="6"/>
        <v>4759.04</v>
      </c>
      <c r="H135" s="433">
        <f t="shared" si="7"/>
        <v>0</v>
      </c>
      <c r="I135" s="433">
        <f t="shared" si="8"/>
        <v>4759.04</v>
      </c>
    </row>
    <row r="136" spans="1:9" x14ac:dyDescent="0.3">
      <c r="A136" s="23" t="s">
        <v>2487</v>
      </c>
      <c r="B136" s="177" t="s">
        <v>1203</v>
      </c>
      <c r="C136" s="25" t="s">
        <v>74</v>
      </c>
      <c r="D136" s="30">
        <f>D135*1.04</f>
        <v>12.373504000000001</v>
      </c>
      <c r="E136" s="50"/>
      <c r="F136" s="940">
        <v>110</v>
      </c>
      <c r="G136" s="438"/>
      <c r="H136" s="438">
        <f>F136*D136</f>
        <v>1361.0854400000001</v>
      </c>
      <c r="I136" s="438">
        <f t="shared" si="8"/>
        <v>1361.0854400000001</v>
      </c>
    </row>
    <row r="137" spans="1:9" ht="15.65" x14ac:dyDescent="0.3">
      <c r="A137" s="23" t="s">
        <v>2489</v>
      </c>
      <c r="B137" s="439" t="s">
        <v>1204</v>
      </c>
      <c r="C137" s="440" t="s">
        <v>43</v>
      </c>
      <c r="D137" s="441">
        <f>D135*0.7</f>
        <v>8.3283199999999997</v>
      </c>
      <c r="E137" s="442"/>
      <c r="F137" s="50">
        <v>18</v>
      </c>
      <c r="G137" s="438"/>
      <c r="H137" s="438">
        <f>F137*D137</f>
        <v>149.90976000000001</v>
      </c>
      <c r="I137" s="438">
        <f t="shared" si="8"/>
        <v>149.90976000000001</v>
      </c>
    </row>
    <row r="138" spans="1:9" x14ac:dyDescent="0.3">
      <c r="A138" s="23" t="s">
        <v>2488</v>
      </c>
      <c r="B138" s="443" t="s">
        <v>1205</v>
      </c>
      <c r="C138" s="440" t="s">
        <v>43</v>
      </c>
      <c r="D138" s="441">
        <f>D135*2</f>
        <v>23.795200000000001</v>
      </c>
      <c r="E138" s="442"/>
      <c r="F138" s="50">
        <v>30</v>
      </c>
      <c r="G138" s="438"/>
      <c r="H138" s="438">
        <f>F138*D138</f>
        <v>713.85599999999999</v>
      </c>
      <c r="I138" s="438">
        <f t="shared" si="8"/>
        <v>713.85599999999999</v>
      </c>
    </row>
    <row r="139" spans="1:9" ht="15.65" x14ac:dyDescent="0.3">
      <c r="A139" s="23" t="s">
        <v>2490</v>
      </c>
      <c r="B139" s="439" t="s">
        <v>1206</v>
      </c>
      <c r="C139" s="440" t="s">
        <v>44</v>
      </c>
      <c r="D139" s="441">
        <f>D135*44</f>
        <v>523.49440000000004</v>
      </c>
      <c r="E139" s="442"/>
      <c r="F139" s="50">
        <v>7</v>
      </c>
      <c r="G139" s="438"/>
      <c r="H139" s="438">
        <f>F139*D139</f>
        <v>3664.4608000000003</v>
      </c>
      <c r="I139" s="438">
        <f t="shared" si="8"/>
        <v>3664.4608000000003</v>
      </c>
    </row>
    <row r="140" spans="1:9" s="22" customFormat="1" x14ac:dyDescent="0.3">
      <c r="A140" s="417" t="s">
        <v>2491</v>
      </c>
      <c r="B140" s="110" t="s">
        <v>1207</v>
      </c>
      <c r="C140" s="418" t="s">
        <v>44</v>
      </c>
      <c r="D140" s="420">
        <v>2</v>
      </c>
      <c r="E140" s="94">
        <v>25000</v>
      </c>
      <c r="F140" s="94"/>
      <c r="G140" s="44">
        <f t="shared" si="6"/>
        <v>50000</v>
      </c>
      <c r="H140" s="44">
        <f t="shared" si="7"/>
        <v>0</v>
      </c>
      <c r="I140" s="44">
        <f t="shared" si="8"/>
        <v>50000</v>
      </c>
    </row>
    <row r="141" spans="1:9" x14ac:dyDescent="0.3">
      <c r="A141" s="112" t="s">
        <v>2492</v>
      </c>
      <c r="B141" s="81" t="s">
        <v>289</v>
      </c>
      <c r="C141" s="82" t="s">
        <v>62</v>
      </c>
      <c r="D141" s="100">
        <f>SUM(D142:D143)</f>
        <v>0.53171040000000003</v>
      </c>
      <c r="E141" s="98"/>
      <c r="F141" s="98"/>
      <c r="G141" s="28">
        <f t="shared" si="6"/>
        <v>0</v>
      </c>
      <c r="H141" s="28">
        <f t="shared" si="7"/>
        <v>0</v>
      </c>
      <c r="I141" s="28">
        <f t="shared" si="8"/>
        <v>0</v>
      </c>
    </row>
    <row r="142" spans="1:9" x14ac:dyDescent="0.3">
      <c r="A142" s="112"/>
      <c r="B142" s="81" t="s">
        <v>714</v>
      </c>
      <c r="C142" s="82" t="s">
        <v>62</v>
      </c>
      <c r="D142" s="100">
        <f>(1*153.13+4*12.01)*2/1000*1.04</f>
        <v>0.41843359999999996</v>
      </c>
      <c r="E142" s="98"/>
      <c r="F142" s="98">
        <v>54600</v>
      </c>
      <c r="G142" s="28">
        <f t="shared" si="6"/>
        <v>0</v>
      </c>
      <c r="H142" s="28">
        <f t="shared" si="7"/>
        <v>22846.474559999999</v>
      </c>
      <c r="I142" s="28">
        <f t="shared" si="8"/>
        <v>22846.474559999999</v>
      </c>
    </row>
    <row r="143" spans="1:9" x14ac:dyDescent="0.3">
      <c r="A143" s="112"/>
      <c r="B143" s="81" t="s">
        <v>352</v>
      </c>
      <c r="C143" s="82" t="s">
        <v>62</v>
      </c>
      <c r="D143" s="100">
        <f>(2*8.97+4*9.13)*2/1000*1.04</f>
        <v>0.11327680000000002</v>
      </c>
      <c r="E143" s="98"/>
      <c r="F143" s="98">
        <v>46800</v>
      </c>
      <c r="G143" s="28">
        <f t="shared" si="6"/>
        <v>0</v>
      </c>
      <c r="H143" s="28">
        <f t="shared" si="7"/>
        <v>5301.3542400000015</v>
      </c>
      <c r="I143" s="28">
        <f t="shared" si="8"/>
        <v>5301.3542400000015</v>
      </c>
    </row>
    <row r="144" spans="1:9" x14ac:dyDescent="0.3">
      <c r="A144" s="112"/>
      <c r="B144" s="81" t="s">
        <v>689</v>
      </c>
      <c r="C144" s="30" t="s">
        <v>79</v>
      </c>
      <c r="D144" s="100">
        <f>3.89*2*D141</f>
        <v>4.1367069120000002</v>
      </c>
      <c r="E144" s="98"/>
      <c r="F144" s="98">
        <v>65</v>
      </c>
      <c r="G144" s="28">
        <f t="shared" si="6"/>
        <v>0</v>
      </c>
      <c r="H144" s="28">
        <f t="shared" si="7"/>
        <v>268.88594928000003</v>
      </c>
      <c r="I144" s="28">
        <f t="shared" si="8"/>
        <v>268.88594928000003</v>
      </c>
    </row>
    <row r="145" spans="1:9" x14ac:dyDescent="0.3">
      <c r="A145" s="112"/>
      <c r="B145" s="81" t="s">
        <v>675</v>
      </c>
      <c r="C145" s="30" t="s">
        <v>79</v>
      </c>
      <c r="D145" s="100">
        <f>3.37*2*D141</f>
        <v>3.5837280960000002</v>
      </c>
      <c r="E145" s="98"/>
      <c r="F145" s="98">
        <v>88.45</v>
      </c>
      <c r="G145" s="28">
        <f t="shared" si="6"/>
        <v>0</v>
      </c>
      <c r="H145" s="28">
        <f t="shared" si="7"/>
        <v>316.98075009120004</v>
      </c>
      <c r="I145" s="28">
        <f t="shared" si="8"/>
        <v>316.98075009120004</v>
      </c>
    </row>
    <row r="146" spans="1:9" x14ac:dyDescent="0.3">
      <c r="A146" s="112" t="s">
        <v>2493</v>
      </c>
      <c r="B146" s="135" t="s">
        <v>715</v>
      </c>
      <c r="C146" s="82" t="s">
        <v>34</v>
      </c>
      <c r="D146" s="100">
        <f>(0.25*0.25*0.504)*4*2</f>
        <v>0.252</v>
      </c>
      <c r="E146" s="94">
        <v>450</v>
      </c>
      <c r="F146" s="98"/>
      <c r="G146" s="28">
        <f t="shared" si="6"/>
        <v>113.4</v>
      </c>
      <c r="H146" s="28">
        <f t="shared" si="7"/>
        <v>0</v>
      </c>
      <c r="I146" s="28">
        <f t="shared" si="8"/>
        <v>113.4</v>
      </c>
    </row>
    <row r="147" spans="1:9" x14ac:dyDescent="0.3">
      <c r="A147" s="417"/>
      <c r="B147" s="81" t="s">
        <v>716</v>
      </c>
      <c r="C147" s="82" t="s">
        <v>44</v>
      </c>
      <c r="D147" s="100">
        <f>ROUND(394*D146,0.1)</f>
        <v>99</v>
      </c>
      <c r="E147" s="98"/>
      <c r="F147" s="98">
        <v>15.6</v>
      </c>
      <c r="G147" s="28">
        <f t="shared" si="6"/>
        <v>0</v>
      </c>
      <c r="H147" s="28">
        <f t="shared" si="7"/>
        <v>1544.3999999999999</v>
      </c>
      <c r="I147" s="28">
        <f t="shared" si="8"/>
        <v>1544.3999999999999</v>
      </c>
    </row>
    <row r="148" spans="1:9" x14ac:dyDescent="0.3">
      <c r="A148" s="417"/>
      <c r="B148" s="81" t="s">
        <v>327</v>
      </c>
      <c r="C148" s="82" t="s">
        <v>34</v>
      </c>
      <c r="D148" s="100">
        <f>0.283*D146</f>
        <v>7.1315999999999991E-2</v>
      </c>
      <c r="E148" s="98"/>
      <c r="F148" s="170">
        <v>3900</v>
      </c>
      <c r="G148" s="28">
        <f t="shared" si="6"/>
        <v>0</v>
      </c>
      <c r="H148" s="28">
        <f t="shared" si="7"/>
        <v>278.13239999999996</v>
      </c>
      <c r="I148" s="28">
        <f t="shared" si="8"/>
        <v>278.13239999999996</v>
      </c>
    </row>
    <row r="149" spans="1:9" s="22" customFormat="1" x14ac:dyDescent="0.3">
      <c r="A149" s="39" t="s">
        <v>2494</v>
      </c>
      <c r="B149" s="41" t="s">
        <v>280</v>
      </c>
      <c r="C149" s="42" t="s">
        <v>281</v>
      </c>
      <c r="D149" s="419">
        <f>38.4</f>
        <v>38.4</v>
      </c>
      <c r="E149" s="94">
        <v>2500</v>
      </c>
      <c r="F149" s="108"/>
      <c r="G149" s="44">
        <f t="shared" ref="G149:G162" si="9">D149*E149</f>
        <v>96000</v>
      </c>
      <c r="H149" s="44">
        <f t="shared" ref="H149:H162" si="10">D149*F149</f>
        <v>0</v>
      </c>
      <c r="I149" s="44">
        <f t="shared" ref="I149:I162" si="11">G149+H149</f>
        <v>96000</v>
      </c>
    </row>
    <row r="150" spans="1:9" x14ac:dyDescent="0.3">
      <c r="A150" s="23" t="s">
        <v>2495</v>
      </c>
      <c r="B150" s="45" t="s">
        <v>283</v>
      </c>
      <c r="C150" s="30" t="s">
        <v>43</v>
      </c>
      <c r="D150" s="100">
        <f>D149</f>
        <v>38.4</v>
      </c>
      <c r="E150" s="98"/>
      <c r="F150" s="109">
        <v>2300</v>
      </c>
      <c r="G150" s="28">
        <f t="shared" si="9"/>
        <v>0</v>
      </c>
      <c r="H150" s="28">
        <f t="shared" si="10"/>
        <v>88320</v>
      </c>
      <c r="I150" s="28">
        <f t="shared" si="11"/>
        <v>88320</v>
      </c>
    </row>
    <row r="151" spans="1:9" x14ac:dyDescent="0.3">
      <c r="A151" s="23" t="s">
        <v>2496</v>
      </c>
      <c r="B151" s="45" t="s">
        <v>284</v>
      </c>
      <c r="C151" s="30" t="s">
        <v>44</v>
      </c>
      <c r="D151" s="100">
        <v>4</v>
      </c>
      <c r="E151" s="98"/>
      <c r="F151" s="109">
        <v>15000</v>
      </c>
      <c r="G151" s="28">
        <f t="shared" si="9"/>
        <v>0</v>
      </c>
      <c r="H151" s="28">
        <f t="shared" si="10"/>
        <v>60000</v>
      </c>
      <c r="I151" s="28">
        <f t="shared" si="11"/>
        <v>60000</v>
      </c>
    </row>
    <row r="152" spans="1:9" x14ac:dyDescent="0.3">
      <c r="A152" s="23" t="s">
        <v>2497</v>
      </c>
      <c r="B152" s="45" t="s">
        <v>285</v>
      </c>
      <c r="C152" s="30" t="s">
        <v>44</v>
      </c>
      <c r="D152" s="100">
        <v>31</v>
      </c>
      <c r="E152" s="98"/>
      <c r="F152" s="109">
        <v>700</v>
      </c>
      <c r="G152" s="28">
        <f t="shared" si="9"/>
        <v>0</v>
      </c>
      <c r="H152" s="28">
        <f t="shared" si="10"/>
        <v>21700</v>
      </c>
      <c r="I152" s="28">
        <f t="shared" si="11"/>
        <v>21700</v>
      </c>
    </row>
    <row r="153" spans="1:9" s="22" customFormat="1" x14ac:dyDescent="0.3">
      <c r="A153" s="39" t="s">
        <v>2498</v>
      </c>
      <c r="B153" s="63" t="s">
        <v>286</v>
      </c>
      <c r="C153" s="42" t="s">
        <v>34</v>
      </c>
      <c r="D153" s="420">
        <f>(0.9*1.1+0.9*1.1+1.2*1.6)*0.2</f>
        <v>0.78000000000000014</v>
      </c>
      <c r="E153" s="94">
        <v>1560</v>
      </c>
      <c r="F153" s="108"/>
      <c r="G153" s="44">
        <f t="shared" si="9"/>
        <v>1216.8000000000002</v>
      </c>
      <c r="H153" s="44">
        <f t="shared" si="10"/>
        <v>0</v>
      </c>
      <c r="I153" s="44">
        <f t="shared" si="11"/>
        <v>1216.8000000000002</v>
      </c>
    </row>
    <row r="154" spans="1:9" x14ac:dyDescent="0.3">
      <c r="A154" s="23" t="s">
        <v>2499</v>
      </c>
      <c r="B154" s="29" t="s">
        <v>287</v>
      </c>
      <c r="C154" s="30" t="s">
        <v>34</v>
      </c>
      <c r="D154" s="100">
        <f>D153*1.05</f>
        <v>0.81900000000000017</v>
      </c>
      <c r="E154" s="98"/>
      <c r="F154" s="109">
        <v>4870</v>
      </c>
      <c r="G154" s="28">
        <f t="shared" si="9"/>
        <v>0</v>
      </c>
      <c r="H154" s="28">
        <f t="shared" si="10"/>
        <v>3988.5300000000007</v>
      </c>
      <c r="I154" s="28">
        <f t="shared" si="11"/>
        <v>3988.5300000000007</v>
      </c>
    </row>
    <row r="155" spans="1:9" s="22" customFormat="1" x14ac:dyDescent="0.3">
      <c r="A155" s="417" t="s">
        <v>2500</v>
      </c>
      <c r="B155" s="110" t="s">
        <v>288</v>
      </c>
      <c r="C155" s="418" t="s">
        <v>62</v>
      </c>
      <c r="D155" s="420">
        <f>D156</f>
        <v>0.14898</v>
      </c>
      <c r="E155" s="94">
        <v>25000</v>
      </c>
      <c r="F155" s="108"/>
      <c r="G155" s="44">
        <f t="shared" si="9"/>
        <v>3724.5</v>
      </c>
      <c r="H155" s="44">
        <f t="shared" si="10"/>
        <v>0</v>
      </c>
      <c r="I155" s="44">
        <f t="shared" si="11"/>
        <v>3724.5</v>
      </c>
    </row>
    <row r="156" spans="1:9" x14ac:dyDescent="0.3">
      <c r="A156" s="23" t="s">
        <v>2501</v>
      </c>
      <c r="B156" s="111" t="s">
        <v>289</v>
      </c>
      <c r="C156" s="30" t="s">
        <v>62</v>
      </c>
      <c r="D156" s="100">
        <f>SUM(D157:D160)</f>
        <v>0.14898</v>
      </c>
      <c r="E156" s="98"/>
      <c r="F156" s="109"/>
      <c r="G156" s="28">
        <f t="shared" si="9"/>
        <v>0</v>
      </c>
      <c r="H156" s="28">
        <f t="shared" si="10"/>
        <v>0</v>
      </c>
      <c r="I156" s="28">
        <f t="shared" si="11"/>
        <v>0</v>
      </c>
    </row>
    <row r="157" spans="1:9" x14ac:dyDescent="0.3">
      <c r="A157" s="23"/>
      <c r="B157" s="45" t="s">
        <v>290</v>
      </c>
      <c r="C157" s="30" t="s">
        <v>62</v>
      </c>
      <c r="D157" s="100">
        <f>(3*4.12+1*3.25+1*1.62+1*0.87)*5/1000*1.04</f>
        <v>9.4119999999999995E-2</v>
      </c>
      <c r="E157" s="98"/>
      <c r="F157" s="109">
        <v>48280.01</v>
      </c>
      <c r="G157" s="28">
        <f t="shared" si="9"/>
        <v>0</v>
      </c>
      <c r="H157" s="28">
        <f t="shared" si="10"/>
        <v>4544.1145411999996</v>
      </c>
      <c r="I157" s="28">
        <f t="shared" si="11"/>
        <v>4544.1145411999996</v>
      </c>
    </row>
    <row r="158" spans="1:9" x14ac:dyDescent="0.3">
      <c r="A158" s="112"/>
      <c r="B158" s="81" t="s">
        <v>291</v>
      </c>
      <c r="C158" s="82" t="s">
        <v>62</v>
      </c>
      <c r="D158" s="100">
        <f>(1*0.65+4*0.06)*5/1000*1.04</f>
        <v>4.6280000000000002E-3</v>
      </c>
      <c r="E158" s="98"/>
      <c r="F158" s="109">
        <v>44500</v>
      </c>
      <c r="G158" s="28">
        <f t="shared" si="9"/>
        <v>0</v>
      </c>
      <c r="H158" s="28">
        <f t="shared" si="10"/>
        <v>205.946</v>
      </c>
      <c r="I158" s="28">
        <f t="shared" si="11"/>
        <v>205.946</v>
      </c>
    </row>
    <row r="159" spans="1:9" x14ac:dyDescent="0.3">
      <c r="A159" s="23"/>
      <c r="B159" s="45" t="s">
        <v>292</v>
      </c>
      <c r="C159" s="30" t="s">
        <v>62</v>
      </c>
      <c r="D159" s="100">
        <f>9.04*5/1000*1.04</f>
        <v>4.7008000000000001E-2</v>
      </c>
      <c r="E159" s="98"/>
      <c r="F159" s="109">
        <v>46160</v>
      </c>
      <c r="G159" s="28">
        <f t="shared" si="9"/>
        <v>0</v>
      </c>
      <c r="H159" s="28">
        <f t="shared" si="10"/>
        <v>2169.8892799999999</v>
      </c>
      <c r="I159" s="28">
        <f t="shared" si="11"/>
        <v>2169.8892799999999</v>
      </c>
    </row>
    <row r="160" spans="1:9" x14ac:dyDescent="0.3">
      <c r="A160" s="23"/>
      <c r="B160" s="45" t="s">
        <v>293</v>
      </c>
      <c r="C160" s="30" t="s">
        <v>62</v>
      </c>
      <c r="D160" s="100">
        <f>(2*0.31)*5/1000*1.04</f>
        <v>3.2239999999999999E-3</v>
      </c>
      <c r="E160" s="98"/>
      <c r="F160" s="109">
        <v>36300</v>
      </c>
      <c r="G160" s="28">
        <f t="shared" si="9"/>
        <v>0</v>
      </c>
      <c r="H160" s="28">
        <f t="shared" si="10"/>
        <v>117.0312</v>
      </c>
      <c r="I160" s="28">
        <f t="shared" si="11"/>
        <v>117.0312</v>
      </c>
    </row>
    <row r="161" spans="1:9" x14ac:dyDescent="0.3">
      <c r="A161" s="112" t="s">
        <v>2502</v>
      </c>
      <c r="B161" s="45" t="s">
        <v>294</v>
      </c>
      <c r="C161" s="30" t="s">
        <v>79</v>
      </c>
      <c r="D161" s="100">
        <f>3.89*2*D156</f>
        <v>1.1590644000000001</v>
      </c>
      <c r="E161" s="98"/>
      <c r="F161" s="109">
        <v>65</v>
      </c>
      <c r="G161" s="28">
        <f t="shared" si="9"/>
        <v>0</v>
      </c>
      <c r="H161" s="28">
        <f t="shared" si="10"/>
        <v>75.339186000000012</v>
      </c>
      <c r="I161" s="28">
        <f t="shared" si="11"/>
        <v>75.339186000000012</v>
      </c>
    </row>
    <row r="162" spans="1:9" x14ac:dyDescent="0.3">
      <c r="A162" s="112" t="s">
        <v>2503</v>
      </c>
      <c r="B162" s="45" t="s">
        <v>295</v>
      </c>
      <c r="C162" s="30" t="s">
        <v>79</v>
      </c>
      <c r="D162" s="100">
        <f>3.37*2*D156</f>
        <v>1.0041252000000001</v>
      </c>
      <c r="E162" s="98"/>
      <c r="F162" s="109">
        <v>88.45</v>
      </c>
      <c r="G162" s="28">
        <f t="shared" si="9"/>
        <v>0</v>
      </c>
      <c r="H162" s="28">
        <f t="shared" si="10"/>
        <v>88.814873940000012</v>
      </c>
      <c r="I162" s="28">
        <f t="shared" si="11"/>
        <v>88.814873940000012</v>
      </c>
    </row>
    <row r="163" spans="1:9" x14ac:dyDescent="0.3">
      <c r="A163" s="417" t="s">
        <v>2504</v>
      </c>
      <c r="B163" s="110" t="s">
        <v>1208</v>
      </c>
      <c r="C163" s="418"/>
      <c r="D163" s="420"/>
      <c r="E163" s="94"/>
      <c r="F163" s="145"/>
      <c r="G163" s="28">
        <f>D163*E163</f>
        <v>0</v>
      </c>
      <c r="H163" s="28">
        <f>D163*F163</f>
        <v>0</v>
      </c>
      <c r="I163" s="28">
        <v>36900</v>
      </c>
    </row>
    <row r="164" spans="1:9" ht="15.65" thickBot="1" x14ac:dyDescent="0.35">
      <c r="A164" s="444"/>
      <c r="B164" s="445"/>
      <c r="C164" s="446"/>
      <c r="D164" s="447"/>
      <c r="E164" s="448"/>
      <c r="F164" s="449" t="s">
        <v>1209</v>
      </c>
      <c r="G164" s="450">
        <f>SUM(G3:G163)</f>
        <v>9528602.2174999993</v>
      </c>
      <c r="H164" s="450">
        <f>SUM(H3:H163)</f>
        <v>19605204.059847001</v>
      </c>
      <c r="I164" s="450">
        <f>SUM(I3:I163)</f>
        <v>29170706.277347017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zoomScale="70" zoomScaleNormal="70" workbookViewId="0">
      <selection activeCell="A3" sqref="A3:XFD45"/>
    </sheetView>
  </sheetViews>
  <sheetFormatPr defaultRowHeight="15.05" x14ac:dyDescent="0.3"/>
  <cols>
    <col min="1" max="1" width="9.109375" style="679"/>
    <col min="2" max="2" width="76" style="631" customWidth="1"/>
    <col min="3" max="3" width="9.109375" style="680"/>
    <col min="4" max="4" width="14.109375" style="680" customWidth="1"/>
    <col min="5" max="5" width="12.88671875" style="681" customWidth="1"/>
    <col min="6" max="6" width="16.88671875" style="681" customWidth="1"/>
    <col min="7" max="7" width="16.5546875" style="631" customWidth="1"/>
    <col min="8" max="8" width="17.109375" style="631" customWidth="1"/>
    <col min="9" max="9" width="22.109375" style="631" customWidth="1"/>
    <col min="10" max="10" width="9.109375" style="631"/>
    <col min="11" max="11" width="14.33203125" style="631" bestFit="1" customWidth="1"/>
    <col min="12" max="257" width="9.109375" style="631"/>
    <col min="258" max="258" width="76" style="631" customWidth="1"/>
    <col min="259" max="259" width="9.109375" style="631"/>
    <col min="260" max="260" width="14.109375" style="631" customWidth="1"/>
    <col min="261" max="261" width="12.88671875" style="631" customWidth="1"/>
    <col min="262" max="262" width="16.88671875" style="631" customWidth="1"/>
    <col min="263" max="263" width="16.5546875" style="631" customWidth="1"/>
    <col min="264" max="264" width="17.109375" style="631" customWidth="1"/>
    <col min="265" max="265" width="22.109375" style="631" customWidth="1"/>
    <col min="266" max="266" width="9.109375" style="631"/>
    <col min="267" max="267" width="14.33203125" style="631" bestFit="1" customWidth="1"/>
    <col min="268" max="513" width="9.109375" style="631"/>
    <col min="514" max="514" width="76" style="631" customWidth="1"/>
    <col min="515" max="515" width="9.109375" style="631"/>
    <col min="516" max="516" width="14.109375" style="631" customWidth="1"/>
    <col min="517" max="517" width="12.88671875" style="631" customWidth="1"/>
    <col min="518" max="518" width="16.88671875" style="631" customWidth="1"/>
    <col min="519" max="519" width="16.5546875" style="631" customWidth="1"/>
    <col min="520" max="520" width="17.109375" style="631" customWidth="1"/>
    <col min="521" max="521" width="22.109375" style="631" customWidth="1"/>
    <col min="522" max="522" width="9.109375" style="631"/>
    <col min="523" max="523" width="14.33203125" style="631" bestFit="1" customWidth="1"/>
    <col min="524" max="769" width="9.109375" style="631"/>
    <col min="770" max="770" width="76" style="631" customWidth="1"/>
    <col min="771" max="771" width="9.109375" style="631"/>
    <col min="772" max="772" width="14.109375" style="631" customWidth="1"/>
    <col min="773" max="773" width="12.88671875" style="631" customWidth="1"/>
    <col min="774" max="774" width="16.88671875" style="631" customWidth="1"/>
    <col min="775" max="775" width="16.5546875" style="631" customWidth="1"/>
    <col min="776" max="776" width="17.109375" style="631" customWidth="1"/>
    <col min="777" max="777" width="22.109375" style="631" customWidth="1"/>
    <col min="778" max="778" width="9.109375" style="631"/>
    <col min="779" max="779" width="14.33203125" style="631" bestFit="1" customWidth="1"/>
    <col min="780" max="1025" width="9.109375" style="631"/>
    <col min="1026" max="1026" width="76" style="631" customWidth="1"/>
    <col min="1027" max="1027" width="9.109375" style="631"/>
    <col min="1028" max="1028" width="14.109375" style="631" customWidth="1"/>
    <col min="1029" max="1029" width="12.88671875" style="631" customWidth="1"/>
    <col min="1030" max="1030" width="16.88671875" style="631" customWidth="1"/>
    <col min="1031" max="1031" width="16.5546875" style="631" customWidth="1"/>
    <col min="1032" max="1032" width="17.109375" style="631" customWidth="1"/>
    <col min="1033" max="1033" width="22.109375" style="631" customWidth="1"/>
    <col min="1034" max="1034" width="9.109375" style="631"/>
    <col min="1035" max="1035" width="14.33203125" style="631" bestFit="1" customWidth="1"/>
    <col min="1036" max="1281" width="9.109375" style="631"/>
    <col min="1282" max="1282" width="76" style="631" customWidth="1"/>
    <col min="1283" max="1283" width="9.109375" style="631"/>
    <col min="1284" max="1284" width="14.109375" style="631" customWidth="1"/>
    <col min="1285" max="1285" width="12.88671875" style="631" customWidth="1"/>
    <col min="1286" max="1286" width="16.88671875" style="631" customWidth="1"/>
    <col min="1287" max="1287" width="16.5546875" style="631" customWidth="1"/>
    <col min="1288" max="1288" width="17.109375" style="631" customWidth="1"/>
    <col min="1289" max="1289" width="22.109375" style="631" customWidth="1"/>
    <col min="1290" max="1290" width="9.109375" style="631"/>
    <col min="1291" max="1291" width="14.33203125" style="631" bestFit="1" customWidth="1"/>
    <col min="1292" max="1537" width="9.109375" style="631"/>
    <col min="1538" max="1538" width="76" style="631" customWidth="1"/>
    <col min="1539" max="1539" width="9.109375" style="631"/>
    <col min="1540" max="1540" width="14.109375" style="631" customWidth="1"/>
    <col min="1541" max="1541" width="12.88671875" style="631" customWidth="1"/>
    <col min="1542" max="1542" width="16.88671875" style="631" customWidth="1"/>
    <col min="1543" max="1543" width="16.5546875" style="631" customWidth="1"/>
    <col min="1544" max="1544" width="17.109375" style="631" customWidth="1"/>
    <col min="1545" max="1545" width="22.109375" style="631" customWidth="1"/>
    <col min="1546" max="1546" width="9.109375" style="631"/>
    <col min="1547" max="1547" width="14.33203125" style="631" bestFit="1" customWidth="1"/>
    <col min="1548" max="1793" width="9.109375" style="631"/>
    <col min="1794" max="1794" width="76" style="631" customWidth="1"/>
    <col min="1795" max="1795" width="9.109375" style="631"/>
    <col min="1796" max="1796" width="14.109375" style="631" customWidth="1"/>
    <col min="1797" max="1797" width="12.88671875" style="631" customWidth="1"/>
    <col min="1798" max="1798" width="16.88671875" style="631" customWidth="1"/>
    <col min="1799" max="1799" width="16.5546875" style="631" customWidth="1"/>
    <col min="1800" max="1800" width="17.109375" style="631" customWidth="1"/>
    <col min="1801" max="1801" width="22.109375" style="631" customWidth="1"/>
    <col min="1802" max="1802" width="9.109375" style="631"/>
    <col min="1803" max="1803" width="14.33203125" style="631" bestFit="1" customWidth="1"/>
    <col min="1804" max="2049" width="9.109375" style="631"/>
    <col min="2050" max="2050" width="76" style="631" customWidth="1"/>
    <col min="2051" max="2051" width="9.109375" style="631"/>
    <col min="2052" max="2052" width="14.109375" style="631" customWidth="1"/>
    <col min="2053" max="2053" width="12.88671875" style="631" customWidth="1"/>
    <col min="2054" max="2054" width="16.88671875" style="631" customWidth="1"/>
    <col min="2055" max="2055" width="16.5546875" style="631" customWidth="1"/>
    <col min="2056" max="2056" width="17.109375" style="631" customWidth="1"/>
    <col min="2057" max="2057" width="22.109375" style="631" customWidth="1"/>
    <col min="2058" max="2058" width="9.109375" style="631"/>
    <col min="2059" max="2059" width="14.33203125" style="631" bestFit="1" customWidth="1"/>
    <col min="2060" max="2305" width="9.109375" style="631"/>
    <col min="2306" max="2306" width="76" style="631" customWidth="1"/>
    <col min="2307" max="2307" width="9.109375" style="631"/>
    <col min="2308" max="2308" width="14.109375" style="631" customWidth="1"/>
    <col min="2309" max="2309" width="12.88671875" style="631" customWidth="1"/>
    <col min="2310" max="2310" width="16.88671875" style="631" customWidth="1"/>
    <col min="2311" max="2311" width="16.5546875" style="631" customWidth="1"/>
    <col min="2312" max="2312" width="17.109375" style="631" customWidth="1"/>
    <col min="2313" max="2313" width="22.109375" style="631" customWidth="1"/>
    <col min="2314" max="2314" width="9.109375" style="631"/>
    <col min="2315" max="2315" width="14.33203125" style="631" bestFit="1" customWidth="1"/>
    <col min="2316" max="2561" width="9.109375" style="631"/>
    <col min="2562" max="2562" width="76" style="631" customWidth="1"/>
    <col min="2563" max="2563" width="9.109375" style="631"/>
    <col min="2564" max="2564" width="14.109375" style="631" customWidth="1"/>
    <col min="2565" max="2565" width="12.88671875" style="631" customWidth="1"/>
    <col min="2566" max="2566" width="16.88671875" style="631" customWidth="1"/>
    <col min="2567" max="2567" width="16.5546875" style="631" customWidth="1"/>
    <col min="2568" max="2568" width="17.109375" style="631" customWidth="1"/>
    <col min="2569" max="2569" width="22.109375" style="631" customWidth="1"/>
    <col min="2570" max="2570" width="9.109375" style="631"/>
    <col min="2571" max="2571" width="14.33203125" style="631" bestFit="1" customWidth="1"/>
    <col min="2572" max="2817" width="9.109375" style="631"/>
    <col min="2818" max="2818" width="76" style="631" customWidth="1"/>
    <col min="2819" max="2819" width="9.109375" style="631"/>
    <col min="2820" max="2820" width="14.109375" style="631" customWidth="1"/>
    <col min="2821" max="2821" width="12.88671875" style="631" customWidth="1"/>
    <col min="2822" max="2822" width="16.88671875" style="631" customWidth="1"/>
    <col min="2823" max="2823" width="16.5546875" style="631" customWidth="1"/>
    <col min="2824" max="2824" width="17.109375" style="631" customWidth="1"/>
    <col min="2825" max="2825" width="22.109375" style="631" customWidth="1"/>
    <col min="2826" max="2826" width="9.109375" style="631"/>
    <col min="2827" max="2827" width="14.33203125" style="631" bestFit="1" customWidth="1"/>
    <col min="2828" max="3073" width="9.109375" style="631"/>
    <col min="3074" max="3074" width="76" style="631" customWidth="1"/>
    <col min="3075" max="3075" width="9.109375" style="631"/>
    <col min="3076" max="3076" width="14.109375" style="631" customWidth="1"/>
    <col min="3077" max="3077" width="12.88671875" style="631" customWidth="1"/>
    <col min="3078" max="3078" width="16.88671875" style="631" customWidth="1"/>
    <col min="3079" max="3079" width="16.5546875" style="631" customWidth="1"/>
    <col min="3080" max="3080" width="17.109375" style="631" customWidth="1"/>
    <col min="3081" max="3081" width="22.109375" style="631" customWidth="1"/>
    <col min="3082" max="3082" width="9.109375" style="631"/>
    <col min="3083" max="3083" width="14.33203125" style="631" bestFit="1" customWidth="1"/>
    <col min="3084" max="3329" width="9.109375" style="631"/>
    <col min="3330" max="3330" width="76" style="631" customWidth="1"/>
    <col min="3331" max="3331" width="9.109375" style="631"/>
    <col min="3332" max="3332" width="14.109375" style="631" customWidth="1"/>
    <col min="3333" max="3333" width="12.88671875" style="631" customWidth="1"/>
    <col min="3334" max="3334" width="16.88671875" style="631" customWidth="1"/>
    <col min="3335" max="3335" width="16.5546875" style="631" customWidth="1"/>
    <col min="3336" max="3336" width="17.109375" style="631" customWidth="1"/>
    <col min="3337" max="3337" width="22.109375" style="631" customWidth="1"/>
    <col min="3338" max="3338" width="9.109375" style="631"/>
    <col min="3339" max="3339" width="14.33203125" style="631" bestFit="1" customWidth="1"/>
    <col min="3340" max="3585" width="9.109375" style="631"/>
    <col min="3586" max="3586" width="76" style="631" customWidth="1"/>
    <col min="3587" max="3587" width="9.109375" style="631"/>
    <col min="3588" max="3588" width="14.109375" style="631" customWidth="1"/>
    <col min="3589" max="3589" width="12.88671875" style="631" customWidth="1"/>
    <col min="3590" max="3590" width="16.88671875" style="631" customWidth="1"/>
    <col min="3591" max="3591" width="16.5546875" style="631" customWidth="1"/>
    <col min="3592" max="3592" width="17.109375" style="631" customWidth="1"/>
    <col min="3593" max="3593" width="22.109375" style="631" customWidth="1"/>
    <col min="3594" max="3594" width="9.109375" style="631"/>
    <col min="3595" max="3595" width="14.33203125" style="631" bestFit="1" customWidth="1"/>
    <col min="3596" max="3841" width="9.109375" style="631"/>
    <col min="3842" max="3842" width="76" style="631" customWidth="1"/>
    <col min="3843" max="3843" width="9.109375" style="631"/>
    <col min="3844" max="3844" width="14.109375" style="631" customWidth="1"/>
    <col min="3845" max="3845" width="12.88671875" style="631" customWidth="1"/>
    <col min="3846" max="3846" width="16.88671875" style="631" customWidth="1"/>
    <col min="3847" max="3847" width="16.5546875" style="631" customWidth="1"/>
    <col min="3848" max="3848" width="17.109375" style="631" customWidth="1"/>
    <col min="3849" max="3849" width="22.109375" style="631" customWidth="1"/>
    <col min="3850" max="3850" width="9.109375" style="631"/>
    <col min="3851" max="3851" width="14.33203125" style="631" bestFit="1" customWidth="1"/>
    <col min="3852" max="4097" width="9.109375" style="631"/>
    <col min="4098" max="4098" width="76" style="631" customWidth="1"/>
    <col min="4099" max="4099" width="9.109375" style="631"/>
    <col min="4100" max="4100" width="14.109375" style="631" customWidth="1"/>
    <col min="4101" max="4101" width="12.88671875" style="631" customWidth="1"/>
    <col min="4102" max="4102" width="16.88671875" style="631" customWidth="1"/>
    <col min="4103" max="4103" width="16.5546875" style="631" customWidth="1"/>
    <col min="4104" max="4104" width="17.109375" style="631" customWidth="1"/>
    <col min="4105" max="4105" width="22.109375" style="631" customWidth="1"/>
    <col min="4106" max="4106" width="9.109375" style="631"/>
    <col min="4107" max="4107" width="14.33203125" style="631" bestFit="1" customWidth="1"/>
    <col min="4108" max="4353" width="9.109375" style="631"/>
    <col min="4354" max="4354" width="76" style="631" customWidth="1"/>
    <col min="4355" max="4355" width="9.109375" style="631"/>
    <col min="4356" max="4356" width="14.109375" style="631" customWidth="1"/>
    <col min="4357" max="4357" width="12.88671875" style="631" customWidth="1"/>
    <col min="4358" max="4358" width="16.88671875" style="631" customWidth="1"/>
    <col min="4359" max="4359" width="16.5546875" style="631" customWidth="1"/>
    <col min="4360" max="4360" width="17.109375" style="631" customWidth="1"/>
    <col min="4361" max="4361" width="22.109375" style="631" customWidth="1"/>
    <col min="4362" max="4362" width="9.109375" style="631"/>
    <col min="4363" max="4363" width="14.33203125" style="631" bestFit="1" customWidth="1"/>
    <col min="4364" max="4609" width="9.109375" style="631"/>
    <col min="4610" max="4610" width="76" style="631" customWidth="1"/>
    <col min="4611" max="4611" width="9.109375" style="631"/>
    <col min="4612" max="4612" width="14.109375" style="631" customWidth="1"/>
    <col min="4613" max="4613" width="12.88671875" style="631" customWidth="1"/>
    <col min="4614" max="4614" width="16.88671875" style="631" customWidth="1"/>
    <col min="4615" max="4615" width="16.5546875" style="631" customWidth="1"/>
    <col min="4616" max="4616" width="17.109375" style="631" customWidth="1"/>
    <col min="4617" max="4617" width="22.109375" style="631" customWidth="1"/>
    <col min="4618" max="4618" width="9.109375" style="631"/>
    <col min="4619" max="4619" width="14.33203125" style="631" bestFit="1" customWidth="1"/>
    <col min="4620" max="4865" width="9.109375" style="631"/>
    <col min="4866" max="4866" width="76" style="631" customWidth="1"/>
    <col min="4867" max="4867" width="9.109375" style="631"/>
    <col min="4868" max="4868" width="14.109375" style="631" customWidth="1"/>
    <col min="4869" max="4869" width="12.88671875" style="631" customWidth="1"/>
    <col min="4870" max="4870" width="16.88671875" style="631" customWidth="1"/>
    <col min="4871" max="4871" width="16.5546875" style="631" customWidth="1"/>
    <col min="4872" max="4872" width="17.109375" style="631" customWidth="1"/>
    <col min="4873" max="4873" width="22.109375" style="631" customWidth="1"/>
    <col min="4874" max="4874" width="9.109375" style="631"/>
    <col min="4875" max="4875" width="14.33203125" style="631" bestFit="1" customWidth="1"/>
    <col min="4876" max="5121" width="9.109375" style="631"/>
    <col min="5122" max="5122" width="76" style="631" customWidth="1"/>
    <col min="5123" max="5123" width="9.109375" style="631"/>
    <col min="5124" max="5124" width="14.109375" style="631" customWidth="1"/>
    <col min="5125" max="5125" width="12.88671875" style="631" customWidth="1"/>
    <col min="5126" max="5126" width="16.88671875" style="631" customWidth="1"/>
    <col min="5127" max="5127" width="16.5546875" style="631" customWidth="1"/>
    <col min="5128" max="5128" width="17.109375" style="631" customWidth="1"/>
    <col min="5129" max="5129" width="22.109375" style="631" customWidth="1"/>
    <col min="5130" max="5130" width="9.109375" style="631"/>
    <col min="5131" max="5131" width="14.33203125" style="631" bestFit="1" customWidth="1"/>
    <col min="5132" max="5377" width="9.109375" style="631"/>
    <col min="5378" max="5378" width="76" style="631" customWidth="1"/>
    <col min="5379" max="5379" width="9.109375" style="631"/>
    <col min="5380" max="5380" width="14.109375" style="631" customWidth="1"/>
    <col min="5381" max="5381" width="12.88671875" style="631" customWidth="1"/>
    <col min="5382" max="5382" width="16.88671875" style="631" customWidth="1"/>
    <col min="5383" max="5383" width="16.5546875" style="631" customWidth="1"/>
    <col min="5384" max="5384" width="17.109375" style="631" customWidth="1"/>
    <col min="5385" max="5385" width="22.109375" style="631" customWidth="1"/>
    <col min="5386" max="5386" width="9.109375" style="631"/>
    <col min="5387" max="5387" width="14.33203125" style="631" bestFit="1" customWidth="1"/>
    <col min="5388" max="5633" width="9.109375" style="631"/>
    <col min="5634" max="5634" width="76" style="631" customWidth="1"/>
    <col min="5635" max="5635" width="9.109375" style="631"/>
    <col min="5636" max="5636" width="14.109375" style="631" customWidth="1"/>
    <col min="5637" max="5637" width="12.88671875" style="631" customWidth="1"/>
    <col min="5638" max="5638" width="16.88671875" style="631" customWidth="1"/>
    <col min="5639" max="5639" width="16.5546875" style="631" customWidth="1"/>
    <col min="5640" max="5640" width="17.109375" style="631" customWidth="1"/>
    <col min="5641" max="5641" width="22.109375" style="631" customWidth="1"/>
    <col min="5642" max="5642" width="9.109375" style="631"/>
    <col min="5643" max="5643" width="14.33203125" style="631" bestFit="1" customWidth="1"/>
    <col min="5644" max="5889" width="9.109375" style="631"/>
    <col min="5890" max="5890" width="76" style="631" customWidth="1"/>
    <col min="5891" max="5891" width="9.109375" style="631"/>
    <col min="5892" max="5892" width="14.109375" style="631" customWidth="1"/>
    <col min="5893" max="5893" width="12.88671875" style="631" customWidth="1"/>
    <col min="5894" max="5894" width="16.88671875" style="631" customWidth="1"/>
    <col min="5895" max="5895" width="16.5546875" style="631" customWidth="1"/>
    <col min="5896" max="5896" width="17.109375" style="631" customWidth="1"/>
    <col min="5897" max="5897" width="22.109375" style="631" customWidth="1"/>
    <col min="5898" max="5898" width="9.109375" style="631"/>
    <col min="5899" max="5899" width="14.33203125" style="631" bestFit="1" customWidth="1"/>
    <col min="5900" max="6145" width="9.109375" style="631"/>
    <col min="6146" max="6146" width="76" style="631" customWidth="1"/>
    <col min="6147" max="6147" width="9.109375" style="631"/>
    <col min="6148" max="6148" width="14.109375" style="631" customWidth="1"/>
    <col min="6149" max="6149" width="12.88671875" style="631" customWidth="1"/>
    <col min="6150" max="6150" width="16.88671875" style="631" customWidth="1"/>
    <col min="6151" max="6151" width="16.5546875" style="631" customWidth="1"/>
    <col min="6152" max="6152" width="17.109375" style="631" customWidth="1"/>
    <col min="6153" max="6153" width="22.109375" style="631" customWidth="1"/>
    <col min="6154" max="6154" width="9.109375" style="631"/>
    <col min="6155" max="6155" width="14.33203125" style="631" bestFit="1" customWidth="1"/>
    <col min="6156" max="6401" width="9.109375" style="631"/>
    <col min="6402" max="6402" width="76" style="631" customWidth="1"/>
    <col min="6403" max="6403" width="9.109375" style="631"/>
    <col min="6404" max="6404" width="14.109375" style="631" customWidth="1"/>
    <col min="6405" max="6405" width="12.88671875" style="631" customWidth="1"/>
    <col min="6406" max="6406" width="16.88671875" style="631" customWidth="1"/>
    <col min="6407" max="6407" width="16.5546875" style="631" customWidth="1"/>
    <col min="6408" max="6408" width="17.109375" style="631" customWidth="1"/>
    <col min="6409" max="6409" width="22.109375" style="631" customWidth="1"/>
    <col min="6410" max="6410" width="9.109375" style="631"/>
    <col min="6411" max="6411" width="14.33203125" style="631" bestFit="1" customWidth="1"/>
    <col min="6412" max="6657" width="9.109375" style="631"/>
    <col min="6658" max="6658" width="76" style="631" customWidth="1"/>
    <col min="6659" max="6659" width="9.109375" style="631"/>
    <col min="6660" max="6660" width="14.109375" style="631" customWidth="1"/>
    <col min="6661" max="6661" width="12.88671875" style="631" customWidth="1"/>
    <col min="6662" max="6662" width="16.88671875" style="631" customWidth="1"/>
    <col min="6663" max="6663" width="16.5546875" style="631" customWidth="1"/>
    <col min="6664" max="6664" width="17.109375" style="631" customWidth="1"/>
    <col min="6665" max="6665" width="22.109375" style="631" customWidth="1"/>
    <col min="6666" max="6666" width="9.109375" style="631"/>
    <col min="6667" max="6667" width="14.33203125" style="631" bestFit="1" customWidth="1"/>
    <col min="6668" max="6913" width="9.109375" style="631"/>
    <col min="6914" max="6914" width="76" style="631" customWidth="1"/>
    <col min="6915" max="6915" width="9.109375" style="631"/>
    <col min="6916" max="6916" width="14.109375" style="631" customWidth="1"/>
    <col min="6917" max="6917" width="12.88671875" style="631" customWidth="1"/>
    <col min="6918" max="6918" width="16.88671875" style="631" customWidth="1"/>
    <col min="6919" max="6919" width="16.5546875" style="631" customWidth="1"/>
    <col min="6920" max="6920" width="17.109375" style="631" customWidth="1"/>
    <col min="6921" max="6921" width="22.109375" style="631" customWidth="1"/>
    <col min="6922" max="6922" width="9.109375" style="631"/>
    <col min="6923" max="6923" width="14.33203125" style="631" bestFit="1" customWidth="1"/>
    <col min="6924" max="7169" width="9.109375" style="631"/>
    <col min="7170" max="7170" width="76" style="631" customWidth="1"/>
    <col min="7171" max="7171" width="9.109375" style="631"/>
    <col min="7172" max="7172" width="14.109375" style="631" customWidth="1"/>
    <col min="7173" max="7173" width="12.88671875" style="631" customWidth="1"/>
    <col min="7174" max="7174" width="16.88671875" style="631" customWidth="1"/>
    <col min="7175" max="7175" width="16.5546875" style="631" customWidth="1"/>
    <col min="7176" max="7176" width="17.109375" style="631" customWidth="1"/>
    <col min="7177" max="7177" width="22.109375" style="631" customWidth="1"/>
    <col min="7178" max="7178" width="9.109375" style="631"/>
    <col min="7179" max="7179" width="14.33203125" style="631" bestFit="1" customWidth="1"/>
    <col min="7180" max="7425" width="9.109375" style="631"/>
    <col min="7426" max="7426" width="76" style="631" customWidth="1"/>
    <col min="7427" max="7427" width="9.109375" style="631"/>
    <col min="7428" max="7428" width="14.109375" style="631" customWidth="1"/>
    <col min="7429" max="7429" width="12.88671875" style="631" customWidth="1"/>
    <col min="7430" max="7430" width="16.88671875" style="631" customWidth="1"/>
    <col min="7431" max="7431" width="16.5546875" style="631" customWidth="1"/>
    <col min="7432" max="7432" width="17.109375" style="631" customWidth="1"/>
    <col min="7433" max="7433" width="22.109375" style="631" customWidth="1"/>
    <col min="7434" max="7434" width="9.109375" style="631"/>
    <col min="7435" max="7435" width="14.33203125" style="631" bestFit="1" customWidth="1"/>
    <col min="7436" max="7681" width="9.109375" style="631"/>
    <col min="7682" max="7682" width="76" style="631" customWidth="1"/>
    <col min="7683" max="7683" width="9.109375" style="631"/>
    <col min="7684" max="7684" width="14.109375" style="631" customWidth="1"/>
    <col min="7685" max="7685" width="12.88671875" style="631" customWidth="1"/>
    <col min="7686" max="7686" width="16.88671875" style="631" customWidth="1"/>
    <col min="7687" max="7687" width="16.5546875" style="631" customWidth="1"/>
    <col min="7688" max="7688" width="17.109375" style="631" customWidth="1"/>
    <col min="7689" max="7689" width="22.109375" style="631" customWidth="1"/>
    <col min="7690" max="7690" width="9.109375" style="631"/>
    <col min="7691" max="7691" width="14.33203125" style="631" bestFit="1" customWidth="1"/>
    <col min="7692" max="7937" width="9.109375" style="631"/>
    <col min="7938" max="7938" width="76" style="631" customWidth="1"/>
    <col min="7939" max="7939" width="9.109375" style="631"/>
    <col min="7940" max="7940" width="14.109375" style="631" customWidth="1"/>
    <col min="7941" max="7941" width="12.88671875" style="631" customWidth="1"/>
    <col min="7942" max="7942" width="16.88671875" style="631" customWidth="1"/>
    <col min="7943" max="7943" width="16.5546875" style="631" customWidth="1"/>
    <col min="7944" max="7944" width="17.109375" style="631" customWidth="1"/>
    <col min="7945" max="7945" width="22.109375" style="631" customWidth="1"/>
    <col min="7946" max="7946" width="9.109375" style="631"/>
    <col min="7947" max="7947" width="14.33203125" style="631" bestFit="1" customWidth="1"/>
    <col min="7948" max="8193" width="9.109375" style="631"/>
    <col min="8194" max="8194" width="76" style="631" customWidth="1"/>
    <col min="8195" max="8195" width="9.109375" style="631"/>
    <col min="8196" max="8196" width="14.109375" style="631" customWidth="1"/>
    <col min="8197" max="8197" width="12.88671875" style="631" customWidth="1"/>
    <col min="8198" max="8198" width="16.88671875" style="631" customWidth="1"/>
    <col min="8199" max="8199" width="16.5546875" style="631" customWidth="1"/>
    <col min="8200" max="8200" width="17.109375" style="631" customWidth="1"/>
    <col min="8201" max="8201" width="22.109375" style="631" customWidth="1"/>
    <col min="8202" max="8202" width="9.109375" style="631"/>
    <col min="8203" max="8203" width="14.33203125" style="631" bestFit="1" customWidth="1"/>
    <col min="8204" max="8449" width="9.109375" style="631"/>
    <col min="8450" max="8450" width="76" style="631" customWidth="1"/>
    <col min="8451" max="8451" width="9.109375" style="631"/>
    <col min="8452" max="8452" width="14.109375" style="631" customWidth="1"/>
    <col min="8453" max="8453" width="12.88671875" style="631" customWidth="1"/>
    <col min="8454" max="8454" width="16.88671875" style="631" customWidth="1"/>
    <col min="8455" max="8455" width="16.5546875" style="631" customWidth="1"/>
    <col min="8456" max="8456" width="17.109375" style="631" customWidth="1"/>
    <col min="8457" max="8457" width="22.109375" style="631" customWidth="1"/>
    <col min="8458" max="8458" width="9.109375" style="631"/>
    <col min="8459" max="8459" width="14.33203125" style="631" bestFit="1" customWidth="1"/>
    <col min="8460" max="8705" width="9.109375" style="631"/>
    <col min="8706" max="8706" width="76" style="631" customWidth="1"/>
    <col min="8707" max="8707" width="9.109375" style="631"/>
    <col min="8708" max="8708" width="14.109375" style="631" customWidth="1"/>
    <col min="8709" max="8709" width="12.88671875" style="631" customWidth="1"/>
    <col min="8710" max="8710" width="16.88671875" style="631" customWidth="1"/>
    <col min="8711" max="8711" width="16.5546875" style="631" customWidth="1"/>
    <col min="8712" max="8712" width="17.109375" style="631" customWidth="1"/>
    <col min="8713" max="8713" width="22.109375" style="631" customWidth="1"/>
    <col min="8714" max="8714" width="9.109375" style="631"/>
    <col min="8715" max="8715" width="14.33203125" style="631" bestFit="1" customWidth="1"/>
    <col min="8716" max="8961" width="9.109375" style="631"/>
    <col min="8962" max="8962" width="76" style="631" customWidth="1"/>
    <col min="8963" max="8963" width="9.109375" style="631"/>
    <col min="8964" max="8964" width="14.109375" style="631" customWidth="1"/>
    <col min="8965" max="8965" width="12.88671875" style="631" customWidth="1"/>
    <col min="8966" max="8966" width="16.88671875" style="631" customWidth="1"/>
    <col min="8967" max="8967" width="16.5546875" style="631" customWidth="1"/>
    <col min="8968" max="8968" width="17.109375" style="631" customWidth="1"/>
    <col min="8969" max="8969" width="22.109375" style="631" customWidth="1"/>
    <col min="8970" max="8970" width="9.109375" style="631"/>
    <col min="8971" max="8971" width="14.33203125" style="631" bestFit="1" customWidth="1"/>
    <col min="8972" max="9217" width="9.109375" style="631"/>
    <col min="9218" max="9218" width="76" style="631" customWidth="1"/>
    <col min="9219" max="9219" width="9.109375" style="631"/>
    <col min="9220" max="9220" width="14.109375" style="631" customWidth="1"/>
    <col min="9221" max="9221" width="12.88671875" style="631" customWidth="1"/>
    <col min="9222" max="9222" width="16.88671875" style="631" customWidth="1"/>
    <col min="9223" max="9223" width="16.5546875" style="631" customWidth="1"/>
    <col min="9224" max="9224" width="17.109375" style="631" customWidth="1"/>
    <col min="9225" max="9225" width="22.109375" style="631" customWidth="1"/>
    <col min="9226" max="9226" width="9.109375" style="631"/>
    <col min="9227" max="9227" width="14.33203125" style="631" bestFit="1" customWidth="1"/>
    <col min="9228" max="9473" width="9.109375" style="631"/>
    <col min="9474" max="9474" width="76" style="631" customWidth="1"/>
    <col min="9475" max="9475" width="9.109375" style="631"/>
    <col min="9476" max="9476" width="14.109375" style="631" customWidth="1"/>
    <col min="9477" max="9477" width="12.88671875" style="631" customWidth="1"/>
    <col min="9478" max="9478" width="16.88671875" style="631" customWidth="1"/>
    <col min="9479" max="9479" width="16.5546875" style="631" customWidth="1"/>
    <col min="9480" max="9480" width="17.109375" style="631" customWidth="1"/>
    <col min="9481" max="9481" width="22.109375" style="631" customWidth="1"/>
    <col min="9482" max="9482" width="9.109375" style="631"/>
    <col min="9483" max="9483" width="14.33203125" style="631" bestFit="1" customWidth="1"/>
    <col min="9484" max="9729" width="9.109375" style="631"/>
    <col min="9730" max="9730" width="76" style="631" customWidth="1"/>
    <col min="9731" max="9731" width="9.109375" style="631"/>
    <col min="9732" max="9732" width="14.109375" style="631" customWidth="1"/>
    <col min="9733" max="9733" width="12.88671875" style="631" customWidth="1"/>
    <col min="9734" max="9734" width="16.88671875" style="631" customWidth="1"/>
    <col min="9735" max="9735" width="16.5546875" style="631" customWidth="1"/>
    <col min="9736" max="9736" width="17.109375" style="631" customWidth="1"/>
    <col min="9737" max="9737" width="22.109375" style="631" customWidth="1"/>
    <col min="9738" max="9738" width="9.109375" style="631"/>
    <col min="9739" max="9739" width="14.33203125" style="631" bestFit="1" customWidth="1"/>
    <col min="9740" max="9985" width="9.109375" style="631"/>
    <col min="9986" max="9986" width="76" style="631" customWidth="1"/>
    <col min="9987" max="9987" width="9.109375" style="631"/>
    <col min="9988" max="9988" width="14.109375" style="631" customWidth="1"/>
    <col min="9989" max="9989" width="12.88671875" style="631" customWidth="1"/>
    <col min="9990" max="9990" width="16.88671875" style="631" customWidth="1"/>
    <col min="9991" max="9991" width="16.5546875" style="631" customWidth="1"/>
    <col min="9992" max="9992" width="17.109375" style="631" customWidth="1"/>
    <col min="9993" max="9993" width="22.109375" style="631" customWidth="1"/>
    <col min="9994" max="9994" width="9.109375" style="631"/>
    <col min="9995" max="9995" width="14.33203125" style="631" bestFit="1" customWidth="1"/>
    <col min="9996" max="10241" width="9.109375" style="631"/>
    <col min="10242" max="10242" width="76" style="631" customWidth="1"/>
    <col min="10243" max="10243" width="9.109375" style="631"/>
    <col min="10244" max="10244" width="14.109375" style="631" customWidth="1"/>
    <col min="10245" max="10245" width="12.88671875" style="631" customWidth="1"/>
    <col min="10246" max="10246" width="16.88671875" style="631" customWidth="1"/>
    <col min="10247" max="10247" width="16.5546875" style="631" customWidth="1"/>
    <col min="10248" max="10248" width="17.109375" style="631" customWidth="1"/>
    <col min="10249" max="10249" width="22.109375" style="631" customWidth="1"/>
    <col min="10250" max="10250" width="9.109375" style="631"/>
    <col min="10251" max="10251" width="14.33203125" style="631" bestFit="1" customWidth="1"/>
    <col min="10252" max="10497" width="9.109375" style="631"/>
    <col min="10498" max="10498" width="76" style="631" customWidth="1"/>
    <col min="10499" max="10499" width="9.109375" style="631"/>
    <col min="10500" max="10500" width="14.109375" style="631" customWidth="1"/>
    <col min="10501" max="10501" width="12.88671875" style="631" customWidth="1"/>
    <col min="10502" max="10502" width="16.88671875" style="631" customWidth="1"/>
    <col min="10503" max="10503" width="16.5546875" style="631" customWidth="1"/>
    <col min="10504" max="10504" width="17.109375" style="631" customWidth="1"/>
    <col min="10505" max="10505" width="22.109375" style="631" customWidth="1"/>
    <col min="10506" max="10506" width="9.109375" style="631"/>
    <col min="10507" max="10507" width="14.33203125" style="631" bestFit="1" customWidth="1"/>
    <col min="10508" max="10753" width="9.109375" style="631"/>
    <col min="10754" max="10754" width="76" style="631" customWidth="1"/>
    <col min="10755" max="10755" width="9.109375" style="631"/>
    <col min="10756" max="10756" width="14.109375" style="631" customWidth="1"/>
    <col min="10757" max="10757" width="12.88671875" style="631" customWidth="1"/>
    <col min="10758" max="10758" width="16.88671875" style="631" customWidth="1"/>
    <col min="10759" max="10759" width="16.5546875" style="631" customWidth="1"/>
    <col min="10760" max="10760" width="17.109375" style="631" customWidth="1"/>
    <col min="10761" max="10761" width="22.109375" style="631" customWidth="1"/>
    <col min="10762" max="10762" width="9.109375" style="631"/>
    <col min="10763" max="10763" width="14.33203125" style="631" bestFit="1" customWidth="1"/>
    <col min="10764" max="11009" width="9.109375" style="631"/>
    <col min="11010" max="11010" width="76" style="631" customWidth="1"/>
    <col min="11011" max="11011" width="9.109375" style="631"/>
    <col min="11012" max="11012" width="14.109375" style="631" customWidth="1"/>
    <col min="11013" max="11013" width="12.88671875" style="631" customWidth="1"/>
    <col min="11014" max="11014" width="16.88671875" style="631" customWidth="1"/>
    <col min="11015" max="11015" width="16.5546875" style="631" customWidth="1"/>
    <col min="11016" max="11016" width="17.109375" style="631" customWidth="1"/>
    <col min="11017" max="11017" width="22.109375" style="631" customWidth="1"/>
    <col min="11018" max="11018" width="9.109375" style="631"/>
    <col min="11019" max="11019" width="14.33203125" style="631" bestFit="1" customWidth="1"/>
    <col min="11020" max="11265" width="9.109375" style="631"/>
    <col min="11266" max="11266" width="76" style="631" customWidth="1"/>
    <col min="11267" max="11267" width="9.109375" style="631"/>
    <col min="11268" max="11268" width="14.109375" style="631" customWidth="1"/>
    <col min="11269" max="11269" width="12.88671875" style="631" customWidth="1"/>
    <col min="11270" max="11270" width="16.88671875" style="631" customWidth="1"/>
    <col min="11271" max="11271" width="16.5546875" style="631" customWidth="1"/>
    <col min="11272" max="11272" width="17.109375" style="631" customWidth="1"/>
    <col min="11273" max="11273" width="22.109375" style="631" customWidth="1"/>
    <col min="11274" max="11274" width="9.109375" style="631"/>
    <col min="11275" max="11275" width="14.33203125" style="631" bestFit="1" customWidth="1"/>
    <col min="11276" max="11521" width="9.109375" style="631"/>
    <col min="11522" max="11522" width="76" style="631" customWidth="1"/>
    <col min="11523" max="11523" width="9.109375" style="631"/>
    <col min="11524" max="11524" width="14.109375" style="631" customWidth="1"/>
    <col min="11525" max="11525" width="12.88671875" style="631" customWidth="1"/>
    <col min="11526" max="11526" width="16.88671875" style="631" customWidth="1"/>
    <col min="11527" max="11527" width="16.5546875" style="631" customWidth="1"/>
    <col min="11528" max="11528" width="17.109375" style="631" customWidth="1"/>
    <col min="11529" max="11529" width="22.109375" style="631" customWidth="1"/>
    <col min="11530" max="11530" width="9.109375" style="631"/>
    <col min="11531" max="11531" width="14.33203125" style="631" bestFit="1" customWidth="1"/>
    <col min="11532" max="11777" width="9.109375" style="631"/>
    <col min="11778" max="11778" width="76" style="631" customWidth="1"/>
    <col min="11779" max="11779" width="9.109375" style="631"/>
    <col min="11780" max="11780" width="14.109375" style="631" customWidth="1"/>
    <col min="11781" max="11781" width="12.88671875" style="631" customWidth="1"/>
    <col min="11782" max="11782" width="16.88671875" style="631" customWidth="1"/>
    <col min="11783" max="11783" width="16.5546875" style="631" customWidth="1"/>
    <col min="11784" max="11784" width="17.109375" style="631" customWidth="1"/>
    <col min="11785" max="11785" width="22.109375" style="631" customWidth="1"/>
    <col min="11786" max="11786" width="9.109375" style="631"/>
    <col min="11787" max="11787" width="14.33203125" style="631" bestFit="1" customWidth="1"/>
    <col min="11788" max="12033" width="9.109375" style="631"/>
    <col min="12034" max="12034" width="76" style="631" customWidth="1"/>
    <col min="12035" max="12035" width="9.109375" style="631"/>
    <col min="12036" max="12036" width="14.109375" style="631" customWidth="1"/>
    <col min="12037" max="12037" width="12.88671875" style="631" customWidth="1"/>
    <col min="12038" max="12038" width="16.88671875" style="631" customWidth="1"/>
    <col min="12039" max="12039" width="16.5546875" style="631" customWidth="1"/>
    <col min="12040" max="12040" width="17.109375" style="631" customWidth="1"/>
    <col min="12041" max="12041" width="22.109375" style="631" customWidth="1"/>
    <col min="12042" max="12042" width="9.109375" style="631"/>
    <col min="12043" max="12043" width="14.33203125" style="631" bestFit="1" customWidth="1"/>
    <col min="12044" max="12289" width="9.109375" style="631"/>
    <col min="12290" max="12290" width="76" style="631" customWidth="1"/>
    <col min="12291" max="12291" width="9.109375" style="631"/>
    <col min="12292" max="12292" width="14.109375" style="631" customWidth="1"/>
    <col min="12293" max="12293" width="12.88671875" style="631" customWidth="1"/>
    <col min="12294" max="12294" width="16.88671875" style="631" customWidth="1"/>
    <col min="12295" max="12295" width="16.5546875" style="631" customWidth="1"/>
    <col min="12296" max="12296" width="17.109375" style="631" customWidth="1"/>
    <col min="12297" max="12297" width="22.109375" style="631" customWidth="1"/>
    <col min="12298" max="12298" width="9.109375" style="631"/>
    <col min="12299" max="12299" width="14.33203125" style="631" bestFit="1" customWidth="1"/>
    <col min="12300" max="12545" width="9.109375" style="631"/>
    <col min="12546" max="12546" width="76" style="631" customWidth="1"/>
    <col min="12547" max="12547" width="9.109375" style="631"/>
    <col min="12548" max="12548" width="14.109375" style="631" customWidth="1"/>
    <col min="12549" max="12549" width="12.88671875" style="631" customWidth="1"/>
    <col min="12550" max="12550" width="16.88671875" style="631" customWidth="1"/>
    <col min="12551" max="12551" width="16.5546875" style="631" customWidth="1"/>
    <col min="12552" max="12552" width="17.109375" style="631" customWidth="1"/>
    <col min="12553" max="12553" width="22.109375" style="631" customWidth="1"/>
    <col min="12554" max="12554" width="9.109375" style="631"/>
    <col min="12555" max="12555" width="14.33203125" style="631" bestFit="1" customWidth="1"/>
    <col min="12556" max="12801" width="9.109375" style="631"/>
    <col min="12802" max="12802" width="76" style="631" customWidth="1"/>
    <col min="12803" max="12803" width="9.109375" style="631"/>
    <col min="12804" max="12804" width="14.109375" style="631" customWidth="1"/>
    <col min="12805" max="12805" width="12.88671875" style="631" customWidth="1"/>
    <col min="12806" max="12806" width="16.88671875" style="631" customWidth="1"/>
    <col min="12807" max="12807" width="16.5546875" style="631" customWidth="1"/>
    <col min="12808" max="12808" width="17.109375" style="631" customWidth="1"/>
    <col min="12809" max="12809" width="22.109375" style="631" customWidth="1"/>
    <col min="12810" max="12810" width="9.109375" style="631"/>
    <col min="12811" max="12811" width="14.33203125" style="631" bestFit="1" customWidth="1"/>
    <col min="12812" max="13057" width="9.109375" style="631"/>
    <col min="13058" max="13058" width="76" style="631" customWidth="1"/>
    <col min="13059" max="13059" width="9.109375" style="631"/>
    <col min="13060" max="13060" width="14.109375" style="631" customWidth="1"/>
    <col min="13061" max="13061" width="12.88671875" style="631" customWidth="1"/>
    <col min="13062" max="13062" width="16.88671875" style="631" customWidth="1"/>
    <col min="13063" max="13063" width="16.5546875" style="631" customWidth="1"/>
    <col min="13064" max="13064" width="17.109375" style="631" customWidth="1"/>
    <col min="13065" max="13065" width="22.109375" style="631" customWidth="1"/>
    <col min="13066" max="13066" width="9.109375" style="631"/>
    <col min="13067" max="13067" width="14.33203125" style="631" bestFit="1" customWidth="1"/>
    <col min="13068" max="13313" width="9.109375" style="631"/>
    <col min="13314" max="13314" width="76" style="631" customWidth="1"/>
    <col min="13315" max="13315" width="9.109375" style="631"/>
    <col min="13316" max="13316" width="14.109375" style="631" customWidth="1"/>
    <col min="13317" max="13317" width="12.88671875" style="631" customWidth="1"/>
    <col min="13318" max="13318" width="16.88671875" style="631" customWidth="1"/>
    <col min="13319" max="13319" width="16.5546875" style="631" customWidth="1"/>
    <col min="13320" max="13320" width="17.109375" style="631" customWidth="1"/>
    <col min="13321" max="13321" width="22.109375" style="631" customWidth="1"/>
    <col min="13322" max="13322" width="9.109375" style="631"/>
    <col min="13323" max="13323" width="14.33203125" style="631" bestFit="1" customWidth="1"/>
    <col min="13324" max="13569" width="9.109375" style="631"/>
    <col min="13570" max="13570" width="76" style="631" customWidth="1"/>
    <col min="13571" max="13571" width="9.109375" style="631"/>
    <col min="13572" max="13572" width="14.109375" style="631" customWidth="1"/>
    <col min="13573" max="13573" width="12.88671875" style="631" customWidth="1"/>
    <col min="13574" max="13574" width="16.88671875" style="631" customWidth="1"/>
    <col min="13575" max="13575" width="16.5546875" style="631" customWidth="1"/>
    <col min="13576" max="13576" width="17.109375" style="631" customWidth="1"/>
    <col min="13577" max="13577" width="22.109375" style="631" customWidth="1"/>
    <col min="13578" max="13578" width="9.109375" style="631"/>
    <col min="13579" max="13579" width="14.33203125" style="631" bestFit="1" customWidth="1"/>
    <col min="13580" max="13825" width="9.109375" style="631"/>
    <col min="13826" max="13826" width="76" style="631" customWidth="1"/>
    <col min="13827" max="13827" width="9.109375" style="631"/>
    <col min="13828" max="13828" width="14.109375" style="631" customWidth="1"/>
    <col min="13829" max="13829" width="12.88671875" style="631" customWidth="1"/>
    <col min="13830" max="13830" width="16.88671875" style="631" customWidth="1"/>
    <col min="13831" max="13831" width="16.5546875" style="631" customWidth="1"/>
    <col min="13832" max="13832" width="17.109375" style="631" customWidth="1"/>
    <col min="13833" max="13833" width="22.109375" style="631" customWidth="1"/>
    <col min="13834" max="13834" width="9.109375" style="631"/>
    <col min="13835" max="13835" width="14.33203125" style="631" bestFit="1" customWidth="1"/>
    <col min="13836" max="14081" width="9.109375" style="631"/>
    <col min="14082" max="14082" width="76" style="631" customWidth="1"/>
    <col min="14083" max="14083" width="9.109375" style="631"/>
    <col min="14084" max="14084" width="14.109375" style="631" customWidth="1"/>
    <col min="14085" max="14085" width="12.88671875" style="631" customWidth="1"/>
    <col min="14086" max="14086" width="16.88671875" style="631" customWidth="1"/>
    <col min="14087" max="14087" width="16.5546875" style="631" customWidth="1"/>
    <col min="14088" max="14088" width="17.109375" style="631" customWidth="1"/>
    <col min="14089" max="14089" width="22.109375" style="631" customWidth="1"/>
    <col min="14090" max="14090" width="9.109375" style="631"/>
    <col min="14091" max="14091" width="14.33203125" style="631" bestFit="1" customWidth="1"/>
    <col min="14092" max="14337" width="9.109375" style="631"/>
    <col min="14338" max="14338" width="76" style="631" customWidth="1"/>
    <col min="14339" max="14339" width="9.109375" style="631"/>
    <col min="14340" max="14340" width="14.109375" style="631" customWidth="1"/>
    <col min="14341" max="14341" width="12.88671875" style="631" customWidth="1"/>
    <col min="14342" max="14342" width="16.88671875" style="631" customWidth="1"/>
    <col min="14343" max="14343" width="16.5546875" style="631" customWidth="1"/>
    <col min="14344" max="14344" width="17.109375" style="631" customWidth="1"/>
    <col min="14345" max="14345" width="22.109375" style="631" customWidth="1"/>
    <col min="14346" max="14346" width="9.109375" style="631"/>
    <col min="14347" max="14347" width="14.33203125" style="631" bestFit="1" customWidth="1"/>
    <col min="14348" max="14593" width="9.109375" style="631"/>
    <col min="14594" max="14594" width="76" style="631" customWidth="1"/>
    <col min="14595" max="14595" width="9.109375" style="631"/>
    <col min="14596" max="14596" width="14.109375" style="631" customWidth="1"/>
    <col min="14597" max="14597" width="12.88671875" style="631" customWidth="1"/>
    <col min="14598" max="14598" width="16.88671875" style="631" customWidth="1"/>
    <col min="14599" max="14599" width="16.5546875" style="631" customWidth="1"/>
    <col min="14600" max="14600" width="17.109375" style="631" customWidth="1"/>
    <col min="14601" max="14601" width="22.109375" style="631" customWidth="1"/>
    <col min="14602" max="14602" width="9.109375" style="631"/>
    <col min="14603" max="14603" width="14.33203125" style="631" bestFit="1" customWidth="1"/>
    <col min="14604" max="14849" width="9.109375" style="631"/>
    <col min="14850" max="14850" width="76" style="631" customWidth="1"/>
    <col min="14851" max="14851" width="9.109375" style="631"/>
    <col min="14852" max="14852" width="14.109375" style="631" customWidth="1"/>
    <col min="14853" max="14853" width="12.88671875" style="631" customWidth="1"/>
    <col min="14854" max="14854" width="16.88671875" style="631" customWidth="1"/>
    <col min="14855" max="14855" width="16.5546875" style="631" customWidth="1"/>
    <col min="14856" max="14856" width="17.109375" style="631" customWidth="1"/>
    <col min="14857" max="14857" width="22.109375" style="631" customWidth="1"/>
    <col min="14858" max="14858" width="9.109375" style="631"/>
    <col min="14859" max="14859" width="14.33203125" style="631" bestFit="1" customWidth="1"/>
    <col min="14860" max="15105" width="9.109375" style="631"/>
    <col min="15106" max="15106" width="76" style="631" customWidth="1"/>
    <col min="15107" max="15107" width="9.109375" style="631"/>
    <col min="15108" max="15108" width="14.109375" style="631" customWidth="1"/>
    <col min="15109" max="15109" width="12.88671875" style="631" customWidth="1"/>
    <col min="15110" max="15110" width="16.88671875" style="631" customWidth="1"/>
    <col min="15111" max="15111" width="16.5546875" style="631" customWidth="1"/>
    <col min="15112" max="15112" width="17.109375" style="631" customWidth="1"/>
    <col min="15113" max="15113" width="22.109375" style="631" customWidth="1"/>
    <col min="15114" max="15114" width="9.109375" style="631"/>
    <col min="15115" max="15115" width="14.33203125" style="631" bestFit="1" customWidth="1"/>
    <col min="15116" max="15361" width="9.109375" style="631"/>
    <col min="15362" max="15362" width="76" style="631" customWidth="1"/>
    <col min="15363" max="15363" width="9.109375" style="631"/>
    <col min="15364" max="15364" width="14.109375" style="631" customWidth="1"/>
    <col min="15365" max="15365" width="12.88671875" style="631" customWidth="1"/>
    <col min="15366" max="15366" width="16.88671875" style="631" customWidth="1"/>
    <col min="15367" max="15367" width="16.5546875" style="631" customWidth="1"/>
    <col min="15368" max="15368" width="17.109375" style="631" customWidth="1"/>
    <col min="15369" max="15369" width="22.109375" style="631" customWidth="1"/>
    <col min="15370" max="15370" width="9.109375" style="631"/>
    <col min="15371" max="15371" width="14.33203125" style="631" bestFit="1" customWidth="1"/>
    <col min="15372" max="15617" width="9.109375" style="631"/>
    <col min="15618" max="15618" width="76" style="631" customWidth="1"/>
    <col min="15619" max="15619" width="9.109375" style="631"/>
    <col min="15620" max="15620" width="14.109375" style="631" customWidth="1"/>
    <col min="15621" max="15621" width="12.88671875" style="631" customWidth="1"/>
    <col min="15622" max="15622" width="16.88671875" style="631" customWidth="1"/>
    <col min="15623" max="15623" width="16.5546875" style="631" customWidth="1"/>
    <col min="15624" max="15624" width="17.109375" style="631" customWidth="1"/>
    <col min="15625" max="15625" width="22.109375" style="631" customWidth="1"/>
    <col min="15626" max="15626" width="9.109375" style="631"/>
    <col min="15627" max="15627" width="14.33203125" style="631" bestFit="1" customWidth="1"/>
    <col min="15628" max="15873" width="9.109375" style="631"/>
    <col min="15874" max="15874" width="76" style="631" customWidth="1"/>
    <col min="15875" max="15875" width="9.109375" style="631"/>
    <col min="15876" max="15876" width="14.109375" style="631" customWidth="1"/>
    <col min="15877" max="15877" width="12.88671875" style="631" customWidth="1"/>
    <col min="15878" max="15878" width="16.88671875" style="631" customWidth="1"/>
    <col min="15879" max="15879" width="16.5546875" style="631" customWidth="1"/>
    <col min="15880" max="15880" width="17.109375" style="631" customWidth="1"/>
    <col min="15881" max="15881" width="22.109375" style="631" customWidth="1"/>
    <col min="15882" max="15882" width="9.109375" style="631"/>
    <col min="15883" max="15883" width="14.33203125" style="631" bestFit="1" customWidth="1"/>
    <col min="15884" max="16129" width="9.109375" style="631"/>
    <col min="16130" max="16130" width="76" style="631" customWidth="1"/>
    <col min="16131" max="16131" width="9.109375" style="631"/>
    <col min="16132" max="16132" width="14.109375" style="631" customWidth="1"/>
    <col min="16133" max="16133" width="12.88671875" style="631" customWidth="1"/>
    <col min="16134" max="16134" width="16.88671875" style="631" customWidth="1"/>
    <col min="16135" max="16135" width="16.5546875" style="631" customWidth="1"/>
    <col min="16136" max="16136" width="17.109375" style="631" customWidth="1"/>
    <col min="16137" max="16137" width="22.109375" style="631" customWidth="1"/>
    <col min="16138" max="16138" width="9.109375" style="631"/>
    <col min="16139" max="16139" width="14.33203125" style="631" bestFit="1" customWidth="1"/>
    <col min="16140" max="16384" width="9.109375" style="631"/>
  </cols>
  <sheetData>
    <row r="1" spans="1:10" x14ac:dyDescent="0.3">
      <c r="A1" s="1444" t="s">
        <v>22</v>
      </c>
      <c r="B1" s="1445" t="s">
        <v>1</v>
      </c>
      <c r="C1" s="1446" t="s">
        <v>23</v>
      </c>
      <c r="D1" s="1447" t="s">
        <v>24</v>
      </c>
      <c r="E1" s="1448" t="s">
        <v>25</v>
      </c>
      <c r="F1" s="1448"/>
      <c r="G1" s="1449" t="s">
        <v>26</v>
      </c>
      <c r="H1" s="1449"/>
      <c r="I1" s="1442" t="s">
        <v>27</v>
      </c>
    </row>
    <row r="2" spans="1:10" x14ac:dyDescent="0.3">
      <c r="A2" s="1444"/>
      <c r="B2" s="1445"/>
      <c r="C2" s="1446"/>
      <c r="D2" s="1447"/>
      <c r="E2" s="632" t="s">
        <v>28</v>
      </c>
      <c r="F2" s="632" t="s">
        <v>29</v>
      </c>
      <c r="G2" s="633" t="s">
        <v>28</v>
      </c>
      <c r="H2" s="633" t="s">
        <v>30</v>
      </c>
      <c r="I2" s="1443"/>
      <c r="J2" s="634"/>
    </row>
    <row r="3" spans="1:10" ht="21.8" customHeight="1" thickBot="1" x14ac:dyDescent="0.35">
      <c r="A3" s="635" t="s">
        <v>1799</v>
      </c>
      <c r="B3" s="636" t="s">
        <v>1077</v>
      </c>
      <c r="C3" s="637"/>
      <c r="D3" s="638"/>
      <c r="E3" s="639"/>
      <c r="F3" s="639"/>
      <c r="G3" s="640"/>
      <c r="H3" s="640"/>
      <c r="I3" s="641">
        <f>SUM(I30+I24+I14+I4+I38)</f>
        <v>9621372.5285299998</v>
      </c>
    </row>
    <row r="4" spans="1:10" ht="15.65" x14ac:dyDescent="0.3">
      <c r="A4" s="642" t="s">
        <v>1800</v>
      </c>
      <c r="B4" s="643" t="s">
        <v>1159</v>
      </c>
      <c r="C4" s="644" t="s">
        <v>74</v>
      </c>
      <c r="D4" s="645">
        <f>501.34+733.6+49.59+18.5328+215.34+130.66+9.46+321.31+54.38+276.11+577.95+148.85+29.52+471.5</f>
        <v>3538.1427999999996</v>
      </c>
      <c r="E4" s="646">
        <f>PRODUCT(G4,1/D4)</f>
        <v>900.00000000000011</v>
      </c>
      <c r="F4" s="646">
        <f>PRODUCT(H4,1/D4)</f>
        <v>939.71397507415475</v>
      </c>
      <c r="G4" s="646">
        <f>SUM(G5:G13)</f>
        <v>3184328.52</v>
      </c>
      <c r="H4" s="646">
        <f>SUM(H5:H13)</f>
        <v>3324842.2349679996</v>
      </c>
      <c r="I4" s="647">
        <f>G4+H4</f>
        <v>6509170.7549679996</v>
      </c>
    </row>
    <row r="5" spans="1:10" ht="15.65" x14ac:dyDescent="0.3">
      <c r="A5" s="648" t="s">
        <v>1801</v>
      </c>
      <c r="B5" s="687" t="s">
        <v>1836</v>
      </c>
      <c r="C5" s="650" t="s">
        <v>1161</v>
      </c>
      <c r="D5" s="651">
        <f>PRODUCT(D4,0.15,1/10)</f>
        <v>53.072141999999999</v>
      </c>
      <c r="E5" s="652">
        <v>150</v>
      </c>
      <c r="F5" s="653">
        <v>456</v>
      </c>
      <c r="G5" s="654">
        <f>D4*E5</f>
        <v>530721.41999999993</v>
      </c>
      <c r="H5" s="653">
        <f>PRODUCT(D5,F5)</f>
        <v>24200.896752000001</v>
      </c>
      <c r="I5" s="655">
        <f t="shared" ref="I5:I37" si="0">G5+H5</f>
        <v>554922.3167519999</v>
      </c>
    </row>
    <row r="6" spans="1:10" ht="15.65" x14ac:dyDescent="0.3">
      <c r="A6" s="648" t="s">
        <v>1802</v>
      </c>
      <c r="B6" s="687" t="s">
        <v>1837</v>
      </c>
      <c r="C6" s="650" t="s">
        <v>1163</v>
      </c>
      <c r="D6" s="656">
        <f>PRODUCT(D4,0.15,1.1)</f>
        <v>583.79356200000007</v>
      </c>
      <c r="E6" s="657">
        <v>140</v>
      </c>
      <c r="F6" s="653">
        <v>3650</v>
      </c>
      <c r="G6" s="658">
        <f>D4*E6</f>
        <v>495339.99199999997</v>
      </c>
      <c r="H6" s="653">
        <f t="shared" ref="H6:H13" si="1">PRODUCT(D6,F6)</f>
        <v>2130846.5013000001</v>
      </c>
      <c r="I6" s="655">
        <f t="shared" si="0"/>
        <v>2626186.4933000002</v>
      </c>
    </row>
    <row r="7" spans="1:10" ht="15.65" x14ac:dyDescent="0.3">
      <c r="A7" s="648" t="s">
        <v>1803</v>
      </c>
      <c r="B7" s="685" t="s">
        <v>1164</v>
      </c>
      <c r="C7" s="650" t="s">
        <v>96</v>
      </c>
      <c r="D7" s="651">
        <f>PRODUCT(D4,6)</f>
        <v>21228.856799999998</v>
      </c>
      <c r="E7" s="657">
        <v>0</v>
      </c>
      <c r="F7" s="653">
        <v>10.5</v>
      </c>
      <c r="G7" s="654">
        <f>D4*E7</f>
        <v>0</v>
      </c>
      <c r="H7" s="653">
        <f t="shared" si="1"/>
        <v>222902.99639999997</v>
      </c>
      <c r="I7" s="655">
        <f t="shared" si="0"/>
        <v>222902.99639999997</v>
      </c>
    </row>
    <row r="8" spans="1:10" ht="15.65" x14ac:dyDescent="0.3">
      <c r="A8" s="648" t="s">
        <v>1804</v>
      </c>
      <c r="B8" s="685" t="s">
        <v>1165</v>
      </c>
      <c r="C8" s="650" t="s">
        <v>1166</v>
      </c>
      <c r="D8" s="651">
        <f>PRODUCT(D4,1.1,1/50)</f>
        <v>77.839141599999991</v>
      </c>
      <c r="E8" s="657">
        <v>0</v>
      </c>
      <c r="F8" s="653">
        <v>1875</v>
      </c>
      <c r="G8" s="654">
        <f>D4*E8</f>
        <v>0</v>
      </c>
      <c r="H8" s="653">
        <f t="shared" si="1"/>
        <v>145948.39049999998</v>
      </c>
      <c r="I8" s="655">
        <f t="shared" si="0"/>
        <v>145948.39049999998</v>
      </c>
    </row>
    <row r="9" spans="1:10" ht="15.65" x14ac:dyDescent="0.3">
      <c r="A9" s="648" t="s">
        <v>1805</v>
      </c>
      <c r="B9" s="687" t="s">
        <v>1838</v>
      </c>
      <c r="C9" s="660" t="s">
        <v>1169</v>
      </c>
      <c r="D9" s="651">
        <f>PRODUCT(D4,6,1/25)</f>
        <v>849.15427199999988</v>
      </c>
      <c r="E9" s="657">
        <v>160</v>
      </c>
      <c r="F9" s="660">
        <v>315</v>
      </c>
      <c r="G9" s="661">
        <f>D4*E9</f>
        <v>566102.848</v>
      </c>
      <c r="H9" s="653">
        <f t="shared" si="1"/>
        <v>267483.59567999997</v>
      </c>
      <c r="I9" s="662">
        <f t="shared" si="0"/>
        <v>833586.44368000003</v>
      </c>
    </row>
    <row r="10" spans="1:10" ht="15.65" x14ac:dyDescent="0.3">
      <c r="A10" s="648" t="s">
        <v>1806</v>
      </c>
      <c r="B10" s="687" t="s">
        <v>1839</v>
      </c>
      <c r="C10" s="650" t="s">
        <v>1169</v>
      </c>
      <c r="D10" s="651">
        <f>PRODUCT(D4,6,1/25)</f>
        <v>849.15427199999988</v>
      </c>
      <c r="E10" s="657">
        <v>160</v>
      </c>
      <c r="F10" s="653">
        <v>339</v>
      </c>
      <c r="G10" s="658">
        <f>D4*E10</f>
        <v>566102.848</v>
      </c>
      <c r="H10" s="653">
        <f t="shared" si="1"/>
        <v>287863.29820799996</v>
      </c>
      <c r="I10" s="664">
        <f t="shared" si="0"/>
        <v>853966.1462079999</v>
      </c>
    </row>
    <row r="11" spans="1:10" ht="15.65" x14ac:dyDescent="0.3">
      <c r="A11" s="648" t="s">
        <v>1807</v>
      </c>
      <c r="B11" s="687" t="s">
        <v>1840</v>
      </c>
      <c r="C11" s="650" t="s">
        <v>1841</v>
      </c>
      <c r="D11" s="651">
        <f>PRODUCT(D4,0.2,1/25)</f>
        <v>28.305142400000001</v>
      </c>
      <c r="E11" s="657">
        <v>150</v>
      </c>
      <c r="F11" s="653">
        <v>1810</v>
      </c>
      <c r="G11" s="654">
        <f>D4*E11</f>
        <v>530721.41999999993</v>
      </c>
      <c r="H11" s="653">
        <f t="shared" si="1"/>
        <v>51232.307744000005</v>
      </c>
      <c r="I11" s="664">
        <f t="shared" si="0"/>
        <v>581953.72774399992</v>
      </c>
    </row>
    <row r="12" spans="1:10" ht="15.65" x14ac:dyDescent="0.3">
      <c r="A12" s="648" t="s">
        <v>1808</v>
      </c>
      <c r="B12" s="687" t="s">
        <v>1842</v>
      </c>
      <c r="C12" s="650" t="s">
        <v>1169</v>
      </c>
      <c r="D12" s="651">
        <f>PRODUCT(D4,3,1/25)</f>
        <v>424.57713599999994</v>
      </c>
      <c r="E12" s="652">
        <v>140</v>
      </c>
      <c r="F12" s="653">
        <v>444</v>
      </c>
      <c r="G12" s="654">
        <f>D4*E12</f>
        <v>495339.99199999997</v>
      </c>
      <c r="H12" s="653">
        <f t="shared" si="1"/>
        <v>188512.24838399998</v>
      </c>
      <c r="I12" s="664">
        <f t="shared" si="0"/>
        <v>683852.24038399989</v>
      </c>
    </row>
    <row r="13" spans="1:10" ht="15.65" x14ac:dyDescent="0.3">
      <c r="A13" s="648" t="s">
        <v>1809</v>
      </c>
      <c r="B13" s="685" t="s">
        <v>1173</v>
      </c>
      <c r="C13" s="650" t="s">
        <v>1174</v>
      </c>
      <c r="D13" s="656">
        <f>ROUND((72.06*2+66.74*2+22.8+22.3+6.6+4.29)/2.5,0)</f>
        <v>133</v>
      </c>
      <c r="E13" s="657">
        <v>0</v>
      </c>
      <c r="F13" s="653">
        <v>44</v>
      </c>
      <c r="G13" s="654">
        <f>D4*E13</f>
        <v>0</v>
      </c>
      <c r="H13" s="653">
        <f t="shared" si="1"/>
        <v>5852</v>
      </c>
      <c r="I13" s="664">
        <f t="shared" si="0"/>
        <v>5852</v>
      </c>
    </row>
    <row r="14" spans="1:10" ht="15.65" x14ac:dyDescent="0.3">
      <c r="A14" s="642" t="s">
        <v>1810</v>
      </c>
      <c r="B14" s="686" t="s">
        <v>1175</v>
      </c>
      <c r="C14" s="644" t="s">
        <v>74</v>
      </c>
      <c r="D14" s="645">
        <f>102.14+15.62+280.65</f>
        <v>398.40999999999997</v>
      </c>
      <c r="E14" s="646">
        <f>PRODUCT(G14,1/D14)</f>
        <v>900.00000000000011</v>
      </c>
      <c r="F14" s="646">
        <f>PRODUCT(H14,1/D14)</f>
        <v>742.5006327652419</v>
      </c>
      <c r="G14" s="646">
        <f>SUM(G15:G23)</f>
        <v>358569</v>
      </c>
      <c r="H14" s="646">
        <f>SUM(H15:H23)</f>
        <v>295819.67710000003</v>
      </c>
      <c r="I14" s="647">
        <f>G14+H14</f>
        <v>654388.67709999997</v>
      </c>
    </row>
    <row r="15" spans="1:10" ht="15.65" x14ac:dyDescent="0.3">
      <c r="A15" s="648" t="s">
        <v>1811</v>
      </c>
      <c r="B15" s="687" t="s">
        <v>1836</v>
      </c>
      <c r="C15" s="650" t="s">
        <v>1161</v>
      </c>
      <c r="D15" s="651">
        <f>PRODUCT(D14,0.15,1/10)</f>
        <v>5.9761499999999996</v>
      </c>
      <c r="E15" s="652">
        <v>150</v>
      </c>
      <c r="F15" s="653">
        <v>456</v>
      </c>
      <c r="G15" s="654">
        <f>D14*E15</f>
        <v>59761.499999999993</v>
      </c>
      <c r="H15" s="653">
        <f>PRODUCT(D15,F15)</f>
        <v>2725.1243999999997</v>
      </c>
      <c r="I15" s="664">
        <f t="shared" si="0"/>
        <v>62486.624399999993</v>
      </c>
    </row>
    <row r="16" spans="1:10" ht="15.65" x14ac:dyDescent="0.3">
      <c r="A16" s="648" t="s">
        <v>1812</v>
      </c>
      <c r="B16" s="688" t="s">
        <v>1843</v>
      </c>
      <c r="C16" s="650" t="s">
        <v>1163</v>
      </c>
      <c r="D16" s="656">
        <f>PRODUCT(D14,0.11)</f>
        <v>43.825099999999999</v>
      </c>
      <c r="E16" s="657">
        <v>140</v>
      </c>
      <c r="F16" s="653">
        <v>3650</v>
      </c>
      <c r="G16" s="654">
        <f>D14*E16</f>
        <v>55777.399999999994</v>
      </c>
      <c r="H16" s="653">
        <f t="shared" ref="H16:H23" si="2">PRODUCT(D16,F16)</f>
        <v>159961.61499999999</v>
      </c>
      <c r="I16" s="664">
        <f t="shared" si="0"/>
        <v>215739.01499999998</v>
      </c>
    </row>
    <row r="17" spans="1:9" ht="15.65" x14ac:dyDescent="0.3">
      <c r="A17" s="648" t="s">
        <v>1813</v>
      </c>
      <c r="B17" s="685" t="s">
        <v>1177</v>
      </c>
      <c r="C17" s="650" t="s">
        <v>96</v>
      </c>
      <c r="D17" s="651">
        <f>PRODUCT(D14,6)</f>
        <v>2390.46</v>
      </c>
      <c r="E17" s="657">
        <v>0</v>
      </c>
      <c r="F17" s="653">
        <v>10.5</v>
      </c>
      <c r="G17" s="654">
        <f>D14*E17</f>
        <v>0</v>
      </c>
      <c r="H17" s="653">
        <f t="shared" si="2"/>
        <v>25099.83</v>
      </c>
      <c r="I17" s="664">
        <f t="shared" si="0"/>
        <v>25099.83</v>
      </c>
    </row>
    <row r="18" spans="1:9" ht="15.65" x14ac:dyDescent="0.3">
      <c r="A18" s="648" t="s">
        <v>1814</v>
      </c>
      <c r="B18" s="685" t="s">
        <v>1165</v>
      </c>
      <c r="C18" s="650" t="s">
        <v>1166</v>
      </c>
      <c r="D18" s="651">
        <f>PRODUCT(D14,1.1,1/50)</f>
        <v>8.7650199999999998</v>
      </c>
      <c r="E18" s="657">
        <v>0</v>
      </c>
      <c r="F18" s="653">
        <v>1875</v>
      </c>
      <c r="G18" s="654">
        <f>D14*E18</f>
        <v>0</v>
      </c>
      <c r="H18" s="653">
        <f t="shared" si="2"/>
        <v>16434.412499999999</v>
      </c>
      <c r="I18" s="664">
        <f t="shared" si="0"/>
        <v>16434.412499999999</v>
      </c>
    </row>
    <row r="19" spans="1:9" ht="15.65" x14ac:dyDescent="0.3">
      <c r="A19" s="648" t="s">
        <v>1815</v>
      </c>
      <c r="B19" s="687" t="s">
        <v>1838</v>
      </c>
      <c r="C19" s="660" t="s">
        <v>1169</v>
      </c>
      <c r="D19" s="651">
        <f>PRODUCT(D14,6,1/25)</f>
        <v>95.618400000000008</v>
      </c>
      <c r="E19" s="657">
        <v>160</v>
      </c>
      <c r="F19" s="660">
        <v>315</v>
      </c>
      <c r="G19" s="665">
        <f>D14*E19</f>
        <v>63745.599999999991</v>
      </c>
      <c r="H19" s="653">
        <f t="shared" si="2"/>
        <v>30119.796000000002</v>
      </c>
      <c r="I19" s="662">
        <f>G19+H19</f>
        <v>93865.395999999993</v>
      </c>
    </row>
    <row r="20" spans="1:9" ht="15.65" x14ac:dyDescent="0.3">
      <c r="A20" s="648" t="s">
        <v>1816</v>
      </c>
      <c r="B20" s="687" t="s">
        <v>1839</v>
      </c>
      <c r="C20" s="650" t="s">
        <v>1169</v>
      </c>
      <c r="D20" s="651">
        <f>PRODUCT(D14,6,1/25)</f>
        <v>95.618400000000008</v>
      </c>
      <c r="E20" s="657">
        <v>160</v>
      </c>
      <c r="F20" s="653">
        <v>339</v>
      </c>
      <c r="G20" s="654">
        <f>D14*E20</f>
        <v>63745.599999999991</v>
      </c>
      <c r="H20" s="653">
        <f t="shared" si="2"/>
        <v>32414.637600000002</v>
      </c>
      <c r="I20" s="664">
        <f t="shared" si="0"/>
        <v>96160.237599999993</v>
      </c>
    </row>
    <row r="21" spans="1:9" ht="15.65" x14ac:dyDescent="0.3">
      <c r="A21" s="648" t="s">
        <v>1817</v>
      </c>
      <c r="B21" s="687" t="s">
        <v>1840</v>
      </c>
      <c r="C21" s="650" t="s">
        <v>1841</v>
      </c>
      <c r="D21" s="651">
        <f>PRODUCT(D14,0.2,1/25)</f>
        <v>3.1872800000000003</v>
      </c>
      <c r="E21" s="657">
        <v>150</v>
      </c>
      <c r="F21" s="653">
        <v>1810</v>
      </c>
      <c r="G21" s="654">
        <f>D14*E21</f>
        <v>59761.499999999993</v>
      </c>
      <c r="H21" s="653">
        <f t="shared" si="2"/>
        <v>5768.9768000000004</v>
      </c>
      <c r="I21" s="664">
        <f t="shared" si="0"/>
        <v>65530.476799999989</v>
      </c>
    </row>
    <row r="22" spans="1:9" ht="15.65" x14ac:dyDescent="0.3">
      <c r="A22" s="648" t="s">
        <v>1818</v>
      </c>
      <c r="B22" s="687" t="s">
        <v>1842</v>
      </c>
      <c r="C22" s="650" t="s">
        <v>1169</v>
      </c>
      <c r="D22" s="651">
        <f>PRODUCT(D14,3,1/25)</f>
        <v>47.809200000000004</v>
      </c>
      <c r="E22" s="657">
        <v>140</v>
      </c>
      <c r="F22" s="653">
        <v>444</v>
      </c>
      <c r="G22" s="654">
        <f>D14*E22</f>
        <v>55777.399999999994</v>
      </c>
      <c r="H22" s="653">
        <f t="shared" si="2"/>
        <v>21227.284800000001</v>
      </c>
      <c r="I22" s="664">
        <f t="shared" si="0"/>
        <v>77004.684799999988</v>
      </c>
    </row>
    <row r="23" spans="1:9" ht="15.65" x14ac:dyDescent="0.3">
      <c r="A23" s="648" t="s">
        <v>1819</v>
      </c>
      <c r="B23" s="685" t="s">
        <v>1173</v>
      </c>
      <c r="C23" s="650" t="s">
        <v>1174</v>
      </c>
      <c r="D23" s="656">
        <f>ROUND((19.22*2+10.98*2+3.52+4.915*9+3.98*2+0.935)/2.5,0)</f>
        <v>47</v>
      </c>
      <c r="E23" s="652">
        <v>0</v>
      </c>
      <c r="F23" s="653">
        <v>44</v>
      </c>
      <c r="G23" s="654">
        <f>D14*E23</f>
        <v>0</v>
      </c>
      <c r="H23" s="653">
        <f t="shared" si="2"/>
        <v>2068</v>
      </c>
      <c r="I23" s="666">
        <f t="shared" si="0"/>
        <v>2068</v>
      </c>
    </row>
    <row r="24" spans="1:9" ht="15.65" x14ac:dyDescent="0.3">
      <c r="A24" s="642" t="s">
        <v>1820</v>
      </c>
      <c r="B24" s="686" t="s">
        <v>1178</v>
      </c>
      <c r="C24" s="644" t="s">
        <v>74</v>
      </c>
      <c r="D24" s="645">
        <f>201.08+163.7922+6.19+251.92+225.94+234.94</f>
        <v>1083.8622</v>
      </c>
      <c r="E24" s="646">
        <f>PRODUCT(G24,1/D24)</f>
        <v>600</v>
      </c>
      <c r="F24" s="646">
        <f>PRODUCT(H24,1/D24)</f>
        <v>197.21</v>
      </c>
      <c r="G24" s="646">
        <f>SUM(G25:G29)</f>
        <v>650317.32000000007</v>
      </c>
      <c r="H24" s="646">
        <f>SUM(H25:H29)</f>
        <v>213748.464462</v>
      </c>
      <c r="I24" s="667">
        <f>G24+H24</f>
        <v>864065.78446200001</v>
      </c>
    </row>
    <row r="25" spans="1:9" ht="15.65" x14ac:dyDescent="0.3">
      <c r="A25" s="648" t="s">
        <v>1821</v>
      </c>
      <c r="B25" s="687" t="s">
        <v>1836</v>
      </c>
      <c r="C25" s="650" t="s">
        <v>1161</v>
      </c>
      <c r="D25" s="651">
        <f>PRODUCT(D24,0.15,1/10)</f>
        <v>16.257933000000001</v>
      </c>
      <c r="E25" s="652">
        <v>150</v>
      </c>
      <c r="F25" s="653">
        <v>456</v>
      </c>
      <c r="G25" s="654">
        <f>D24*E25</f>
        <v>162579.33000000002</v>
      </c>
      <c r="H25" s="653">
        <f>PRODUCT(D25,F25)</f>
        <v>7413.6174480000009</v>
      </c>
      <c r="I25" s="668">
        <f t="shared" si="0"/>
        <v>169992.94744800002</v>
      </c>
    </row>
    <row r="26" spans="1:9" ht="15.65" x14ac:dyDescent="0.3">
      <c r="A26" s="648" t="s">
        <v>1822</v>
      </c>
      <c r="B26" s="685" t="s">
        <v>1165</v>
      </c>
      <c r="C26" s="650" t="s">
        <v>1166</v>
      </c>
      <c r="D26" s="651">
        <f>PRODUCT(D24,1.1,1/50)</f>
        <v>23.844968400000003</v>
      </c>
      <c r="E26" s="657">
        <v>0</v>
      </c>
      <c r="F26" s="653">
        <v>1875</v>
      </c>
      <c r="G26" s="654">
        <f>D24*E26</f>
        <v>0</v>
      </c>
      <c r="H26" s="653">
        <f>PRODUCT(D26,F26)</f>
        <v>44709.315750000002</v>
      </c>
      <c r="I26" s="668">
        <f t="shared" si="0"/>
        <v>44709.315750000002</v>
      </c>
    </row>
    <row r="27" spans="1:9" ht="15.65" x14ac:dyDescent="0.3">
      <c r="A27" s="648" t="s">
        <v>1823</v>
      </c>
      <c r="B27" s="687" t="s">
        <v>1839</v>
      </c>
      <c r="C27" s="650" t="s">
        <v>1169</v>
      </c>
      <c r="D27" s="651">
        <f>PRODUCT(D24,6,1/25)</f>
        <v>260.12692800000002</v>
      </c>
      <c r="E27" s="669">
        <v>160</v>
      </c>
      <c r="F27" s="653">
        <v>339</v>
      </c>
      <c r="G27" s="654">
        <f>D24*E27</f>
        <v>173417.95199999999</v>
      </c>
      <c r="H27" s="653">
        <f>PRODUCT(D27,F27)</f>
        <v>88183.028592000002</v>
      </c>
      <c r="I27" s="668">
        <f t="shared" si="0"/>
        <v>261600.98059200001</v>
      </c>
    </row>
    <row r="28" spans="1:9" ht="15.65" x14ac:dyDescent="0.3">
      <c r="A28" s="648" t="s">
        <v>1824</v>
      </c>
      <c r="B28" s="687" t="s">
        <v>1840</v>
      </c>
      <c r="C28" s="650" t="s">
        <v>1841</v>
      </c>
      <c r="D28" s="651">
        <f>PRODUCT(D24,0.2,1/25)</f>
        <v>8.6708976000000018</v>
      </c>
      <c r="E28" s="652">
        <v>150</v>
      </c>
      <c r="F28" s="653">
        <v>1810</v>
      </c>
      <c r="G28" s="654">
        <f>D24*E28</f>
        <v>162579.33000000002</v>
      </c>
      <c r="H28" s="653">
        <f>PRODUCT(D28,F28)</f>
        <v>15694.324656000003</v>
      </c>
      <c r="I28" s="668">
        <f t="shared" si="0"/>
        <v>178273.65465600003</v>
      </c>
    </row>
    <row r="29" spans="1:9" ht="15.65" x14ac:dyDescent="0.3">
      <c r="A29" s="648" t="s">
        <v>1825</v>
      </c>
      <c r="B29" s="687" t="s">
        <v>1842</v>
      </c>
      <c r="C29" s="650" t="s">
        <v>1169</v>
      </c>
      <c r="D29" s="651">
        <f>PRODUCT(D24,3,1/25)</f>
        <v>130.06346400000001</v>
      </c>
      <c r="E29" s="669">
        <v>140</v>
      </c>
      <c r="F29" s="653">
        <v>444</v>
      </c>
      <c r="G29" s="654">
        <f>D24*E29</f>
        <v>151740.70800000001</v>
      </c>
      <c r="H29" s="653">
        <f>PRODUCT(D29,F29)</f>
        <v>57748.178016000005</v>
      </c>
      <c r="I29" s="668">
        <f t="shared" si="0"/>
        <v>209488.886016</v>
      </c>
    </row>
    <row r="30" spans="1:9" ht="15.65" x14ac:dyDescent="0.3">
      <c r="A30" s="648" t="s">
        <v>1826</v>
      </c>
      <c r="B30" s="686" t="s">
        <v>1180</v>
      </c>
      <c r="C30" s="644" t="s">
        <v>74</v>
      </c>
      <c r="D30" s="670">
        <f>160.41+125.44+222.15</f>
        <v>508</v>
      </c>
      <c r="E30" s="646">
        <f>PRODUCT(G30,1/D30)</f>
        <v>450</v>
      </c>
      <c r="F30" s="646">
        <f>PRODUCT(H30,1/D30)</f>
        <v>607.76803149606303</v>
      </c>
      <c r="G30" s="646">
        <f>SUM(G31:G37)</f>
        <v>228600</v>
      </c>
      <c r="H30" s="646">
        <f>SUM(H31:H37)</f>
        <v>308746.16000000003</v>
      </c>
      <c r="I30" s="667">
        <f>G30+H30</f>
        <v>537346.16</v>
      </c>
    </row>
    <row r="31" spans="1:9" ht="15.65" x14ac:dyDescent="0.3">
      <c r="A31" s="648" t="s">
        <v>1827</v>
      </c>
      <c r="B31" s="685" t="s">
        <v>1165</v>
      </c>
      <c r="C31" s="650" t="s">
        <v>1166</v>
      </c>
      <c r="D31" s="651">
        <f>PRODUCT(D30,1.1,1/50)</f>
        <v>11.176000000000002</v>
      </c>
      <c r="E31" s="657">
        <v>0</v>
      </c>
      <c r="F31" s="653">
        <v>1875</v>
      </c>
      <c r="G31" s="654">
        <f>D30*E31</f>
        <v>0</v>
      </c>
      <c r="H31" s="653">
        <f t="shared" ref="H31:H37" si="3">PRODUCT(D31,F31)</f>
        <v>20955.000000000004</v>
      </c>
      <c r="I31" s="666">
        <f t="shared" si="0"/>
        <v>20955.000000000004</v>
      </c>
    </row>
    <row r="32" spans="1:9" ht="15.65" x14ac:dyDescent="0.3">
      <c r="A32" s="642" t="s">
        <v>1828</v>
      </c>
      <c r="B32" s="687" t="s">
        <v>1839</v>
      </c>
      <c r="C32" s="650" t="s">
        <v>1169</v>
      </c>
      <c r="D32" s="651">
        <f>PRODUCT(D30,6,1/25)</f>
        <v>121.92</v>
      </c>
      <c r="E32" s="669">
        <v>160</v>
      </c>
      <c r="F32" s="653">
        <v>339</v>
      </c>
      <c r="G32" s="654">
        <f>D30*E32</f>
        <v>81280</v>
      </c>
      <c r="H32" s="653">
        <f t="shared" si="3"/>
        <v>41330.879999999997</v>
      </c>
      <c r="I32" s="666">
        <f t="shared" si="0"/>
        <v>122610.88</v>
      </c>
    </row>
    <row r="33" spans="1:11" ht="15.65" x14ac:dyDescent="0.3">
      <c r="A33" s="648" t="s">
        <v>1829</v>
      </c>
      <c r="B33" s="687" t="s">
        <v>1840</v>
      </c>
      <c r="C33" s="650" t="s">
        <v>1841</v>
      </c>
      <c r="D33" s="651">
        <f>PRODUCT(D30,0.2,1/25)</f>
        <v>4.0640000000000001</v>
      </c>
      <c r="E33" s="652">
        <v>150</v>
      </c>
      <c r="F33" s="653">
        <v>1810</v>
      </c>
      <c r="G33" s="654">
        <f>D30*E33</f>
        <v>76200</v>
      </c>
      <c r="H33" s="653">
        <f t="shared" si="3"/>
        <v>7355.84</v>
      </c>
      <c r="I33" s="664">
        <f>G33+H33</f>
        <v>83555.839999999997</v>
      </c>
    </row>
    <row r="34" spans="1:11" ht="15.65" x14ac:dyDescent="0.3">
      <c r="A34" s="648" t="s">
        <v>1830</v>
      </c>
      <c r="B34" s="687" t="s">
        <v>1842</v>
      </c>
      <c r="C34" s="650" t="s">
        <v>1169</v>
      </c>
      <c r="D34" s="651">
        <f>PRODUCT(D30,3,1/25)</f>
        <v>60.96</v>
      </c>
      <c r="E34" s="669">
        <v>140</v>
      </c>
      <c r="F34" s="653">
        <v>444</v>
      </c>
      <c r="G34" s="654">
        <f>D30*E34</f>
        <v>71120</v>
      </c>
      <c r="H34" s="653">
        <f t="shared" si="3"/>
        <v>27066.240000000002</v>
      </c>
      <c r="I34" s="664">
        <f t="shared" si="0"/>
        <v>98186.240000000005</v>
      </c>
    </row>
    <row r="35" spans="1:11" ht="15.65" x14ac:dyDescent="0.3">
      <c r="A35" s="648" t="s">
        <v>1831</v>
      </c>
      <c r="B35" s="685" t="s">
        <v>1173</v>
      </c>
      <c r="C35" s="650" t="s">
        <v>1174</v>
      </c>
      <c r="D35" s="656">
        <f>ROUND(((0.8*3*5)+(1.5*6*23+1.3*2*23+1.77*2*8*23)+(1*2*3+2.1*2+1.79*2*2)+(1.485*2*23+1.485*23+1.13+0.62+1.485*4*23+1.13*4)+(2.42*2*9*23+2.44*2+1.65*24+1.65*5+2.05*3*23+2.29*2*2+2.45*2*2)+(1.24*2+1.35*2*24+1.35*2*23+1.04*2*2+2.1*2+2.79*2+2.76*2*23+2.79*2*23+1.79*2+1.85*2))/2.5,0)</f>
        <v>1126</v>
      </c>
      <c r="E35" s="669">
        <v>0</v>
      </c>
      <c r="F35" s="653">
        <v>44</v>
      </c>
      <c r="G35" s="654">
        <f>D35*E35</f>
        <v>0</v>
      </c>
      <c r="H35" s="653">
        <f t="shared" si="3"/>
        <v>49544</v>
      </c>
      <c r="I35" s="664">
        <f t="shared" si="0"/>
        <v>49544</v>
      </c>
    </row>
    <row r="36" spans="1:11" ht="15.65" x14ac:dyDescent="0.3">
      <c r="A36" s="648" t="s">
        <v>1832</v>
      </c>
      <c r="B36" s="685" t="s">
        <v>1181</v>
      </c>
      <c r="C36" s="650" t="s">
        <v>1174</v>
      </c>
      <c r="D36" s="656">
        <f>ROUND(((1.5*6*23+1.3*2*23+0.8*5)+(5.58*2*23+8.4*23+6.77*23))/2.5,0)</f>
        <v>351</v>
      </c>
      <c r="E36" s="669">
        <v>0</v>
      </c>
      <c r="F36" s="653">
        <v>125</v>
      </c>
      <c r="G36" s="654">
        <f>D36*E36</f>
        <v>0</v>
      </c>
      <c r="H36" s="653">
        <f t="shared" si="3"/>
        <v>43875</v>
      </c>
      <c r="I36" s="664">
        <f t="shared" si="0"/>
        <v>43875</v>
      </c>
    </row>
    <row r="37" spans="1:11" ht="15.65" x14ac:dyDescent="0.3">
      <c r="A37" s="648" t="s">
        <v>1833</v>
      </c>
      <c r="B37" s="685" t="s">
        <v>1182</v>
      </c>
      <c r="C37" s="671" t="s">
        <v>318</v>
      </c>
      <c r="D37" s="672">
        <f>((0.8*4*5+1.3*2*2*23+1.77*2*8*23+1.5*2*6*23)+(2.44*2+1.65*2+2.42*2*9*23+1.65*2*6*23+2.05*2*3*23+2.74*2+1.45*2*2+2.44*2))/2.5</f>
        <v>1186.1920000000002</v>
      </c>
      <c r="E37" s="657">
        <v>0</v>
      </c>
      <c r="F37" s="653">
        <v>100</v>
      </c>
      <c r="G37" s="654">
        <f>D37*E37</f>
        <v>0</v>
      </c>
      <c r="H37" s="653">
        <f t="shared" si="3"/>
        <v>118619.20000000003</v>
      </c>
      <c r="I37" s="664">
        <f t="shared" si="0"/>
        <v>118619.20000000003</v>
      </c>
    </row>
    <row r="38" spans="1:11" s="675" customFormat="1" ht="15.65" x14ac:dyDescent="0.3">
      <c r="A38" s="642" t="s">
        <v>1834</v>
      </c>
      <c r="B38" s="686" t="s">
        <v>1183</v>
      </c>
      <c r="C38" s="644" t="s">
        <v>1184</v>
      </c>
      <c r="D38" s="645">
        <f>D40+D42+D44</f>
        <v>5471.99</v>
      </c>
      <c r="E38" s="673">
        <v>140</v>
      </c>
      <c r="F38" s="646">
        <f>PRODUCT(H38,1/D38)</f>
        <v>53.056118889106159</v>
      </c>
      <c r="G38" s="674">
        <f>D38*E38</f>
        <v>766078.6</v>
      </c>
      <c r="H38" s="646">
        <f>SUM(H39:H45)</f>
        <v>290322.55200000003</v>
      </c>
      <c r="I38" s="647">
        <f>G38+H38</f>
        <v>1056401.152</v>
      </c>
      <c r="K38" s="676">
        <f>H38+H30+H24+H14+H4</f>
        <v>4433479.0885299994</v>
      </c>
    </row>
    <row r="39" spans="1:11" ht="15.65" x14ac:dyDescent="0.3">
      <c r="A39" s="648"/>
      <c r="B39" s="687" t="s">
        <v>1844</v>
      </c>
      <c r="C39" s="656" t="s">
        <v>1845</v>
      </c>
      <c r="D39" s="651">
        <f>PRODUCT(D38,0.075,1/10)</f>
        <v>41.039925000000004</v>
      </c>
      <c r="E39" s="657"/>
      <c r="F39" s="677">
        <v>640</v>
      </c>
      <c r="G39" s="654"/>
      <c r="H39" s="653">
        <f>PRODUCT(D39,F39)</f>
        <v>26265.552000000003</v>
      </c>
      <c r="I39" s="647">
        <f t="shared" ref="I39:I45" si="4">G39+H39</f>
        <v>26265.552000000003</v>
      </c>
    </row>
    <row r="40" spans="1:11" ht="15.65" x14ac:dyDescent="0.3">
      <c r="A40" s="648"/>
      <c r="B40" s="686" t="s">
        <v>1186</v>
      </c>
      <c r="C40" s="644" t="s">
        <v>1184</v>
      </c>
      <c r="D40" s="645">
        <f>49.59+215.34+102.14+163.79+15.62+9.46+6.19+61.04+54.38+234.94+29.52+225.94+21.8+21.8</f>
        <v>1211.55</v>
      </c>
      <c r="E40" s="657"/>
      <c r="F40" s="678"/>
      <c r="G40" s="654"/>
      <c r="H40" s="653"/>
      <c r="I40" s="647">
        <f t="shared" si="4"/>
        <v>0</v>
      </c>
    </row>
    <row r="41" spans="1:11" ht="15.65" x14ac:dyDescent="0.3">
      <c r="A41" s="648"/>
      <c r="B41" s="682" t="s">
        <v>1846</v>
      </c>
      <c r="C41" s="656" t="s">
        <v>44</v>
      </c>
      <c r="D41" s="650">
        <f>ROUND((0.4*D40)/25,0)</f>
        <v>19</v>
      </c>
      <c r="E41" s="657"/>
      <c r="F41" s="683">
        <v>3175</v>
      </c>
      <c r="G41" s="654"/>
      <c r="H41" s="653">
        <f>PRODUCT(D41,F41)</f>
        <v>60325</v>
      </c>
      <c r="I41" s="647">
        <f>G41+H41</f>
        <v>60325</v>
      </c>
    </row>
    <row r="42" spans="1:11" ht="15.65" x14ac:dyDescent="0.3">
      <c r="A42" s="648"/>
      <c r="B42" s="643" t="s">
        <v>1187</v>
      </c>
      <c r="C42" s="644" t="s">
        <v>1184</v>
      </c>
      <c r="D42" s="645">
        <f>501.34+733.6+201.08+18.53+130.66+26.87+41.77+321.31+276.11+55.39+42.16+577.95+251.92+471.5+97.25+63.46+280.65</f>
        <v>4091.5499999999997</v>
      </c>
      <c r="E42" s="657"/>
      <c r="F42" s="683"/>
      <c r="G42" s="654"/>
      <c r="H42" s="653"/>
      <c r="I42" s="647">
        <f t="shared" si="4"/>
        <v>0</v>
      </c>
    </row>
    <row r="43" spans="1:11" ht="15.65" x14ac:dyDescent="0.3">
      <c r="A43" s="648"/>
      <c r="B43" s="682" t="s">
        <v>1847</v>
      </c>
      <c r="C43" s="656" t="s">
        <v>44</v>
      </c>
      <c r="D43" s="650">
        <f>ROUND((0.4*D42)/25,0)</f>
        <v>65</v>
      </c>
      <c r="E43" s="657"/>
      <c r="F43" s="683">
        <v>2782</v>
      </c>
      <c r="G43" s="654"/>
      <c r="H43" s="653">
        <f>PRODUCT(D43,F43)</f>
        <v>180830</v>
      </c>
      <c r="I43" s="647">
        <f t="shared" si="4"/>
        <v>180830</v>
      </c>
    </row>
    <row r="44" spans="1:11" ht="15.65" x14ac:dyDescent="0.3">
      <c r="A44" s="648"/>
      <c r="B44" s="643" t="s">
        <v>1188</v>
      </c>
      <c r="C44" s="645" t="s">
        <v>74</v>
      </c>
      <c r="D44" s="644">
        <f>148.85+20.04</f>
        <v>168.89</v>
      </c>
      <c r="E44" s="657"/>
      <c r="F44" s="683"/>
      <c r="G44" s="654"/>
      <c r="H44" s="653"/>
      <c r="I44" s="647">
        <f t="shared" si="4"/>
        <v>0</v>
      </c>
    </row>
    <row r="45" spans="1:11" ht="15.65" x14ac:dyDescent="0.3">
      <c r="A45" s="648"/>
      <c r="B45" s="682" t="s">
        <v>1848</v>
      </c>
      <c r="C45" s="656" t="s">
        <v>44</v>
      </c>
      <c r="D45" s="650">
        <f>ROUND((0.4*D44)/25,0)</f>
        <v>3</v>
      </c>
      <c r="E45" s="657"/>
      <c r="F45" s="683">
        <v>7634</v>
      </c>
      <c r="G45" s="684"/>
      <c r="H45" s="653">
        <f>PRODUCT(D45,F45)</f>
        <v>22902</v>
      </c>
      <c r="I45" s="647">
        <f t="shared" si="4"/>
        <v>22902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scale="5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17"/>
  <sheetViews>
    <sheetView zoomScale="110" zoomScaleNormal="110" workbookViewId="0">
      <selection activeCell="E33" sqref="E33"/>
    </sheetView>
  </sheetViews>
  <sheetFormatPr defaultRowHeight="15.05" x14ac:dyDescent="0.3"/>
  <cols>
    <col min="1" max="1" width="9.109375" style="806"/>
    <col min="2" max="2" width="63.109375" style="773" customWidth="1"/>
    <col min="3" max="3" width="9.109375" style="902"/>
    <col min="4" max="4" width="14.109375" style="902" customWidth="1"/>
    <col min="5" max="5" width="12.88671875" style="903" customWidth="1"/>
    <col min="6" max="6" width="14" style="904" customWidth="1"/>
    <col min="7" max="7" width="18.88671875" style="773" customWidth="1"/>
    <col min="8" max="8" width="16.44140625" style="773" customWidth="1"/>
    <col min="9" max="9" width="18.33203125" style="773" customWidth="1"/>
    <col min="10" max="10" width="63.88671875" style="773" customWidth="1"/>
    <col min="11" max="12" width="9.109375" style="773"/>
    <col min="13" max="13" width="31.44140625" style="773" customWidth="1"/>
    <col min="14" max="257" width="9.109375" style="773"/>
    <col min="258" max="258" width="63.109375" style="773" customWidth="1"/>
    <col min="259" max="259" width="9.109375" style="773"/>
    <col min="260" max="260" width="14.109375" style="773" customWidth="1"/>
    <col min="261" max="261" width="12.88671875" style="773" customWidth="1"/>
    <col min="262" max="262" width="14" style="773" customWidth="1"/>
    <col min="263" max="263" width="18.88671875" style="773" customWidth="1"/>
    <col min="264" max="264" width="16.44140625" style="773" customWidth="1"/>
    <col min="265" max="265" width="18.33203125" style="773" customWidth="1"/>
    <col min="266" max="266" width="63.88671875" style="773" customWidth="1"/>
    <col min="267" max="268" width="9.109375" style="773"/>
    <col min="269" max="269" width="31.44140625" style="773" customWidth="1"/>
    <col min="270" max="513" width="9.109375" style="773"/>
    <col min="514" max="514" width="63.109375" style="773" customWidth="1"/>
    <col min="515" max="515" width="9.109375" style="773"/>
    <col min="516" max="516" width="14.109375" style="773" customWidth="1"/>
    <col min="517" max="517" width="12.88671875" style="773" customWidth="1"/>
    <col min="518" max="518" width="14" style="773" customWidth="1"/>
    <col min="519" max="519" width="18.88671875" style="773" customWidth="1"/>
    <col min="520" max="520" width="16.44140625" style="773" customWidth="1"/>
    <col min="521" max="521" width="18.33203125" style="773" customWidth="1"/>
    <col min="522" max="522" width="63.88671875" style="773" customWidth="1"/>
    <col min="523" max="524" width="9.109375" style="773"/>
    <col min="525" max="525" width="31.44140625" style="773" customWidth="1"/>
    <col min="526" max="769" width="9.109375" style="773"/>
    <col min="770" max="770" width="63.109375" style="773" customWidth="1"/>
    <col min="771" max="771" width="9.109375" style="773"/>
    <col min="772" max="772" width="14.109375" style="773" customWidth="1"/>
    <col min="773" max="773" width="12.88671875" style="773" customWidth="1"/>
    <col min="774" max="774" width="14" style="773" customWidth="1"/>
    <col min="775" max="775" width="18.88671875" style="773" customWidth="1"/>
    <col min="776" max="776" width="16.44140625" style="773" customWidth="1"/>
    <col min="777" max="777" width="18.33203125" style="773" customWidth="1"/>
    <col min="778" max="778" width="63.88671875" style="773" customWidth="1"/>
    <col min="779" max="780" width="9.109375" style="773"/>
    <col min="781" max="781" width="31.44140625" style="773" customWidth="1"/>
    <col min="782" max="1025" width="9.109375" style="773"/>
    <col min="1026" max="1026" width="63.109375" style="773" customWidth="1"/>
    <col min="1027" max="1027" width="9.109375" style="773"/>
    <col min="1028" max="1028" width="14.109375" style="773" customWidth="1"/>
    <col min="1029" max="1029" width="12.88671875" style="773" customWidth="1"/>
    <col min="1030" max="1030" width="14" style="773" customWidth="1"/>
    <col min="1031" max="1031" width="18.88671875" style="773" customWidth="1"/>
    <col min="1032" max="1032" width="16.44140625" style="773" customWidth="1"/>
    <col min="1033" max="1033" width="18.33203125" style="773" customWidth="1"/>
    <col min="1034" max="1034" width="63.88671875" style="773" customWidth="1"/>
    <col min="1035" max="1036" width="9.109375" style="773"/>
    <col min="1037" max="1037" width="31.44140625" style="773" customWidth="1"/>
    <col min="1038" max="1281" width="9.109375" style="773"/>
    <col min="1282" max="1282" width="63.109375" style="773" customWidth="1"/>
    <col min="1283" max="1283" width="9.109375" style="773"/>
    <col min="1284" max="1284" width="14.109375" style="773" customWidth="1"/>
    <col min="1285" max="1285" width="12.88671875" style="773" customWidth="1"/>
    <col min="1286" max="1286" width="14" style="773" customWidth="1"/>
    <col min="1287" max="1287" width="18.88671875" style="773" customWidth="1"/>
    <col min="1288" max="1288" width="16.44140625" style="773" customWidth="1"/>
    <col min="1289" max="1289" width="18.33203125" style="773" customWidth="1"/>
    <col min="1290" max="1290" width="63.88671875" style="773" customWidth="1"/>
    <col min="1291" max="1292" width="9.109375" style="773"/>
    <col min="1293" max="1293" width="31.44140625" style="773" customWidth="1"/>
    <col min="1294" max="1537" width="9.109375" style="773"/>
    <col min="1538" max="1538" width="63.109375" style="773" customWidth="1"/>
    <col min="1539" max="1539" width="9.109375" style="773"/>
    <col min="1540" max="1540" width="14.109375" style="773" customWidth="1"/>
    <col min="1541" max="1541" width="12.88671875" style="773" customWidth="1"/>
    <col min="1542" max="1542" width="14" style="773" customWidth="1"/>
    <col min="1543" max="1543" width="18.88671875" style="773" customWidth="1"/>
    <col min="1544" max="1544" width="16.44140625" style="773" customWidth="1"/>
    <col min="1545" max="1545" width="18.33203125" style="773" customWidth="1"/>
    <col min="1546" max="1546" width="63.88671875" style="773" customWidth="1"/>
    <col min="1547" max="1548" width="9.109375" style="773"/>
    <col min="1549" max="1549" width="31.44140625" style="773" customWidth="1"/>
    <col min="1550" max="1793" width="9.109375" style="773"/>
    <col min="1794" max="1794" width="63.109375" style="773" customWidth="1"/>
    <col min="1795" max="1795" width="9.109375" style="773"/>
    <col min="1796" max="1796" width="14.109375" style="773" customWidth="1"/>
    <col min="1797" max="1797" width="12.88671875" style="773" customWidth="1"/>
    <col min="1798" max="1798" width="14" style="773" customWidth="1"/>
    <col min="1799" max="1799" width="18.88671875" style="773" customWidth="1"/>
    <col min="1800" max="1800" width="16.44140625" style="773" customWidth="1"/>
    <col min="1801" max="1801" width="18.33203125" style="773" customWidth="1"/>
    <col min="1802" max="1802" width="63.88671875" style="773" customWidth="1"/>
    <col min="1803" max="1804" width="9.109375" style="773"/>
    <col min="1805" max="1805" width="31.44140625" style="773" customWidth="1"/>
    <col min="1806" max="2049" width="9.109375" style="773"/>
    <col min="2050" max="2050" width="63.109375" style="773" customWidth="1"/>
    <col min="2051" max="2051" width="9.109375" style="773"/>
    <col min="2052" max="2052" width="14.109375" style="773" customWidth="1"/>
    <col min="2053" max="2053" width="12.88671875" style="773" customWidth="1"/>
    <col min="2054" max="2054" width="14" style="773" customWidth="1"/>
    <col min="2055" max="2055" width="18.88671875" style="773" customWidth="1"/>
    <col min="2056" max="2056" width="16.44140625" style="773" customWidth="1"/>
    <col min="2057" max="2057" width="18.33203125" style="773" customWidth="1"/>
    <col min="2058" max="2058" width="63.88671875" style="773" customWidth="1"/>
    <col min="2059" max="2060" width="9.109375" style="773"/>
    <col min="2061" max="2061" width="31.44140625" style="773" customWidth="1"/>
    <col min="2062" max="2305" width="9.109375" style="773"/>
    <col min="2306" max="2306" width="63.109375" style="773" customWidth="1"/>
    <col min="2307" max="2307" width="9.109375" style="773"/>
    <col min="2308" max="2308" width="14.109375" style="773" customWidth="1"/>
    <col min="2309" max="2309" width="12.88671875" style="773" customWidth="1"/>
    <col min="2310" max="2310" width="14" style="773" customWidth="1"/>
    <col min="2311" max="2311" width="18.88671875" style="773" customWidth="1"/>
    <col min="2312" max="2312" width="16.44140625" style="773" customWidth="1"/>
    <col min="2313" max="2313" width="18.33203125" style="773" customWidth="1"/>
    <col min="2314" max="2314" width="63.88671875" style="773" customWidth="1"/>
    <col min="2315" max="2316" width="9.109375" style="773"/>
    <col min="2317" max="2317" width="31.44140625" style="773" customWidth="1"/>
    <col min="2318" max="2561" width="9.109375" style="773"/>
    <col min="2562" max="2562" width="63.109375" style="773" customWidth="1"/>
    <col min="2563" max="2563" width="9.109375" style="773"/>
    <col min="2564" max="2564" width="14.109375" style="773" customWidth="1"/>
    <col min="2565" max="2565" width="12.88671875" style="773" customWidth="1"/>
    <col min="2566" max="2566" width="14" style="773" customWidth="1"/>
    <col min="2567" max="2567" width="18.88671875" style="773" customWidth="1"/>
    <col min="2568" max="2568" width="16.44140625" style="773" customWidth="1"/>
    <col min="2569" max="2569" width="18.33203125" style="773" customWidth="1"/>
    <col min="2570" max="2570" width="63.88671875" style="773" customWidth="1"/>
    <col min="2571" max="2572" width="9.109375" style="773"/>
    <col min="2573" max="2573" width="31.44140625" style="773" customWidth="1"/>
    <col min="2574" max="2817" width="9.109375" style="773"/>
    <col min="2818" max="2818" width="63.109375" style="773" customWidth="1"/>
    <col min="2819" max="2819" width="9.109375" style="773"/>
    <col min="2820" max="2820" width="14.109375" style="773" customWidth="1"/>
    <col min="2821" max="2821" width="12.88671875" style="773" customWidth="1"/>
    <col min="2822" max="2822" width="14" style="773" customWidth="1"/>
    <col min="2823" max="2823" width="18.88671875" style="773" customWidth="1"/>
    <col min="2824" max="2824" width="16.44140625" style="773" customWidth="1"/>
    <col min="2825" max="2825" width="18.33203125" style="773" customWidth="1"/>
    <col min="2826" max="2826" width="63.88671875" style="773" customWidth="1"/>
    <col min="2827" max="2828" width="9.109375" style="773"/>
    <col min="2829" max="2829" width="31.44140625" style="773" customWidth="1"/>
    <col min="2830" max="3073" width="9.109375" style="773"/>
    <col min="3074" max="3074" width="63.109375" style="773" customWidth="1"/>
    <col min="3075" max="3075" width="9.109375" style="773"/>
    <col min="3076" max="3076" width="14.109375" style="773" customWidth="1"/>
    <col min="3077" max="3077" width="12.88671875" style="773" customWidth="1"/>
    <col min="3078" max="3078" width="14" style="773" customWidth="1"/>
    <col min="3079" max="3079" width="18.88671875" style="773" customWidth="1"/>
    <col min="3080" max="3080" width="16.44140625" style="773" customWidth="1"/>
    <col min="3081" max="3081" width="18.33203125" style="773" customWidth="1"/>
    <col min="3082" max="3082" width="63.88671875" style="773" customWidth="1"/>
    <col min="3083" max="3084" width="9.109375" style="773"/>
    <col min="3085" max="3085" width="31.44140625" style="773" customWidth="1"/>
    <col min="3086" max="3329" width="9.109375" style="773"/>
    <col min="3330" max="3330" width="63.109375" style="773" customWidth="1"/>
    <col min="3331" max="3331" width="9.109375" style="773"/>
    <col min="3332" max="3332" width="14.109375" style="773" customWidth="1"/>
    <col min="3333" max="3333" width="12.88671875" style="773" customWidth="1"/>
    <col min="3334" max="3334" width="14" style="773" customWidth="1"/>
    <col min="3335" max="3335" width="18.88671875" style="773" customWidth="1"/>
    <col min="3336" max="3336" width="16.44140625" style="773" customWidth="1"/>
    <col min="3337" max="3337" width="18.33203125" style="773" customWidth="1"/>
    <col min="3338" max="3338" width="63.88671875" style="773" customWidth="1"/>
    <col min="3339" max="3340" width="9.109375" style="773"/>
    <col min="3341" max="3341" width="31.44140625" style="773" customWidth="1"/>
    <col min="3342" max="3585" width="9.109375" style="773"/>
    <col min="3586" max="3586" width="63.109375" style="773" customWidth="1"/>
    <col min="3587" max="3587" width="9.109375" style="773"/>
    <col min="3588" max="3588" width="14.109375" style="773" customWidth="1"/>
    <col min="3589" max="3589" width="12.88671875" style="773" customWidth="1"/>
    <col min="3590" max="3590" width="14" style="773" customWidth="1"/>
    <col min="3591" max="3591" width="18.88671875" style="773" customWidth="1"/>
    <col min="3592" max="3592" width="16.44140625" style="773" customWidth="1"/>
    <col min="3593" max="3593" width="18.33203125" style="773" customWidth="1"/>
    <col min="3594" max="3594" width="63.88671875" style="773" customWidth="1"/>
    <col min="3595" max="3596" width="9.109375" style="773"/>
    <col min="3597" max="3597" width="31.44140625" style="773" customWidth="1"/>
    <col min="3598" max="3841" width="9.109375" style="773"/>
    <col min="3842" max="3842" width="63.109375" style="773" customWidth="1"/>
    <col min="3843" max="3843" width="9.109375" style="773"/>
    <col min="3844" max="3844" width="14.109375" style="773" customWidth="1"/>
    <col min="3845" max="3845" width="12.88671875" style="773" customWidth="1"/>
    <col min="3846" max="3846" width="14" style="773" customWidth="1"/>
    <col min="3847" max="3847" width="18.88671875" style="773" customWidth="1"/>
    <col min="3848" max="3848" width="16.44140625" style="773" customWidth="1"/>
    <col min="3849" max="3849" width="18.33203125" style="773" customWidth="1"/>
    <col min="3850" max="3850" width="63.88671875" style="773" customWidth="1"/>
    <col min="3851" max="3852" width="9.109375" style="773"/>
    <col min="3853" max="3853" width="31.44140625" style="773" customWidth="1"/>
    <col min="3854" max="4097" width="9.109375" style="773"/>
    <col min="4098" max="4098" width="63.109375" style="773" customWidth="1"/>
    <col min="4099" max="4099" width="9.109375" style="773"/>
    <col min="4100" max="4100" width="14.109375" style="773" customWidth="1"/>
    <col min="4101" max="4101" width="12.88671875" style="773" customWidth="1"/>
    <col min="4102" max="4102" width="14" style="773" customWidth="1"/>
    <col min="4103" max="4103" width="18.88671875" style="773" customWidth="1"/>
    <col min="4104" max="4104" width="16.44140625" style="773" customWidth="1"/>
    <col min="4105" max="4105" width="18.33203125" style="773" customWidth="1"/>
    <col min="4106" max="4106" width="63.88671875" style="773" customWidth="1"/>
    <col min="4107" max="4108" width="9.109375" style="773"/>
    <col min="4109" max="4109" width="31.44140625" style="773" customWidth="1"/>
    <col min="4110" max="4353" width="9.109375" style="773"/>
    <col min="4354" max="4354" width="63.109375" style="773" customWidth="1"/>
    <col min="4355" max="4355" width="9.109375" style="773"/>
    <col min="4356" max="4356" width="14.109375" style="773" customWidth="1"/>
    <col min="4357" max="4357" width="12.88671875" style="773" customWidth="1"/>
    <col min="4358" max="4358" width="14" style="773" customWidth="1"/>
    <col min="4359" max="4359" width="18.88671875" style="773" customWidth="1"/>
    <col min="4360" max="4360" width="16.44140625" style="773" customWidth="1"/>
    <col min="4361" max="4361" width="18.33203125" style="773" customWidth="1"/>
    <col min="4362" max="4362" width="63.88671875" style="773" customWidth="1"/>
    <col min="4363" max="4364" width="9.109375" style="773"/>
    <col min="4365" max="4365" width="31.44140625" style="773" customWidth="1"/>
    <col min="4366" max="4609" width="9.109375" style="773"/>
    <col min="4610" max="4610" width="63.109375" style="773" customWidth="1"/>
    <col min="4611" max="4611" width="9.109375" style="773"/>
    <col min="4612" max="4612" width="14.109375" style="773" customWidth="1"/>
    <col min="4613" max="4613" width="12.88671875" style="773" customWidth="1"/>
    <col min="4614" max="4614" width="14" style="773" customWidth="1"/>
    <col min="4615" max="4615" width="18.88671875" style="773" customWidth="1"/>
    <col min="4616" max="4616" width="16.44140625" style="773" customWidth="1"/>
    <col min="4617" max="4617" width="18.33203125" style="773" customWidth="1"/>
    <col min="4618" max="4618" width="63.88671875" style="773" customWidth="1"/>
    <col min="4619" max="4620" width="9.109375" style="773"/>
    <col min="4621" max="4621" width="31.44140625" style="773" customWidth="1"/>
    <col min="4622" max="4865" width="9.109375" style="773"/>
    <col min="4866" max="4866" width="63.109375" style="773" customWidth="1"/>
    <col min="4867" max="4867" width="9.109375" style="773"/>
    <col min="4868" max="4868" width="14.109375" style="773" customWidth="1"/>
    <col min="4869" max="4869" width="12.88671875" style="773" customWidth="1"/>
    <col min="4870" max="4870" width="14" style="773" customWidth="1"/>
    <col min="4871" max="4871" width="18.88671875" style="773" customWidth="1"/>
    <col min="4872" max="4872" width="16.44140625" style="773" customWidth="1"/>
    <col min="4873" max="4873" width="18.33203125" style="773" customWidth="1"/>
    <col min="4874" max="4874" width="63.88671875" style="773" customWidth="1"/>
    <col min="4875" max="4876" width="9.109375" style="773"/>
    <col min="4877" max="4877" width="31.44140625" style="773" customWidth="1"/>
    <col min="4878" max="5121" width="9.109375" style="773"/>
    <col min="5122" max="5122" width="63.109375" style="773" customWidth="1"/>
    <col min="5123" max="5123" width="9.109375" style="773"/>
    <col min="5124" max="5124" width="14.109375" style="773" customWidth="1"/>
    <col min="5125" max="5125" width="12.88671875" style="773" customWidth="1"/>
    <col min="5126" max="5126" width="14" style="773" customWidth="1"/>
    <col min="5127" max="5127" width="18.88671875" style="773" customWidth="1"/>
    <col min="5128" max="5128" width="16.44140625" style="773" customWidth="1"/>
    <col min="5129" max="5129" width="18.33203125" style="773" customWidth="1"/>
    <col min="5130" max="5130" width="63.88671875" style="773" customWidth="1"/>
    <col min="5131" max="5132" width="9.109375" style="773"/>
    <col min="5133" max="5133" width="31.44140625" style="773" customWidth="1"/>
    <col min="5134" max="5377" width="9.109375" style="773"/>
    <col min="5378" max="5378" width="63.109375" style="773" customWidth="1"/>
    <col min="5379" max="5379" width="9.109375" style="773"/>
    <col min="5380" max="5380" width="14.109375" style="773" customWidth="1"/>
    <col min="5381" max="5381" width="12.88671875" style="773" customWidth="1"/>
    <col min="5382" max="5382" width="14" style="773" customWidth="1"/>
    <col min="5383" max="5383" width="18.88671875" style="773" customWidth="1"/>
    <col min="5384" max="5384" width="16.44140625" style="773" customWidth="1"/>
    <col min="5385" max="5385" width="18.33203125" style="773" customWidth="1"/>
    <col min="5386" max="5386" width="63.88671875" style="773" customWidth="1"/>
    <col min="5387" max="5388" width="9.109375" style="773"/>
    <col min="5389" max="5389" width="31.44140625" style="773" customWidth="1"/>
    <col min="5390" max="5633" width="9.109375" style="773"/>
    <col min="5634" max="5634" width="63.109375" style="773" customWidth="1"/>
    <col min="5635" max="5635" width="9.109375" style="773"/>
    <col min="5636" max="5636" width="14.109375" style="773" customWidth="1"/>
    <col min="5637" max="5637" width="12.88671875" style="773" customWidth="1"/>
    <col min="5638" max="5638" width="14" style="773" customWidth="1"/>
    <col min="5639" max="5639" width="18.88671875" style="773" customWidth="1"/>
    <col min="5640" max="5640" width="16.44140625" style="773" customWidth="1"/>
    <col min="5641" max="5641" width="18.33203125" style="773" customWidth="1"/>
    <col min="5642" max="5642" width="63.88671875" style="773" customWidth="1"/>
    <col min="5643" max="5644" width="9.109375" style="773"/>
    <col min="5645" max="5645" width="31.44140625" style="773" customWidth="1"/>
    <col min="5646" max="5889" width="9.109375" style="773"/>
    <col min="5890" max="5890" width="63.109375" style="773" customWidth="1"/>
    <col min="5891" max="5891" width="9.109375" style="773"/>
    <col min="5892" max="5892" width="14.109375" style="773" customWidth="1"/>
    <col min="5893" max="5893" width="12.88671875" style="773" customWidth="1"/>
    <col min="5894" max="5894" width="14" style="773" customWidth="1"/>
    <col min="5895" max="5895" width="18.88671875" style="773" customWidth="1"/>
    <col min="5896" max="5896" width="16.44140625" style="773" customWidth="1"/>
    <col min="5897" max="5897" width="18.33203125" style="773" customWidth="1"/>
    <col min="5898" max="5898" width="63.88671875" style="773" customWidth="1"/>
    <col min="5899" max="5900" width="9.109375" style="773"/>
    <col min="5901" max="5901" width="31.44140625" style="773" customWidth="1"/>
    <col min="5902" max="6145" width="9.109375" style="773"/>
    <col min="6146" max="6146" width="63.109375" style="773" customWidth="1"/>
    <col min="6147" max="6147" width="9.109375" style="773"/>
    <col min="6148" max="6148" width="14.109375" style="773" customWidth="1"/>
    <col min="6149" max="6149" width="12.88671875" style="773" customWidth="1"/>
    <col min="6150" max="6150" width="14" style="773" customWidth="1"/>
    <col min="6151" max="6151" width="18.88671875" style="773" customWidth="1"/>
    <col min="6152" max="6152" width="16.44140625" style="773" customWidth="1"/>
    <col min="6153" max="6153" width="18.33203125" style="773" customWidth="1"/>
    <col min="6154" max="6154" width="63.88671875" style="773" customWidth="1"/>
    <col min="6155" max="6156" width="9.109375" style="773"/>
    <col min="6157" max="6157" width="31.44140625" style="773" customWidth="1"/>
    <col min="6158" max="6401" width="9.109375" style="773"/>
    <col min="6402" max="6402" width="63.109375" style="773" customWidth="1"/>
    <col min="6403" max="6403" width="9.109375" style="773"/>
    <col min="6404" max="6404" width="14.109375" style="773" customWidth="1"/>
    <col min="6405" max="6405" width="12.88671875" style="773" customWidth="1"/>
    <col min="6406" max="6406" width="14" style="773" customWidth="1"/>
    <col min="6407" max="6407" width="18.88671875" style="773" customWidth="1"/>
    <col min="6408" max="6408" width="16.44140625" style="773" customWidth="1"/>
    <col min="6409" max="6409" width="18.33203125" style="773" customWidth="1"/>
    <col min="6410" max="6410" width="63.88671875" style="773" customWidth="1"/>
    <col min="6411" max="6412" width="9.109375" style="773"/>
    <col min="6413" max="6413" width="31.44140625" style="773" customWidth="1"/>
    <col min="6414" max="6657" width="9.109375" style="773"/>
    <col min="6658" max="6658" width="63.109375" style="773" customWidth="1"/>
    <col min="6659" max="6659" width="9.109375" style="773"/>
    <col min="6660" max="6660" width="14.109375" style="773" customWidth="1"/>
    <col min="6661" max="6661" width="12.88671875" style="773" customWidth="1"/>
    <col min="6662" max="6662" width="14" style="773" customWidth="1"/>
    <col min="6663" max="6663" width="18.88671875" style="773" customWidth="1"/>
    <col min="6664" max="6664" width="16.44140625" style="773" customWidth="1"/>
    <col min="6665" max="6665" width="18.33203125" style="773" customWidth="1"/>
    <col min="6666" max="6666" width="63.88671875" style="773" customWidth="1"/>
    <col min="6667" max="6668" width="9.109375" style="773"/>
    <col min="6669" max="6669" width="31.44140625" style="773" customWidth="1"/>
    <col min="6670" max="6913" width="9.109375" style="773"/>
    <col min="6914" max="6914" width="63.109375" style="773" customWidth="1"/>
    <col min="6915" max="6915" width="9.109375" style="773"/>
    <col min="6916" max="6916" width="14.109375" style="773" customWidth="1"/>
    <col min="6917" max="6917" width="12.88671875" style="773" customWidth="1"/>
    <col min="6918" max="6918" width="14" style="773" customWidth="1"/>
    <col min="6919" max="6919" width="18.88671875" style="773" customWidth="1"/>
    <col min="6920" max="6920" width="16.44140625" style="773" customWidth="1"/>
    <col min="6921" max="6921" width="18.33203125" style="773" customWidth="1"/>
    <col min="6922" max="6922" width="63.88671875" style="773" customWidth="1"/>
    <col min="6923" max="6924" width="9.109375" style="773"/>
    <col min="6925" max="6925" width="31.44140625" style="773" customWidth="1"/>
    <col min="6926" max="7169" width="9.109375" style="773"/>
    <col min="7170" max="7170" width="63.109375" style="773" customWidth="1"/>
    <col min="7171" max="7171" width="9.109375" style="773"/>
    <col min="7172" max="7172" width="14.109375" style="773" customWidth="1"/>
    <col min="7173" max="7173" width="12.88671875" style="773" customWidth="1"/>
    <col min="7174" max="7174" width="14" style="773" customWidth="1"/>
    <col min="7175" max="7175" width="18.88671875" style="773" customWidth="1"/>
    <col min="7176" max="7176" width="16.44140625" style="773" customWidth="1"/>
    <col min="7177" max="7177" width="18.33203125" style="773" customWidth="1"/>
    <col min="7178" max="7178" width="63.88671875" style="773" customWidth="1"/>
    <col min="7179" max="7180" width="9.109375" style="773"/>
    <col min="7181" max="7181" width="31.44140625" style="773" customWidth="1"/>
    <col min="7182" max="7425" width="9.109375" style="773"/>
    <col min="7426" max="7426" width="63.109375" style="773" customWidth="1"/>
    <col min="7427" max="7427" width="9.109375" style="773"/>
    <col min="7428" max="7428" width="14.109375" style="773" customWidth="1"/>
    <col min="7429" max="7429" width="12.88671875" style="773" customWidth="1"/>
    <col min="7430" max="7430" width="14" style="773" customWidth="1"/>
    <col min="7431" max="7431" width="18.88671875" style="773" customWidth="1"/>
    <col min="7432" max="7432" width="16.44140625" style="773" customWidth="1"/>
    <col min="7433" max="7433" width="18.33203125" style="773" customWidth="1"/>
    <col min="7434" max="7434" width="63.88671875" style="773" customWidth="1"/>
    <col min="7435" max="7436" width="9.109375" style="773"/>
    <col min="7437" max="7437" width="31.44140625" style="773" customWidth="1"/>
    <col min="7438" max="7681" width="9.109375" style="773"/>
    <col min="7682" max="7682" width="63.109375" style="773" customWidth="1"/>
    <col min="7683" max="7683" width="9.109375" style="773"/>
    <col min="7684" max="7684" width="14.109375" style="773" customWidth="1"/>
    <col min="7685" max="7685" width="12.88671875" style="773" customWidth="1"/>
    <col min="7686" max="7686" width="14" style="773" customWidth="1"/>
    <col min="7687" max="7687" width="18.88671875" style="773" customWidth="1"/>
    <col min="7688" max="7688" width="16.44140625" style="773" customWidth="1"/>
    <col min="7689" max="7689" width="18.33203125" style="773" customWidth="1"/>
    <col min="7690" max="7690" width="63.88671875" style="773" customWidth="1"/>
    <col min="7691" max="7692" width="9.109375" style="773"/>
    <col min="7693" max="7693" width="31.44140625" style="773" customWidth="1"/>
    <col min="7694" max="7937" width="9.109375" style="773"/>
    <col min="7938" max="7938" width="63.109375" style="773" customWidth="1"/>
    <col min="7939" max="7939" width="9.109375" style="773"/>
    <col min="7940" max="7940" width="14.109375" style="773" customWidth="1"/>
    <col min="7941" max="7941" width="12.88671875" style="773" customWidth="1"/>
    <col min="7942" max="7942" width="14" style="773" customWidth="1"/>
    <col min="7943" max="7943" width="18.88671875" style="773" customWidth="1"/>
    <col min="7944" max="7944" width="16.44140625" style="773" customWidth="1"/>
    <col min="7945" max="7945" width="18.33203125" style="773" customWidth="1"/>
    <col min="7946" max="7946" width="63.88671875" style="773" customWidth="1"/>
    <col min="7947" max="7948" width="9.109375" style="773"/>
    <col min="7949" max="7949" width="31.44140625" style="773" customWidth="1"/>
    <col min="7950" max="8193" width="9.109375" style="773"/>
    <col min="8194" max="8194" width="63.109375" style="773" customWidth="1"/>
    <col min="8195" max="8195" width="9.109375" style="773"/>
    <col min="8196" max="8196" width="14.109375" style="773" customWidth="1"/>
    <col min="8197" max="8197" width="12.88671875" style="773" customWidth="1"/>
    <col min="8198" max="8198" width="14" style="773" customWidth="1"/>
    <col min="8199" max="8199" width="18.88671875" style="773" customWidth="1"/>
    <col min="8200" max="8200" width="16.44140625" style="773" customWidth="1"/>
    <col min="8201" max="8201" width="18.33203125" style="773" customWidth="1"/>
    <col min="8202" max="8202" width="63.88671875" style="773" customWidth="1"/>
    <col min="8203" max="8204" width="9.109375" style="773"/>
    <col min="8205" max="8205" width="31.44140625" style="773" customWidth="1"/>
    <col min="8206" max="8449" width="9.109375" style="773"/>
    <col min="8450" max="8450" width="63.109375" style="773" customWidth="1"/>
    <col min="8451" max="8451" width="9.109375" style="773"/>
    <col min="8452" max="8452" width="14.109375" style="773" customWidth="1"/>
    <col min="8453" max="8453" width="12.88671875" style="773" customWidth="1"/>
    <col min="8454" max="8454" width="14" style="773" customWidth="1"/>
    <col min="8455" max="8455" width="18.88671875" style="773" customWidth="1"/>
    <col min="8456" max="8456" width="16.44140625" style="773" customWidth="1"/>
    <col min="8457" max="8457" width="18.33203125" style="773" customWidth="1"/>
    <col min="8458" max="8458" width="63.88671875" style="773" customWidth="1"/>
    <col min="8459" max="8460" width="9.109375" style="773"/>
    <col min="8461" max="8461" width="31.44140625" style="773" customWidth="1"/>
    <col min="8462" max="8705" width="9.109375" style="773"/>
    <col min="8706" max="8706" width="63.109375" style="773" customWidth="1"/>
    <col min="8707" max="8707" width="9.109375" style="773"/>
    <col min="8708" max="8708" width="14.109375" style="773" customWidth="1"/>
    <col min="8709" max="8709" width="12.88671875" style="773" customWidth="1"/>
    <col min="8710" max="8710" width="14" style="773" customWidth="1"/>
    <col min="8711" max="8711" width="18.88671875" style="773" customWidth="1"/>
    <col min="8712" max="8712" width="16.44140625" style="773" customWidth="1"/>
    <col min="8713" max="8713" width="18.33203125" style="773" customWidth="1"/>
    <col min="8714" max="8714" width="63.88671875" style="773" customWidth="1"/>
    <col min="8715" max="8716" width="9.109375" style="773"/>
    <col min="8717" max="8717" width="31.44140625" style="773" customWidth="1"/>
    <col min="8718" max="8961" width="9.109375" style="773"/>
    <col min="8962" max="8962" width="63.109375" style="773" customWidth="1"/>
    <col min="8963" max="8963" width="9.109375" style="773"/>
    <col min="8964" max="8964" width="14.109375" style="773" customWidth="1"/>
    <col min="8965" max="8965" width="12.88671875" style="773" customWidth="1"/>
    <col min="8966" max="8966" width="14" style="773" customWidth="1"/>
    <col min="8967" max="8967" width="18.88671875" style="773" customWidth="1"/>
    <col min="8968" max="8968" width="16.44140625" style="773" customWidth="1"/>
    <col min="8969" max="8969" width="18.33203125" style="773" customWidth="1"/>
    <col min="8970" max="8970" width="63.88671875" style="773" customWidth="1"/>
    <col min="8971" max="8972" width="9.109375" style="773"/>
    <col min="8973" max="8973" width="31.44140625" style="773" customWidth="1"/>
    <col min="8974" max="9217" width="9.109375" style="773"/>
    <col min="9218" max="9218" width="63.109375" style="773" customWidth="1"/>
    <col min="9219" max="9219" width="9.109375" style="773"/>
    <col min="9220" max="9220" width="14.109375" style="773" customWidth="1"/>
    <col min="9221" max="9221" width="12.88671875" style="773" customWidth="1"/>
    <col min="9222" max="9222" width="14" style="773" customWidth="1"/>
    <col min="9223" max="9223" width="18.88671875" style="773" customWidth="1"/>
    <col min="9224" max="9224" width="16.44140625" style="773" customWidth="1"/>
    <col min="9225" max="9225" width="18.33203125" style="773" customWidth="1"/>
    <col min="9226" max="9226" width="63.88671875" style="773" customWidth="1"/>
    <col min="9227" max="9228" width="9.109375" style="773"/>
    <col min="9229" max="9229" width="31.44140625" style="773" customWidth="1"/>
    <col min="9230" max="9473" width="9.109375" style="773"/>
    <col min="9474" max="9474" width="63.109375" style="773" customWidth="1"/>
    <col min="9475" max="9475" width="9.109375" style="773"/>
    <col min="9476" max="9476" width="14.109375" style="773" customWidth="1"/>
    <col min="9477" max="9477" width="12.88671875" style="773" customWidth="1"/>
    <col min="9478" max="9478" width="14" style="773" customWidth="1"/>
    <col min="9479" max="9479" width="18.88671875" style="773" customWidth="1"/>
    <col min="9480" max="9480" width="16.44140625" style="773" customWidth="1"/>
    <col min="9481" max="9481" width="18.33203125" style="773" customWidth="1"/>
    <col min="9482" max="9482" width="63.88671875" style="773" customWidth="1"/>
    <col min="9483" max="9484" width="9.109375" style="773"/>
    <col min="9485" max="9485" width="31.44140625" style="773" customWidth="1"/>
    <col min="9486" max="9729" width="9.109375" style="773"/>
    <col min="9730" max="9730" width="63.109375" style="773" customWidth="1"/>
    <col min="9731" max="9731" width="9.109375" style="773"/>
    <col min="9732" max="9732" width="14.109375" style="773" customWidth="1"/>
    <col min="9733" max="9733" width="12.88671875" style="773" customWidth="1"/>
    <col min="9734" max="9734" width="14" style="773" customWidth="1"/>
    <col min="9735" max="9735" width="18.88671875" style="773" customWidth="1"/>
    <col min="9736" max="9736" width="16.44140625" style="773" customWidth="1"/>
    <col min="9737" max="9737" width="18.33203125" style="773" customWidth="1"/>
    <col min="9738" max="9738" width="63.88671875" style="773" customWidth="1"/>
    <col min="9739" max="9740" width="9.109375" style="773"/>
    <col min="9741" max="9741" width="31.44140625" style="773" customWidth="1"/>
    <col min="9742" max="9985" width="9.109375" style="773"/>
    <col min="9986" max="9986" width="63.109375" style="773" customWidth="1"/>
    <col min="9987" max="9987" width="9.109375" style="773"/>
    <col min="9988" max="9988" width="14.109375" style="773" customWidth="1"/>
    <col min="9989" max="9989" width="12.88671875" style="773" customWidth="1"/>
    <col min="9990" max="9990" width="14" style="773" customWidth="1"/>
    <col min="9991" max="9991" width="18.88671875" style="773" customWidth="1"/>
    <col min="9992" max="9992" width="16.44140625" style="773" customWidth="1"/>
    <col min="9993" max="9993" width="18.33203125" style="773" customWidth="1"/>
    <col min="9994" max="9994" width="63.88671875" style="773" customWidth="1"/>
    <col min="9995" max="9996" width="9.109375" style="773"/>
    <col min="9997" max="9997" width="31.44140625" style="773" customWidth="1"/>
    <col min="9998" max="10241" width="9.109375" style="773"/>
    <col min="10242" max="10242" width="63.109375" style="773" customWidth="1"/>
    <col min="10243" max="10243" width="9.109375" style="773"/>
    <col min="10244" max="10244" width="14.109375" style="773" customWidth="1"/>
    <col min="10245" max="10245" width="12.88671875" style="773" customWidth="1"/>
    <col min="10246" max="10246" width="14" style="773" customWidth="1"/>
    <col min="10247" max="10247" width="18.88671875" style="773" customWidth="1"/>
    <col min="10248" max="10248" width="16.44140625" style="773" customWidth="1"/>
    <col min="10249" max="10249" width="18.33203125" style="773" customWidth="1"/>
    <col min="10250" max="10250" width="63.88671875" style="773" customWidth="1"/>
    <col min="10251" max="10252" width="9.109375" style="773"/>
    <col min="10253" max="10253" width="31.44140625" style="773" customWidth="1"/>
    <col min="10254" max="10497" width="9.109375" style="773"/>
    <col min="10498" max="10498" width="63.109375" style="773" customWidth="1"/>
    <col min="10499" max="10499" width="9.109375" style="773"/>
    <col min="10500" max="10500" width="14.109375" style="773" customWidth="1"/>
    <col min="10501" max="10501" width="12.88671875" style="773" customWidth="1"/>
    <col min="10502" max="10502" width="14" style="773" customWidth="1"/>
    <col min="10503" max="10503" width="18.88671875" style="773" customWidth="1"/>
    <col min="10504" max="10504" width="16.44140625" style="773" customWidth="1"/>
    <col min="10505" max="10505" width="18.33203125" style="773" customWidth="1"/>
    <col min="10506" max="10506" width="63.88671875" style="773" customWidth="1"/>
    <col min="10507" max="10508" width="9.109375" style="773"/>
    <col min="10509" max="10509" width="31.44140625" style="773" customWidth="1"/>
    <col min="10510" max="10753" width="9.109375" style="773"/>
    <col min="10754" max="10754" width="63.109375" style="773" customWidth="1"/>
    <col min="10755" max="10755" width="9.109375" style="773"/>
    <col min="10756" max="10756" width="14.109375" style="773" customWidth="1"/>
    <col min="10757" max="10757" width="12.88671875" style="773" customWidth="1"/>
    <col min="10758" max="10758" width="14" style="773" customWidth="1"/>
    <col min="10759" max="10759" width="18.88671875" style="773" customWidth="1"/>
    <col min="10760" max="10760" width="16.44140625" style="773" customWidth="1"/>
    <col min="10761" max="10761" width="18.33203125" style="773" customWidth="1"/>
    <col min="10762" max="10762" width="63.88671875" style="773" customWidth="1"/>
    <col min="10763" max="10764" width="9.109375" style="773"/>
    <col min="10765" max="10765" width="31.44140625" style="773" customWidth="1"/>
    <col min="10766" max="11009" width="9.109375" style="773"/>
    <col min="11010" max="11010" width="63.109375" style="773" customWidth="1"/>
    <col min="11011" max="11011" width="9.109375" style="773"/>
    <col min="11012" max="11012" width="14.109375" style="773" customWidth="1"/>
    <col min="11013" max="11013" width="12.88671875" style="773" customWidth="1"/>
    <col min="11014" max="11014" width="14" style="773" customWidth="1"/>
    <col min="11015" max="11015" width="18.88671875" style="773" customWidth="1"/>
    <col min="11016" max="11016" width="16.44140625" style="773" customWidth="1"/>
    <col min="11017" max="11017" width="18.33203125" style="773" customWidth="1"/>
    <col min="11018" max="11018" width="63.88671875" style="773" customWidth="1"/>
    <col min="11019" max="11020" width="9.109375" style="773"/>
    <col min="11021" max="11021" width="31.44140625" style="773" customWidth="1"/>
    <col min="11022" max="11265" width="9.109375" style="773"/>
    <col min="11266" max="11266" width="63.109375" style="773" customWidth="1"/>
    <col min="11267" max="11267" width="9.109375" style="773"/>
    <col min="11268" max="11268" width="14.109375" style="773" customWidth="1"/>
    <col min="11269" max="11269" width="12.88671875" style="773" customWidth="1"/>
    <col min="11270" max="11270" width="14" style="773" customWidth="1"/>
    <col min="11271" max="11271" width="18.88671875" style="773" customWidth="1"/>
    <col min="11272" max="11272" width="16.44140625" style="773" customWidth="1"/>
    <col min="11273" max="11273" width="18.33203125" style="773" customWidth="1"/>
    <col min="11274" max="11274" width="63.88671875" style="773" customWidth="1"/>
    <col min="11275" max="11276" width="9.109375" style="773"/>
    <col min="11277" max="11277" width="31.44140625" style="773" customWidth="1"/>
    <col min="11278" max="11521" width="9.109375" style="773"/>
    <col min="11522" max="11522" width="63.109375" style="773" customWidth="1"/>
    <col min="11523" max="11523" width="9.109375" style="773"/>
    <col min="11524" max="11524" width="14.109375" style="773" customWidth="1"/>
    <col min="11525" max="11525" width="12.88671875" style="773" customWidth="1"/>
    <col min="11526" max="11526" width="14" style="773" customWidth="1"/>
    <col min="11527" max="11527" width="18.88671875" style="773" customWidth="1"/>
    <col min="11528" max="11528" width="16.44140625" style="773" customWidth="1"/>
    <col min="11529" max="11529" width="18.33203125" style="773" customWidth="1"/>
    <col min="11530" max="11530" width="63.88671875" style="773" customWidth="1"/>
    <col min="11531" max="11532" width="9.109375" style="773"/>
    <col min="11533" max="11533" width="31.44140625" style="773" customWidth="1"/>
    <col min="11534" max="11777" width="9.109375" style="773"/>
    <col min="11778" max="11778" width="63.109375" style="773" customWidth="1"/>
    <col min="11779" max="11779" width="9.109375" style="773"/>
    <col min="11780" max="11780" width="14.109375" style="773" customWidth="1"/>
    <col min="11781" max="11781" width="12.88671875" style="773" customWidth="1"/>
    <col min="11782" max="11782" width="14" style="773" customWidth="1"/>
    <col min="11783" max="11783" width="18.88671875" style="773" customWidth="1"/>
    <col min="11784" max="11784" width="16.44140625" style="773" customWidth="1"/>
    <col min="11785" max="11785" width="18.33203125" style="773" customWidth="1"/>
    <col min="11786" max="11786" width="63.88671875" style="773" customWidth="1"/>
    <col min="11787" max="11788" width="9.109375" style="773"/>
    <col min="11789" max="11789" width="31.44140625" style="773" customWidth="1"/>
    <col min="11790" max="12033" width="9.109375" style="773"/>
    <col min="12034" max="12034" width="63.109375" style="773" customWidth="1"/>
    <col min="12035" max="12035" width="9.109375" style="773"/>
    <col min="12036" max="12036" width="14.109375" style="773" customWidth="1"/>
    <col min="12037" max="12037" width="12.88671875" style="773" customWidth="1"/>
    <col min="12038" max="12038" width="14" style="773" customWidth="1"/>
    <col min="12039" max="12039" width="18.88671875" style="773" customWidth="1"/>
    <col min="12040" max="12040" width="16.44140625" style="773" customWidth="1"/>
    <col min="12041" max="12041" width="18.33203125" style="773" customWidth="1"/>
    <col min="12042" max="12042" width="63.88671875" style="773" customWidth="1"/>
    <col min="12043" max="12044" width="9.109375" style="773"/>
    <col min="12045" max="12045" width="31.44140625" style="773" customWidth="1"/>
    <col min="12046" max="12289" width="9.109375" style="773"/>
    <col min="12290" max="12290" width="63.109375" style="773" customWidth="1"/>
    <col min="12291" max="12291" width="9.109375" style="773"/>
    <col min="12292" max="12292" width="14.109375" style="773" customWidth="1"/>
    <col min="12293" max="12293" width="12.88671875" style="773" customWidth="1"/>
    <col min="12294" max="12294" width="14" style="773" customWidth="1"/>
    <col min="12295" max="12295" width="18.88671875" style="773" customWidth="1"/>
    <col min="12296" max="12296" width="16.44140625" style="773" customWidth="1"/>
    <col min="12297" max="12297" width="18.33203125" style="773" customWidth="1"/>
    <col min="12298" max="12298" width="63.88671875" style="773" customWidth="1"/>
    <col min="12299" max="12300" width="9.109375" style="773"/>
    <col min="12301" max="12301" width="31.44140625" style="773" customWidth="1"/>
    <col min="12302" max="12545" width="9.109375" style="773"/>
    <col min="12546" max="12546" width="63.109375" style="773" customWidth="1"/>
    <col min="12547" max="12547" width="9.109375" style="773"/>
    <col min="12548" max="12548" width="14.109375" style="773" customWidth="1"/>
    <col min="12549" max="12549" width="12.88671875" style="773" customWidth="1"/>
    <col min="12550" max="12550" width="14" style="773" customWidth="1"/>
    <col min="12551" max="12551" width="18.88671875" style="773" customWidth="1"/>
    <col min="12552" max="12552" width="16.44140625" style="773" customWidth="1"/>
    <col min="12553" max="12553" width="18.33203125" style="773" customWidth="1"/>
    <col min="12554" max="12554" width="63.88671875" style="773" customWidth="1"/>
    <col min="12555" max="12556" width="9.109375" style="773"/>
    <col min="12557" max="12557" width="31.44140625" style="773" customWidth="1"/>
    <col min="12558" max="12801" width="9.109375" style="773"/>
    <col min="12802" max="12802" width="63.109375" style="773" customWidth="1"/>
    <col min="12803" max="12803" width="9.109375" style="773"/>
    <col min="12804" max="12804" width="14.109375" style="773" customWidth="1"/>
    <col min="12805" max="12805" width="12.88671875" style="773" customWidth="1"/>
    <col min="12806" max="12806" width="14" style="773" customWidth="1"/>
    <col min="12807" max="12807" width="18.88671875" style="773" customWidth="1"/>
    <col min="12808" max="12808" width="16.44140625" style="773" customWidth="1"/>
    <col min="12809" max="12809" width="18.33203125" style="773" customWidth="1"/>
    <col min="12810" max="12810" width="63.88671875" style="773" customWidth="1"/>
    <col min="12811" max="12812" width="9.109375" style="773"/>
    <col min="12813" max="12813" width="31.44140625" style="773" customWidth="1"/>
    <col min="12814" max="13057" width="9.109375" style="773"/>
    <col min="13058" max="13058" width="63.109375" style="773" customWidth="1"/>
    <col min="13059" max="13059" width="9.109375" style="773"/>
    <col min="13060" max="13060" width="14.109375" style="773" customWidth="1"/>
    <col min="13061" max="13061" width="12.88671875" style="773" customWidth="1"/>
    <col min="13062" max="13062" width="14" style="773" customWidth="1"/>
    <col min="13063" max="13063" width="18.88671875" style="773" customWidth="1"/>
    <col min="13064" max="13064" width="16.44140625" style="773" customWidth="1"/>
    <col min="13065" max="13065" width="18.33203125" style="773" customWidth="1"/>
    <col min="13066" max="13066" width="63.88671875" style="773" customWidth="1"/>
    <col min="13067" max="13068" width="9.109375" style="773"/>
    <col min="13069" max="13069" width="31.44140625" style="773" customWidth="1"/>
    <col min="13070" max="13313" width="9.109375" style="773"/>
    <col min="13314" max="13314" width="63.109375" style="773" customWidth="1"/>
    <col min="13315" max="13315" width="9.109375" style="773"/>
    <col min="13316" max="13316" width="14.109375" style="773" customWidth="1"/>
    <col min="13317" max="13317" width="12.88671875" style="773" customWidth="1"/>
    <col min="13318" max="13318" width="14" style="773" customWidth="1"/>
    <col min="13319" max="13319" width="18.88671875" style="773" customWidth="1"/>
    <col min="13320" max="13320" width="16.44140625" style="773" customWidth="1"/>
    <col min="13321" max="13321" width="18.33203125" style="773" customWidth="1"/>
    <col min="13322" max="13322" width="63.88671875" style="773" customWidth="1"/>
    <col min="13323" max="13324" width="9.109375" style="773"/>
    <col min="13325" max="13325" width="31.44140625" style="773" customWidth="1"/>
    <col min="13326" max="13569" width="9.109375" style="773"/>
    <col min="13570" max="13570" width="63.109375" style="773" customWidth="1"/>
    <col min="13571" max="13571" width="9.109375" style="773"/>
    <col min="13572" max="13572" width="14.109375" style="773" customWidth="1"/>
    <col min="13573" max="13573" width="12.88671875" style="773" customWidth="1"/>
    <col min="13574" max="13574" width="14" style="773" customWidth="1"/>
    <col min="13575" max="13575" width="18.88671875" style="773" customWidth="1"/>
    <col min="13576" max="13576" width="16.44140625" style="773" customWidth="1"/>
    <col min="13577" max="13577" width="18.33203125" style="773" customWidth="1"/>
    <col min="13578" max="13578" width="63.88671875" style="773" customWidth="1"/>
    <col min="13579" max="13580" width="9.109375" style="773"/>
    <col min="13581" max="13581" width="31.44140625" style="773" customWidth="1"/>
    <col min="13582" max="13825" width="9.109375" style="773"/>
    <col min="13826" max="13826" width="63.109375" style="773" customWidth="1"/>
    <col min="13827" max="13827" width="9.109375" style="773"/>
    <col min="13828" max="13828" width="14.109375" style="773" customWidth="1"/>
    <col min="13829" max="13829" width="12.88671875" style="773" customWidth="1"/>
    <col min="13830" max="13830" width="14" style="773" customWidth="1"/>
    <col min="13831" max="13831" width="18.88671875" style="773" customWidth="1"/>
    <col min="13832" max="13832" width="16.44140625" style="773" customWidth="1"/>
    <col min="13833" max="13833" width="18.33203125" style="773" customWidth="1"/>
    <col min="13834" max="13834" width="63.88671875" style="773" customWidth="1"/>
    <col min="13835" max="13836" width="9.109375" style="773"/>
    <col min="13837" max="13837" width="31.44140625" style="773" customWidth="1"/>
    <col min="13838" max="14081" width="9.109375" style="773"/>
    <col min="14082" max="14082" width="63.109375" style="773" customWidth="1"/>
    <col min="14083" max="14083" width="9.109375" style="773"/>
    <col min="14084" max="14084" width="14.109375" style="773" customWidth="1"/>
    <col min="14085" max="14085" width="12.88671875" style="773" customWidth="1"/>
    <col min="14086" max="14086" width="14" style="773" customWidth="1"/>
    <col min="14087" max="14087" width="18.88671875" style="773" customWidth="1"/>
    <col min="14088" max="14088" width="16.44140625" style="773" customWidth="1"/>
    <col min="14089" max="14089" width="18.33203125" style="773" customWidth="1"/>
    <col min="14090" max="14090" width="63.88671875" style="773" customWidth="1"/>
    <col min="14091" max="14092" width="9.109375" style="773"/>
    <col min="14093" max="14093" width="31.44140625" style="773" customWidth="1"/>
    <col min="14094" max="14337" width="9.109375" style="773"/>
    <col min="14338" max="14338" width="63.109375" style="773" customWidth="1"/>
    <col min="14339" max="14339" width="9.109375" style="773"/>
    <col min="14340" max="14340" width="14.109375" style="773" customWidth="1"/>
    <col min="14341" max="14341" width="12.88671875" style="773" customWidth="1"/>
    <col min="14342" max="14342" width="14" style="773" customWidth="1"/>
    <col min="14343" max="14343" width="18.88671875" style="773" customWidth="1"/>
    <col min="14344" max="14344" width="16.44140625" style="773" customWidth="1"/>
    <col min="14345" max="14345" width="18.33203125" style="773" customWidth="1"/>
    <col min="14346" max="14346" width="63.88671875" style="773" customWidth="1"/>
    <col min="14347" max="14348" width="9.109375" style="773"/>
    <col min="14349" max="14349" width="31.44140625" style="773" customWidth="1"/>
    <col min="14350" max="14593" width="9.109375" style="773"/>
    <col min="14594" max="14594" width="63.109375" style="773" customWidth="1"/>
    <col min="14595" max="14595" width="9.109375" style="773"/>
    <col min="14596" max="14596" width="14.109375" style="773" customWidth="1"/>
    <col min="14597" max="14597" width="12.88671875" style="773" customWidth="1"/>
    <col min="14598" max="14598" width="14" style="773" customWidth="1"/>
    <col min="14599" max="14599" width="18.88671875" style="773" customWidth="1"/>
    <col min="14600" max="14600" width="16.44140625" style="773" customWidth="1"/>
    <col min="14601" max="14601" width="18.33203125" style="773" customWidth="1"/>
    <col min="14602" max="14602" width="63.88671875" style="773" customWidth="1"/>
    <col min="14603" max="14604" width="9.109375" style="773"/>
    <col min="14605" max="14605" width="31.44140625" style="773" customWidth="1"/>
    <col min="14606" max="14849" width="9.109375" style="773"/>
    <col min="14850" max="14850" width="63.109375" style="773" customWidth="1"/>
    <col min="14851" max="14851" width="9.109375" style="773"/>
    <col min="14852" max="14852" width="14.109375" style="773" customWidth="1"/>
    <col min="14853" max="14853" width="12.88671875" style="773" customWidth="1"/>
    <col min="14854" max="14854" width="14" style="773" customWidth="1"/>
    <col min="14855" max="14855" width="18.88671875" style="773" customWidth="1"/>
    <col min="14856" max="14856" width="16.44140625" style="773" customWidth="1"/>
    <col min="14857" max="14857" width="18.33203125" style="773" customWidth="1"/>
    <col min="14858" max="14858" width="63.88671875" style="773" customWidth="1"/>
    <col min="14859" max="14860" width="9.109375" style="773"/>
    <col min="14861" max="14861" width="31.44140625" style="773" customWidth="1"/>
    <col min="14862" max="15105" width="9.109375" style="773"/>
    <col min="15106" max="15106" width="63.109375" style="773" customWidth="1"/>
    <col min="15107" max="15107" width="9.109375" style="773"/>
    <col min="15108" max="15108" width="14.109375" style="773" customWidth="1"/>
    <col min="15109" max="15109" width="12.88671875" style="773" customWidth="1"/>
    <col min="15110" max="15110" width="14" style="773" customWidth="1"/>
    <col min="15111" max="15111" width="18.88671875" style="773" customWidth="1"/>
    <col min="15112" max="15112" width="16.44140625" style="773" customWidth="1"/>
    <col min="15113" max="15113" width="18.33203125" style="773" customWidth="1"/>
    <col min="15114" max="15114" width="63.88671875" style="773" customWidth="1"/>
    <col min="15115" max="15116" width="9.109375" style="773"/>
    <col min="15117" max="15117" width="31.44140625" style="773" customWidth="1"/>
    <col min="15118" max="15361" width="9.109375" style="773"/>
    <col min="15362" max="15362" width="63.109375" style="773" customWidth="1"/>
    <col min="15363" max="15363" width="9.109375" style="773"/>
    <col min="15364" max="15364" width="14.109375" style="773" customWidth="1"/>
    <col min="15365" max="15365" width="12.88671875" style="773" customWidth="1"/>
    <col min="15366" max="15366" width="14" style="773" customWidth="1"/>
    <col min="15367" max="15367" width="18.88671875" style="773" customWidth="1"/>
    <col min="15368" max="15368" width="16.44140625" style="773" customWidth="1"/>
    <col min="15369" max="15369" width="18.33203125" style="773" customWidth="1"/>
    <col min="15370" max="15370" width="63.88671875" style="773" customWidth="1"/>
    <col min="15371" max="15372" width="9.109375" style="773"/>
    <col min="15373" max="15373" width="31.44140625" style="773" customWidth="1"/>
    <col min="15374" max="15617" width="9.109375" style="773"/>
    <col min="15618" max="15618" width="63.109375" style="773" customWidth="1"/>
    <col min="15619" max="15619" width="9.109375" style="773"/>
    <col min="15620" max="15620" width="14.109375" style="773" customWidth="1"/>
    <col min="15621" max="15621" width="12.88671875" style="773" customWidth="1"/>
    <col min="15622" max="15622" width="14" style="773" customWidth="1"/>
    <col min="15623" max="15623" width="18.88671875" style="773" customWidth="1"/>
    <col min="15624" max="15624" width="16.44140625" style="773" customWidth="1"/>
    <col min="15625" max="15625" width="18.33203125" style="773" customWidth="1"/>
    <col min="15626" max="15626" width="63.88671875" style="773" customWidth="1"/>
    <col min="15627" max="15628" width="9.109375" style="773"/>
    <col min="15629" max="15629" width="31.44140625" style="773" customWidth="1"/>
    <col min="15630" max="15873" width="9.109375" style="773"/>
    <col min="15874" max="15874" width="63.109375" style="773" customWidth="1"/>
    <col min="15875" max="15875" width="9.109375" style="773"/>
    <col min="15876" max="15876" width="14.109375" style="773" customWidth="1"/>
    <col min="15877" max="15877" width="12.88671875" style="773" customWidth="1"/>
    <col min="15878" max="15878" width="14" style="773" customWidth="1"/>
    <col min="15879" max="15879" width="18.88671875" style="773" customWidth="1"/>
    <col min="15880" max="15880" width="16.44140625" style="773" customWidth="1"/>
    <col min="15881" max="15881" width="18.33203125" style="773" customWidth="1"/>
    <col min="15882" max="15882" width="63.88671875" style="773" customWidth="1"/>
    <col min="15883" max="15884" width="9.109375" style="773"/>
    <col min="15885" max="15885" width="31.44140625" style="773" customWidth="1"/>
    <col min="15886" max="16129" width="9.109375" style="773"/>
    <col min="16130" max="16130" width="63.109375" style="773" customWidth="1"/>
    <col min="16131" max="16131" width="9.109375" style="773"/>
    <col min="16132" max="16132" width="14.109375" style="773" customWidth="1"/>
    <col min="16133" max="16133" width="12.88671875" style="773" customWidth="1"/>
    <col min="16134" max="16134" width="14" style="773" customWidth="1"/>
    <col min="16135" max="16135" width="18.88671875" style="773" customWidth="1"/>
    <col min="16136" max="16136" width="16.44140625" style="773" customWidth="1"/>
    <col min="16137" max="16137" width="18.33203125" style="773" customWidth="1"/>
    <col min="16138" max="16138" width="63.88671875" style="773" customWidth="1"/>
    <col min="16139" max="16140" width="9.109375" style="773"/>
    <col min="16141" max="16141" width="31.44140625" style="773" customWidth="1"/>
    <col min="16142" max="16384" width="9.109375" style="773"/>
  </cols>
  <sheetData>
    <row r="1" spans="1:254" x14ac:dyDescent="0.3">
      <c r="A1" s="1452" t="s">
        <v>22</v>
      </c>
      <c r="B1" s="1453" t="s">
        <v>1</v>
      </c>
      <c r="C1" s="1454" t="s">
        <v>23</v>
      </c>
      <c r="D1" s="1455" t="s">
        <v>24</v>
      </c>
      <c r="E1" s="1456" t="s">
        <v>25</v>
      </c>
      <c r="F1" s="1456"/>
      <c r="G1" s="1457" t="s">
        <v>26</v>
      </c>
      <c r="H1" s="1457"/>
      <c r="I1" s="1450" t="s">
        <v>27</v>
      </c>
    </row>
    <row r="2" spans="1:254" x14ac:dyDescent="0.3">
      <c r="A2" s="1452"/>
      <c r="B2" s="1453"/>
      <c r="C2" s="1454"/>
      <c r="D2" s="1455"/>
      <c r="E2" s="774" t="s">
        <v>28</v>
      </c>
      <c r="F2" s="775" t="s">
        <v>29</v>
      </c>
      <c r="G2" s="776" t="s">
        <v>28</v>
      </c>
      <c r="H2" s="776" t="s">
        <v>30</v>
      </c>
      <c r="I2" s="1451"/>
    </row>
    <row r="3" spans="1:254" x14ac:dyDescent="0.3">
      <c r="A3" s="889" t="s">
        <v>864</v>
      </c>
      <c r="B3" s="890" t="s">
        <v>737</v>
      </c>
      <c r="C3" s="891"/>
      <c r="D3" s="891"/>
      <c r="E3" s="892"/>
      <c r="F3" s="811"/>
      <c r="G3" s="812"/>
      <c r="H3" s="812"/>
      <c r="I3" s="830">
        <f>SUM(I4:I5,I6,I13)</f>
        <v>1206056.3370517001</v>
      </c>
      <c r="J3" s="893"/>
      <c r="K3" s="893"/>
      <c r="L3" s="893"/>
      <c r="M3" s="893"/>
      <c r="N3" s="893"/>
      <c r="O3" s="893"/>
      <c r="P3" s="893"/>
      <c r="Q3" s="893"/>
      <c r="R3" s="893"/>
      <c r="S3" s="893"/>
      <c r="T3" s="893"/>
      <c r="U3" s="893"/>
      <c r="V3" s="893"/>
      <c r="W3" s="893"/>
      <c r="X3" s="893"/>
      <c r="Y3" s="893"/>
      <c r="Z3" s="893"/>
      <c r="AA3" s="893"/>
      <c r="AB3" s="893"/>
      <c r="AC3" s="893"/>
      <c r="AD3" s="893"/>
      <c r="AE3" s="893"/>
      <c r="AF3" s="893"/>
      <c r="AG3" s="893"/>
      <c r="AH3" s="893"/>
      <c r="AI3" s="893"/>
      <c r="AJ3" s="893"/>
      <c r="AK3" s="893"/>
      <c r="AL3" s="893"/>
      <c r="AM3" s="893"/>
      <c r="AN3" s="893"/>
      <c r="AO3" s="893"/>
      <c r="AP3" s="893"/>
      <c r="AQ3" s="893"/>
      <c r="AR3" s="893"/>
      <c r="AS3" s="893"/>
      <c r="AT3" s="893"/>
      <c r="AU3" s="893"/>
      <c r="AV3" s="893"/>
      <c r="AW3" s="893"/>
      <c r="AX3" s="893"/>
      <c r="AY3" s="893"/>
      <c r="AZ3" s="893"/>
      <c r="BA3" s="893"/>
      <c r="BB3" s="893"/>
      <c r="BC3" s="893"/>
      <c r="BD3" s="893"/>
      <c r="BE3" s="893"/>
      <c r="BF3" s="893"/>
      <c r="BG3" s="893"/>
      <c r="BH3" s="893"/>
      <c r="BI3" s="893"/>
      <c r="BJ3" s="893"/>
      <c r="BK3" s="893"/>
      <c r="BL3" s="893"/>
      <c r="BM3" s="893"/>
      <c r="BN3" s="893"/>
      <c r="BO3" s="893"/>
      <c r="BP3" s="893"/>
      <c r="BQ3" s="893"/>
      <c r="BR3" s="893"/>
      <c r="BS3" s="893"/>
      <c r="BT3" s="893"/>
      <c r="BU3" s="893"/>
      <c r="BV3" s="893"/>
      <c r="BW3" s="893"/>
      <c r="BX3" s="893"/>
      <c r="BY3" s="893"/>
      <c r="BZ3" s="893"/>
      <c r="CA3" s="893"/>
      <c r="CB3" s="893"/>
      <c r="CC3" s="893"/>
      <c r="CD3" s="893"/>
      <c r="CE3" s="893"/>
      <c r="CF3" s="893"/>
      <c r="CG3" s="893"/>
      <c r="CH3" s="893"/>
      <c r="CI3" s="893"/>
      <c r="CJ3" s="893"/>
      <c r="CK3" s="893"/>
      <c r="CL3" s="893"/>
      <c r="CM3" s="893"/>
      <c r="CN3" s="893"/>
      <c r="CO3" s="893"/>
      <c r="CP3" s="893"/>
      <c r="CQ3" s="893"/>
      <c r="CR3" s="893"/>
      <c r="CS3" s="893"/>
      <c r="CT3" s="893"/>
      <c r="CU3" s="893"/>
      <c r="CV3" s="893"/>
      <c r="CW3" s="893"/>
      <c r="CX3" s="893"/>
      <c r="CY3" s="893"/>
      <c r="CZ3" s="893"/>
      <c r="DA3" s="893"/>
      <c r="DB3" s="893"/>
      <c r="DC3" s="893"/>
      <c r="DD3" s="893"/>
      <c r="DE3" s="893"/>
      <c r="DF3" s="893"/>
      <c r="DG3" s="893"/>
      <c r="DH3" s="893"/>
      <c r="DI3" s="893"/>
      <c r="DJ3" s="893"/>
      <c r="DK3" s="893"/>
      <c r="DL3" s="893"/>
      <c r="DM3" s="893"/>
      <c r="DN3" s="893"/>
      <c r="DO3" s="893"/>
      <c r="DP3" s="893"/>
      <c r="DQ3" s="893"/>
      <c r="DR3" s="893"/>
      <c r="DS3" s="893"/>
      <c r="DT3" s="893"/>
      <c r="DU3" s="893"/>
      <c r="DV3" s="893"/>
      <c r="DW3" s="893"/>
      <c r="DX3" s="893"/>
      <c r="DY3" s="893"/>
      <c r="DZ3" s="893"/>
      <c r="EA3" s="893"/>
      <c r="EB3" s="893"/>
      <c r="EC3" s="893"/>
      <c r="ED3" s="893"/>
      <c r="EE3" s="893"/>
      <c r="EF3" s="893"/>
      <c r="EG3" s="893"/>
      <c r="EH3" s="893"/>
      <c r="EI3" s="893"/>
      <c r="EJ3" s="893"/>
      <c r="EK3" s="893"/>
      <c r="EL3" s="893"/>
      <c r="EM3" s="893"/>
      <c r="EN3" s="893"/>
      <c r="EO3" s="893"/>
      <c r="EP3" s="893"/>
      <c r="EQ3" s="893"/>
      <c r="ER3" s="893"/>
      <c r="ES3" s="893"/>
      <c r="ET3" s="893"/>
      <c r="EU3" s="893"/>
      <c r="EV3" s="893"/>
      <c r="EW3" s="893"/>
      <c r="EX3" s="893"/>
      <c r="EY3" s="893"/>
      <c r="EZ3" s="893"/>
      <c r="FA3" s="893"/>
      <c r="FB3" s="893"/>
      <c r="FC3" s="893"/>
      <c r="FD3" s="893"/>
      <c r="FE3" s="893"/>
      <c r="FF3" s="893"/>
      <c r="FG3" s="893"/>
      <c r="FH3" s="893"/>
      <c r="FI3" s="893"/>
      <c r="FJ3" s="893"/>
      <c r="FK3" s="893"/>
      <c r="FL3" s="893"/>
      <c r="FM3" s="893"/>
      <c r="FN3" s="893"/>
      <c r="FO3" s="893"/>
      <c r="FP3" s="893"/>
      <c r="FQ3" s="893"/>
      <c r="FR3" s="893"/>
      <c r="FS3" s="893"/>
      <c r="FT3" s="893"/>
      <c r="FU3" s="893"/>
      <c r="FV3" s="893"/>
      <c r="FW3" s="893"/>
      <c r="FX3" s="893"/>
      <c r="FY3" s="893"/>
      <c r="FZ3" s="893"/>
      <c r="GA3" s="893"/>
      <c r="GB3" s="893"/>
      <c r="GC3" s="893"/>
      <c r="GD3" s="893"/>
      <c r="GE3" s="893"/>
      <c r="GF3" s="893"/>
      <c r="GG3" s="893"/>
      <c r="GH3" s="893"/>
      <c r="GI3" s="893"/>
      <c r="GJ3" s="893"/>
      <c r="GK3" s="893"/>
      <c r="GL3" s="893"/>
      <c r="GM3" s="893"/>
      <c r="GN3" s="893"/>
      <c r="GO3" s="893"/>
      <c r="GP3" s="893"/>
      <c r="GQ3" s="893"/>
      <c r="GR3" s="893"/>
      <c r="GS3" s="893"/>
      <c r="GT3" s="893"/>
      <c r="GU3" s="893"/>
      <c r="GV3" s="893"/>
      <c r="GW3" s="893"/>
      <c r="GX3" s="893"/>
      <c r="GY3" s="893"/>
      <c r="GZ3" s="893"/>
      <c r="HA3" s="893"/>
      <c r="HB3" s="893"/>
      <c r="HC3" s="893"/>
      <c r="HD3" s="893"/>
      <c r="HE3" s="893"/>
      <c r="HF3" s="893"/>
      <c r="HG3" s="893"/>
      <c r="HH3" s="893"/>
      <c r="HI3" s="893"/>
      <c r="HJ3" s="893"/>
      <c r="HK3" s="893"/>
      <c r="HL3" s="893"/>
      <c r="HM3" s="893"/>
      <c r="HN3" s="893"/>
      <c r="HO3" s="893"/>
      <c r="HP3" s="893"/>
      <c r="HQ3" s="893"/>
      <c r="HR3" s="893"/>
      <c r="HS3" s="893"/>
      <c r="HT3" s="893"/>
      <c r="HU3" s="893"/>
      <c r="HV3" s="893"/>
      <c r="HW3" s="893"/>
      <c r="HX3" s="893"/>
      <c r="HY3" s="893"/>
      <c r="HZ3" s="893"/>
      <c r="IA3" s="893"/>
      <c r="IB3" s="893"/>
      <c r="IC3" s="893"/>
      <c r="ID3" s="893"/>
      <c r="IE3" s="893"/>
      <c r="IF3" s="893"/>
      <c r="IG3" s="893"/>
      <c r="IH3" s="893"/>
      <c r="II3" s="893"/>
      <c r="IJ3" s="893"/>
      <c r="IK3" s="893"/>
      <c r="IL3" s="893"/>
      <c r="IM3" s="893"/>
      <c r="IN3" s="893"/>
      <c r="IO3" s="893"/>
      <c r="IP3" s="893"/>
      <c r="IQ3" s="893"/>
      <c r="IR3" s="893"/>
      <c r="IS3" s="893"/>
      <c r="IT3" s="893"/>
    </row>
    <row r="4" spans="1:254" x14ac:dyDescent="0.3">
      <c r="A4" s="894" t="s">
        <v>2442</v>
      </c>
      <c r="B4" s="895" t="s">
        <v>1139</v>
      </c>
      <c r="C4" s="896" t="s">
        <v>44</v>
      </c>
      <c r="D4" s="897">
        <f>8+9+9*22</f>
        <v>215</v>
      </c>
      <c r="E4" s="804">
        <v>500</v>
      </c>
      <c r="F4" s="792"/>
      <c r="G4" s="793">
        <f>D4*E4</f>
        <v>107500</v>
      </c>
      <c r="I4" s="793">
        <f>G4+H4</f>
        <v>107500</v>
      </c>
      <c r="J4" s="893"/>
      <c r="K4" s="893"/>
      <c r="L4" s="893"/>
      <c r="M4" s="893"/>
      <c r="N4" s="893"/>
      <c r="O4" s="893"/>
      <c r="P4" s="893"/>
      <c r="Q4" s="893"/>
      <c r="R4" s="893"/>
      <c r="S4" s="893"/>
      <c r="T4" s="893"/>
      <c r="U4" s="893"/>
      <c r="V4" s="893"/>
      <c r="W4" s="893"/>
      <c r="X4" s="893"/>
      <c r="Y4" s="893"/>
      <c r="Z4" s="893"/>
      <c r="AA4" s="893"/>
      <c r="AB4" s="893"/>
      <c r="AC4" s="893"/>
      <c r="AD4" s="893"/>
      <c r="AE4" s="893"/>
      <c r="AF4" s="893"/>
      <c r="AG4" s="893"/>
      <c r="AH4" s="893"/>
      <c r="AI4" s="893"/>
      <c r="AJ4" s="893"/>
      <c r="AK4" s="893"/>
      <c r="AL4" s="893"/>
      <c r="AM4" s="893"/>
      <c r="AN4" s="893"/>
      <c r="AO4" s="893"/>
      <c r="AP4" s="893"/>
      <c r="AQ4" s="893"/>
      <c r="AR4" s="893"/>
      <c r="AS4" s="893"/>
      <c r="AT4" s="893"/>
      <c r="AU4" s="893"/>
      <c r="AV4" s="893"/>
      <c r="AW4" s="893"/>
      <c r="AX4" s="893"/>
      <c r="AY4" s="893"/>
      <c r="AZ4" s="893"/>
      <c r="BA4" s="893"/>
      <c r="BB4" s="893"/>
      <c r="BC4" s="893"/>
      <c r="BD4" s="893"/>
      <c r="BE4" s="893"/>
      <c r="BF4" s="893"/>
      <c r="BG4" s="893"/>
      <c r="BH4" s="893"/>
      <c r="BI4" s="893"/>
      <c r="BJ4" s="893"/>
      <c r="BK4" s="893"/>
      <c r="BL4" s="893"/>
      <c r="BM4" s="893"/>
      <c r="BN4" s="893"/>
      <c r="BO4" s="893"/>
      <c r="BP4" s="893"/>
      <c r="BQ4" s="893"/>
      <c r="BR4" s="893"/>
      <c r="BS4" s="893"/>
      <c r="BT4" s="893"/>
      <c r="BU4" s="893"/>
      <c r="BV4" s="893"/>
      <c r="BW4" s="893"/>
      <c r="BX4" s="893"/>
      <c r="BY4" s="893"/>
      <c r="BZ4" s="893"/>
      <c r="CA4" s="893"/>
      <c r="CB4" s="893"/>
      <c r="CC4" s="893"/>
      <c r="CD4" s="893"/>
      <c r="CE4" s="893"/>
      <c r="CF4" s="893"/>
      <c r="CG4" s="893"/>
      <c r="CH4" s="893"/>
      <c r="CI4" s="893"/>
      <c r="CJ4" s="893"/>
      <c r="CK4" s="893"/>
      <c r="CL4" s="893"/>
      <c r="CM4" s="893"/>
      <c r="CN4" s="893"/>
      <c r="CO4" s="893"/>
      <c r="CP4" s="893"/>
      <c r="CQ4" s="893"/>
      <c r="CR4" s="893"/>
      <c r="CS4" s="893"/>
      <c r="CT4" s="893"/>
      <c r="CU4" s="893"/>
      <c r="CV4" s="893"/>
      <c r="CW4" s="893"/>
      <c r="CX4" s="893"/>
      <c r="CY4" s="893"/>
      <c r="CZ4" s="893"/>
      <c r="DA4" s="893"/>
      <c r="DB4" s="893"/>
      <c r="DC4" s="893"/>
      <c r="DD4" s="893"/>
      <c r="DE4" s="893"/>
      <c r="DF4" s="893"/>
      <c r="DG4" s="893"/>
      <c r="DH4" s="893"/>
      <c r="DI4" s="893"/>
      <c r="DJ4" s="893"/>
      <c r="DK4" s="893"/>
      <c r="DL4" s="893"/>
      <c r="DM4" s="893"/>
      <c r="DN4" s="893"/>
      <c r="DO4" s="893"/>
      <c r="DP4" s="893"/>
      <c r="DQ4" s="893"/>
      <c r="DR4" s="893"/>
      <c r="DS4" s="893"/>
      <c r="DT4" s="893"/>
      <c r="DU4" s="893"/>
      <c r="DV4" s="893"/>
      <c r="DW4" s="893"/>
      <c r="DX4" s="893"/>
      <c r="DY4" s="893"/>
      <c r="DZ4" s="893"/>
      <c r="EA4" s="893"/>
      <c r="EB4" s="893"/>
      <c r="EC4" s="893"/>
      <c r="ED4" s="893"/>
      <c r="EE4" s="893"/>
      <c r="EF4" s="893"/>
      <c r="EG4" s="893"/>
      <c r="EH4" s="893"/>
      <c r="EI4" s="893"/>
      <c r="EJ4" s="893"/>
      <c r="EK4" s="893"/>
      <c r="EL4" s="893"/>
      <c r="EM4" s="893"/>
      <c r="EN4" s="893"/>
      <c r="EO4" s="893"/>
      <c r="EP4" s="893"/>
      <c r="EQ4" s="893"/>
      <c r="ER4" s="893"/>
      <c r="ES4" s="893"/>
      <c r="ET4" s="893"/>
      <c r="EU4" s="893"/>
      <c r="EV4" s="893"/>
      <c r="EW4" s="893"/>
      <c r="EX4" s="893"/>
      <c r="EY4" s="893"/>
      <c r="EZ4" s="893"/>
      <c r="FA4" s="893"/>
      <c r="FB4" s="893"/>
      <c r="FC4" s="893"/>
      <c r="FD4" s="893"/>
      <c r="FE4" s="893"/>
      <c r="FF4" s="893"/>
      <c r="FG4" s="893"/>
      <c r="FH4" s="893"/>
      <c r="FI4" s="893"/>
      <c r="FJ4" s="893"/>
      <c r="FK4" s="893"/>
      <c r="FL4" s="893"/>
      <c r="FM4" s="893"/>
      <c r="FN4" s="893"/>
      <c r="FO4" s="893"/>
      <c r="FP4" s="893"/>
      <c r="FQ4" s="893"/>
      <c r="FR4" s="893"/>
      <c r="FS4" s="893"/>
      <c r="FT4" s="893"/>
      <c r="FU4" s="893"/>
      <c r="FV4" s="893"/>
      <c r="FW4" s="893"/>
      <c r="FX4" s="893"/>
      <c r="FY4" s="893"/>
      <c r="FZ4" s="893"/>
      <c r="GA4" s="893"/>
      <c r="GB4" s="893"/>
      <c r="GC4" s="893"/>
      <c r="GD4" s="893"/>
      <c r="GE4" s="893"/>
      <c r="GF4" s="893"/>
      <c r="GG4" s="893"/>
      <c r="GH4" s="893"/>
      <c r="GI4" s="893"/>
      <c r="GJ4" s="893"/>
      <c r="GK4" s="893"/>
      <c r="GL4" s="893"/>
      <c r="GM4" s="893"/>
      <c r="GN4" s="893"/>
      <c r="GO4" s="893"/>
      <c r="GP4" s="893"/>
      <c r="GQ4" s="893"/>
      <c r="GR4" s="893"/>
      <c r="GS4" s="893"/>
      <c r="GT4" s="893"/>
      <c r="GU4" s="893"/>
      <c r="GV4" s="893"/>
      <c r="GW4" s="893"/>
      <c r="GX4" s="893"/>
      <c r="GY4" s="893"/>
      <c r="GZ4" s="893"/>
      <c r="HA4" s="893"/>
      <c r="HB4" s="893"/>
      <c r="HC4" s="893"/>
      <c r="HD4" s="893"/>
      <c r="HE4" s="893"/>
      <c r="HF4" s="893"/>
      <c r="HG4" s="893"/>
      <c r="HH4" s="893"/>
      <c r="HI4" s="893"/>
      <c r="HJ4" s="893"/>
      <c r="HK4" s="893"/>
      <c r="HL4" s="893"/>
      <c r="HM4" s="893"/>
      <c r="HN4" s="893"/>
      <c r="HO4" s="893"/>
      <c r="HP4" s="893"/>
      <c r="HQ4" s="893"/>
      <c r="HR4" s="893"/>
      <c r="HS4" s="893"/>
      <c r="HT4" s="893"/>
      <c r="HU4" s="893"/>
      <c r="HV4" s="893"/>
      <c r="HW4" s="893"/>
      <c r="HX4" s="893"/>
      <c r="HY4" s="893"/>
      <c r="HZ4" s="893"/>
      <c r="IA4" s="893"/>
      <c r="IB4" s="893"/>
      <c r="IC4" s="893"/>
      <c r="ID4" s="893"/>
      <c r="IE4" s="893"/>
      <c r="IF4" s="893"/>
      <c r="IG4" s="893"/>
      <c r="IH4" s="893"/>
      <c r="II4" s="893"/>
      <c r="IJ4" s="893"/>
      <c r="IK4" s="893"/>
      <c r="IL4" s="893"/>
      <c r="IM4" s="893"/>
      <c r="IN4" s="893"/>
      <c r="IO4" s="893"/>
      <c r="IP4" s="893"/>
      <c r="IQ4" s="893"/>
      <c r="IR4" s="893"/>
      <c r="IS4" s="893"/>
      <c r="IT4" s="893"/>
    </row>
    <row r="5" spans="1:254" x14ac:dyDescent="0.3">
      <c r="A5" s="898" t="s">
        <v>2443</v>
      </c>
      <c r="B5" s="899" t="s">
        <v>748</v>
      </c>
      <c r="C5" s="900" t="s">
        <v>44</v>
      </c>
      <c r="D5" s="901">
        <f>8*215</f>
        <v>1720</v>
      </c>
      <c r="E5" s="805"/>
      <c r="F5" s="803">
        <v>11.327999999999999</v>
      </c>
      <c r="G5" s="794"/>
      <c r="H5" s="794">
        <f>D5*F5</f>
        <v>19484.16</v>
      </c>
      <c r="I5" s="794">
        <f>G5+H5</f>
        <v>19484.16</v>
      </c>
      <c r="J5" s="893"/>
      <c r="K5" s="893"/>
      <c r="L5" s="893"/>
      <c r="M5" s="893"/>
      <c r="N5" s="893"/>
      <c r="O5" s="893"/>
      <c r="P5" s="893"/>
      <c r="Q5" s="893"/>
      <c r="R5" s="893"/>
      <c r="S5" s="893"/>
      <c r="T5" s="893"/>
      <c r="U5" s="893"/>
      <c r="V5" s="893"/>
      <c r="W5" s="893"/>
      <c r="X5" s="893"/>
      <c r="Y5" s="893"/>
      <c r="Z5" s="893"/>
      <c r="AA5" s="893"/>
      <c r="AB5" s="893"/>
      <c r="AC5" s="893"/>
      <c r="AD5" s="893"/>
      <c r="AE5" s="893"/>
      <c r="AF5" s="893"/>
      <c r="AG5" s="893"/>
      <c r="AH5" s="893"/>
      <c r="AI5" s="893"/>
      <c r="AJ5" s="893"/>
      <c r="AK5" s="893"/>
      <c r="AL5" s="893"/>
      <c r="AM5" s="893"/>
      <c r="AN5" s="893"/>
      <c r="AO5" s="893"/>
      <c r="AP5" s="893"/>
      <c r="AQ5" s="893"/>
      <c r="AR5" s="893"/>
      <c r="AS5" s="893"/>
      <c r="AT5" s="893"/>
      <c r="AU5" s="893"/>
      <c r="AV5" s="893"/>
      <c r="AW5" s="893"/>
      <c r="AX5" s="893"/>
      <c r="AY5" s="893"/>
      <c r="AZ5" s="893"/>
      <c r="BA5" s="893"/>
      <c r="BB5" s="893"/>
      <c r="BC5" s="893"/>
      <c r="BD5" s="893"/>
      <c r="BE5" s="893"/>
      <c r="BF5" s="893"/>
      <c r="BG5" s="893"/>
      <c r="BH5" s="893"/>
      <c r="BI5" s="893"/>
      <c r="BJ5" s="893"/>
      <c r="BK5" s="893"/>
      <c r="BL5" s="893"/>
      <c r="BM5" s="893"/>
      <c r="BN5" s="893"/>
      <c r="BO5" s="893"/>
      <c r="BP5" s="893"/>
      <c r="BQ5" s="893"/>
      <c r="BR5" s="893"/>
      <c r="BS5" s="893"/>
      <c r="BT5" s="893"/>
      <c r="BU5" s="893"/>
      <c r="BV5" s="893"/>
      <c r="BW5" s="893"/>
      <c r="BX5" s="893"/>
      <c r="BY5" s="893"/>
      <c r="BZ5" s="893"/>
      <c r="CA5" s="893"/>
      <c r="CB5" s="893"/>
      <c r="CC5" s="893"/>
      <c r="CD5" s="893"/>
      <c r="CE5" s="893"/>
      <c r="CF5" s="893"/>
      <c r="CG5" s="893"/>
      <c r="CH5" s="893"/>
      <c r="CI5" s="893"/>
      <c r="CJ5" s="893"/>
      <c r="CK5" s="893"/>
      <c r="CL5" s="893"/>
      <c r="CM5" s="893"/>
      <c r="CN5" s="893"/>
      <c r="CO5" s="893"/>
      <c r="CP5" s="893"/>
      <c r="CQ5" s="893"/>
      <c r="CR5" s="893"/>
      <c r="CS5" s="893"/>
      <c r="CT5" s="893"/>
      <c r="CU5" s="893"/>
      <c r="CV5" s="893"/>
      <c r="CW5" s="893"/>
      <c r="CX5" s="893"/>
      <c r="CY5" s="893"/>
      <c r="CZ5" s="893"/>
      <c r="DA5" s="893"/>
      <c r="DB5" s="893"/>
      <c r="DC5" s="893"/>
      <c r="DD5" s="893"/>
      <c r="DE5" s="893"/>
      <c r="DF5" s="893"/>
      <c r="DG5" s="893"/>
      <c r="DH5" s="893"/>
      <c r="DI5" s="893"/>
      <c r="DJ5" s="893"/>
      <c r="DK5" s="893"/>
      <c r="DL5" s="893"/>
      <c r="DM5" s="893"/>
      <c r="DN5" s="893"/>
      <c r="DO5" s="893"/>
      <c r="DP5" s="893"/>
      <c r="DQ5" s="893"/>
      <c r="DR5" s="893"/>
      <c r="DS5" s="893"/>
      <c r="DT5" s="893"/>
      <c r="DU5" s="893"/>
      <c r="DV5" s="893"/>
      <c r="DW5" s="893"/>
      <c r="DX5" s="893"/>
      <c r="DY5" s="893"/>
      <c r="DZ5" s="893"/>
      <c r="EA5" s="893"/>
      <c r="EB5" s="893"/>
      <c r="EC5" s="893"/>
      <c r="ED5" s="893"/>
      <c r="EE5" s="893"/>
      <c r="EF5" s="893"/>
      <c r="EG5" s="893"/>
      <c r="EH5" s="893"/>
      <c r="EI5" s="893"/>
      <c r="EJ5" s="893"/>
      <c r="EK5" s="893"/>
      <c r="EL5" s="893"/>
      <c r="EM5" s="893"/>
      <c r="EN5" s="893"/>
      <c r="EO5" s="893"/>
      <c r="EP5" s="893"/>
      <c r="EQ5" s="893"/>
      <c r="ER5" s="893"/>
      <c r="ES5" s="893"/>
      <c r="ET5" s="893"/>
      <c r="EU5" s="893"/>
      <c r="EV5" s="893"/>
      <c r="EW5" s="893"/>
      <c r="EX5" s="893"/>
      <c r="EY5" s="893"/>
      <c r="EZ5" s="893"/>
      <c r="FA5" s="893"/>
      <c r="FB5" s="893"/>
      <c r="FC5" s="893"/>
      <c r="FD5" s="893"/>
      <c r="FE5" s="893"/>
      <c r="FF5" s="893"/>
      <c r="FG5" s="893"/>
      <c r="FH5" s="893"/>
      <c r="FI5" s="893"/>
      <c r="FJ5" s="893"/>
      <c r="FK5" s="893"/>
      <c r="FL5" s="893"/>
      <c r="FM5" s="893"/>
      <c r="FN5" s="893"/>
      <c r="FO5" s="893"/>
      <c r="FP5" s="893"/>
      <c r="FQ5" s="893"/>
      <c r="FR5" s="893"/>
      <c r="FS5" s="893"/>
      <c r="FT5" s="893"/>
      <c r="FU5" s="893"/>
      <c r="FV5" s="893"/>
      <c r="FW5" s="893"/>
      <c r="FX5" s="893"/>
      <c r="FY5" s="893"/>
      <c r="FZ5" s="893"/>
      <c r="GA5" s="893"/>
      <c r="GB5" s="893"/>
      <c r="GC5" s="893"/>
      <c r="GD5" s="893"/>
      <c r="GE5" s="893"/>
      <c r="GF5" s="893"/>
      <c r="GG5" s="893"/>
      <c r="GH5" s="893"/>
      <c r="GI5" s="893"/>
      <c r="GJ5" s="893"/>
      <c r="GK5" s="893"/>
      <c r="GL5" s="893"/>
      <c r="GM5" s="893"/>
      <c r="GN5" s="893"/>
      <c r="GO5" s="893"/>
      <c r="GP5" s="893"/>
      <c r="GQ5" s="893"/>
      <c r="GR5" s="893"/>
      <c r="GS5" s="893"/>
      <c r="GT5" s="893"/>
      <c r="GU5" s="893"/>
      <c r="GV5" s="893"/>
      <c r="GW5" s="893"/>
      <c r="GX5" s="893"/>
      <c r="GY5" s="893"/>
      <c r="GZ5" s="893"/>
      <c r="HA5" s="893"/>
      <c r="HB5" s="893"/>
      <c r="HC5" s="893"/>
      <c r="HD5" s="893"/>
      <c r="HE5" s="893"/>
      <c r="HF5" s="893"/>
      <c r="HG5" s="893"/>
      <c r="HH5" s="893"/>
      <c r="HI5" s="893"/>
      <c r="HJ5" s="893"/>
      <c r="HK5" s="893"/>
      <c r="HL5" s="893"/>
      <c r="HM5" s="893"/>
      <c r="HN5" s="893"/>
      <c r="HO5" s="893"/>
      <c r="HP5" s="893"/>
      <c r="HQ5" s="893"/>
      <c r="HR5" s="893"/>
      <c r="HS5" s="893"/>
      <c r="HT5" s="893"/>
      <c r="HU5" s="893"/>
      <c r="HV5" s="893"/>
      <c r="HW5" s="893"/>
      <c r="HX5" s="893"/>
      <c r="HY5" s="893"/>
      <c r="HZ5" s="893"/>
      <c r="IA5" s="893"/>
      <c r="IB5" s="893"/>
      <c r="IC5" s="893"/>
      <c r="ID5" s="893"/>
      <c r="IE5" s="893"/>
      <c r="IF5" s="893"/>
      <c r="IG5" s="893"/>
      <c r="IH5" s="893"/>
      <c r="II5" s="893"/>
      <c r="IJ5" s="893"/>
      <c r="IK5" s="893"/>
      <c r="IL5" s="893"/>
      <c r="IM5" s="893"/>
      <c r="IN5" s="893"/>
      <c r="IO5" s="893"/>
      <c r="IP5" s="893"/>
      <c r="IQ5" s="893"/>
      <c r="IR5" s="893"/>
      <c r="IS5" s="893"/>
      <c r="IT5" s="893"/>
    </row>
    <row r="6" spans="1:254" x14ac:dyDescent="0.3">
      <c r="A6" s="894" t="s">
        <v>2444</v>
      </c>
      <c r="B6" s="895" t="s">
        <v>1141</v>
      </c>
      <c r="C6" s="896" t="s">
        <v>44</v>
      </c>
      <c r="D6" s="897">
        <f>215</f>
        <v>215</v>
      </c>
      <c r="E6" s="804">
        <f>SUM(-F6,3000)</f>
        <v>1506.9607790697676</v>
      </c>
      <c r="F6" s="792">
        <f>PRODUCT(H6,1/D6)</f>
        <v>1493.0392209302324</v>
      </c>
      <c r="G6" s="793">
        <f>PRODUCT(D6:E6)</f>
        <v>323996.5675</v>
      </c>
      <c r="H6" s="793">
        <f>SUM(H7:H12)</f>
        <v>321003.4325</v>
      </c>
      <c r="I6" s="793">
        <f>SUM(G6:H6)</f>
        <v>645000</v>
      </c>
      <c r="J6" s="893"/>
      <c r="K6" s="893"/>
      <c r="L6" s="893"/>
      <c r="M6" s="893"/>
      <c r="N6" s="893"/>
      <c r="O6" s="893"/>
      <c r="P6" s="893"/>
      <c r="Q6" s="893"/>
      <c r="R6" s="893"/>
      <c r="S6" s="893"/>
      <c r="T6" s="893"/>
      <c r="U6" s="893"/>
      <c r="V6" s="893"/>
      <c r="W6" s="893"/>
      <c r="X6" s="893"/>
      <c r="Y6" s="893"/>
      <c r="Z6" s="893"/>
      <c r="AA6" s="893"/>
      <c r="AB6" s="893"/>
      <c r="AC6" s="893"/>
      <c r="AD6" s="893"/>
      <c r="AE6" s="893"/>
      <c r="AF6" s="893"/>
      <c r="AG6" s="893"/>
      <c r="AH6" s="893"/>
      <c r="AI6" s="893"/>
      <c r="AJ6" s="893"/>
      <c r="AK6" s="893"/>
      <c r="AL6" s="893"/>
      <c r="AM6" s="893"/>
      <c r="AN6" s="893"/>
      <c r="AO6" s="893"/>
      <c r="AP6" s="893"/>
      <c r="AQ6" s="893"/>
      <c r="AR6" s="893"/>
      <c r="AS6" s="893"/>
      <c r="AT6" s="893"/>
      <c r="AU6" s="893"/>
      <c r="AV6" s="893"/>
      <c r="AW6" s="893"/>
      <c r="AX6" s="893"/>
      <c r="AY6" s="893"/>
      <c r="AZ6" s="893"/>
      <c r="BA6" s="893"/>
      <c r="BB6" s="893"/>
      <c r="BC6" s="893"/>
      <c r="BD6" s="893"/>
      <c r="BE6" s="893"/>
      <c r="BF6" s="893"/>
      <c r="BG6" s="893"/>
      <c r="BH6" s="893"/>
      <c r="BI6" s="893"/>
      <c r="BJ6" s="893"/>
      <c r="BK6" s="893"/>
      <c r="BL6" s="893"/>
      <c r="BM6" s="893"/>
      <c r="BN6" s="893"/>
      <c r="BO6" s="893"/>
      <c r="BP6" s="893"/>
      <c r="BQ6" s="893"/>
      <c r="BR6" s="893"/>
      <c r="BS6" s="893"/>
      <c r="BT6" s="893"/>
      <c r="BU6" s="893"/>
      <c r="BV6" s="893"/>
      <c r="BW6" s="893"/>
      <c r="BX6" s="893"/>
      <c r="BY6" s="893"/>
      <c r="BZ6" s="893"/>
      <c r="CA6" s="893"/>
      <c r="CB6" s="893"/>
      <c r="CC6" s="893"/>
      <c r="CD6" s="893"/>
      <c r="CE6" s="893"/>
      <c r="CF6" s="893"/>
      <c r="CG6" s="893"/>
      <c r="CH6" s="893"/>
      <c r="CI6" s="893"/>
      <c r="CJ6" s="893"/>
      <c r="CK6" s="893"/>
      <c r="CL6" s="893"/>
      <c r="CM6" s="893"/>
      <c r="CN6" s="893"/>
      <c r="CO6" s="893"/>
      <c r="CP6" s="893"/>
      <c r="CQ6" s="893"/>
      <c r="CR6" s="893"/>
      <c r="CS6" s="893"/>
      <c r="CT6" s="893"/>
      <c r="CU6" s="893"/>
      <c r="CV6" s="893"/>
      <c r="CW6" s="893"/>
      <c r="CX6" s="893"/>
      <c r="CY6" s="893"/>
      <c r="CZ6" s="893"/>
      <c r="DA6" s="893"/>
      <c r="DB6" s="893"/>
      <c r="DC6" s="893"/>
      <c r="DD6" s="893"/>
      <c r="DE6" s="893"/>
      <c r="DF6" s="893"/>
      <c r="DG6" s="893"/>
      <c r="DH6" s="893"/>
      <c r="DI6" s="893"/>
      <c r="DJ6" s="893"/>
      <c r="DK6" s="893"/>
      <c r="DL6" s="893"/>
      <c r="DM6" s="893"/>
      <c r="DN6" s="893"/>
      <c r="DO6" s="893"/>
      <c r="DP6" s="893"/>
      <c r="DQ6" s="893"/>
      <c r="DR6" s="893"/>
      <c r="DS6" s="893"/>
      <c r="DT6" s="893"/>
      <c r="DU6" s="893"/>
      <c r="DV6" s="893"/>
      <c r="DW6" s="893"/>
      <c r="DX6" s="893"/>
      <c r="DY6" s="893"/>
      <c r="DZ6" s="893"/>
      <c r="EA6" s="893"/>
      <c r="EB6" s="893"/>
      <c r="EC6" s="893"/>
      <c r="ED6" s="893"/>
      <c r="EE6" s="893"/>
      <c r="EF6" s="893"/>
      <c r="EG6" s="893"/>
      <c r="EH6" s="893"/>
      <c r="EI6" s="893"/>
      <c r="EJ6" s="893"/>
      <c r="EK6" s="893"/>
      <c r="EL6" s="893"/>
      <c r="EM6" s="893"/>
      <c r="EN6" s="893"/>
      <c r="EO6" s="893"/>
      <c r="EP6" s="893"/>
      <c r="EQ6" s="893"/>
      <c r="ER6" s="893"/>
      <c r="ES6" s="893"/>
      <c r="ET6" s="893"/>
      <c r="EU6" s="893"/>
      <c r="EV6" s="893"/>
      <c r="EW6" s="893"/>
      <c r="EX6" s="893"/>
      <c r="EY6" s="893"/>
      <c r="EZ6" s="893"/>
      <c r="FA6" s="893"/>
      <c r="FB6" s="893"/>
      <c r="FC6" s="893"/>
      <c r="FD6" s="893"/>
      <c r="FE6" s="893"/>
      <c r="FF6" s="893"/>
      <c r="FG6" s="893"/>
      <c r="FH6" s="893"/>
      <c r="FI6" s="893"/>
      <c r="FJ6" s="893"/>
      <c r="FK6" s="893"/>
      <c r="FL6" s="893"/>
      <c r="FM6" s="893"/>
      <c r="FN6" s="893"/>
      <c r="FO6" s="893"/>
      <c r="FP6" s="893"/>
      <c r="FQ6" s="893"/>
      <c r="FR6" s="893"/>
      <c r="FS6" s="893"/>
      <c r="FT6" s="893"/>
      <c r="FU6" s="893"/>
      <c r="FV6" s="893"/>
      <c r="FW6" s="893"/>
      <c r="FX6" s="893"/>
      <c r="FY6" s="893"/>
      <c r="FZ6" s="893"/>
      <c r="GA6" s="893"/>
      <c r="GB6" s="893"/>
      <c r="GC6" s="893"/>
      <c r="GD6" s="893"/>
      <c r="GE6" s="893"/>
      <c r="GF6" s="893"/>
      <c r="GG6" s="893"/>
      <c r="GH6" s="893"/>
      <c r="GI6" s="893"/>
      <c r="GJ6" s="893"/>
      <c r="GK6" s="893"/>
      <c r="GL6" s="893"/>
      <c r="GM6" s="893"/>
      <c r="GN6" s="893"/>
      <c r="GO6" s="893"/>
      <c r="GP6" s="893"/>
      <c r="GQ6" s="893"/>
      <c r="GR6" s="893"/>
      <c r="GS6" s="893"/>
      <c r="GT6" s="893"/>
      <c r="GU6" s="893"/>
      <c r="GV6" s="893"/>
      <c r="GW6" s="893"/>
      <c r="GX6" s="893"/>
      <c r="GY6" s="893"/>
      <c r="GZ6" s="893"/>
      <c r="HA6" s="893"/>
      <c r="HB6" s="893"/>
      <c r="HC6" s="893"/>
      <c r="HD6" s="893"/>
      <c r="HE6" s="893"/>
      <c r="HF6" s="893"/>
      <c r="HG6" s="893"/>
      <c r="HH6" s="893"/>
      <c r="HI6" s="893"/>
      <c r="HJ6" s="893"/>
      <c r="HK6" s="893"/>
      <c r="HL6" s="893"/>
      <c r="HM6" s="893"/>
      <c r="HN6" s="893"/>
      <c r="HO6" s="893"/>
      <c r="HP6" s="893"/>
      <c r="HQ6" s="893"/>
      <c r="HR6" s="893"/>
      <c r="HS6" s="893"/>
      <c r="HT6" s="893"/>
      <c r="HU6" s="893"/>
      <c r="HV6" s="893"/>
      <c r="HW6" s="893"/>
      <c r="HX6" s="893"/>
      <c r="HY6" s="893"/>
      <c r="HZ6" s="893"/>
      <c r="IA6" s="893"/>
      <c r="IB6" s="893"/>
      <c r="IC6" s="893"/>
      <c r="ID6" s="893"/>
      <c r="IE6" s="893"/>
      <c r="IF6" s="893"/>
      <c r="IG6" s="893"/>
      <c r="IH6" s="893"/>
      <c r="II6" s="893"/>
      <c r="IJ6" s="893"/>
      <c r="IK6" s="893"/>
      <c r="IL6" s="893"/>
      <c r="IM6" s="893"/>
      <c r="IN6" s="893"/>
      <c r="IO6" s="893"/>
      <c r="IP6" s="893"/>
      <c r="IQ6" s="893"/>
      <c r="IR6" s="893"/>
      <c r="IS6" s="893"/>
      <c r="IT6" s="893"/>
    </row>
    <row r="7" spans="1:254" x14ac:dyDescent="0.3">
      <c r="A7" s="898" t="s">
        <v>2445</v>
      </c>
      <c r="B7" s="899" t="s">
        <v>743</v>
      </c>
      <c r="C7" s="900" t="s">
        <v>62</v>
      </c>
      <c r="D7" s="844">
        <f>1.82*215/1000</f>
        <v>0.39130000000000004</v>
      </c>
      <c r="E7" s="805"/>
      <c r="F7" s="803">
        <v>50575</v>
      </c>
      <c r="G7" s="794"/>
      <c r="H7" s="794">
        <f t="shared" ref="H7:H12" si="0">D7*F7</f>
        <v>19789.997500000001</v>
      </c>
      <c r="I7" s="794">
        <f t="shared" ref="I7:I17" si="1">G7+H7</f>
        <v>19789.997500000001</v>
      </c>
      <c r="J7" s="893"/>
      <c r="K7" s="893"/>
      <c r="L7" s="893"/>
      <c r="M7" s="893"/>
      <c r="N7" s="893"/>
      <c r="O7" s="893"/>
      <c r="P7" s="893"/>
      <c r="Q7" s="893"/>
      <c r="R7" s="893"/>
      <c r="S7" s="893"/>
      <c r="T7" s="893"/>
      <c r="U7" s="893"/>
      <c r="V7" s="893"/>
      <c r="W7" s="893"/>
      <c r="X7" s="893"/>
      <c r="Y7" s="893"/>
      <c r="Z7" s="893"/>
      <c r="AA7" s="893"/>
      <c r="AB7" s="893"/>
      <c r="AC7" s="893"/>
      <c r="AD7" s="893"/>
      <c r="AE7" s="893"/>
      <c r="AF7" s="893"/>
      <c r="AG7" s="893"/>
      <c r="AH7" s="893"/>
      <c r="AI7" s="893"/>
      <c r="AJ7" s="893"/>
      <c r="AK7" s="893"/>
      <c r="AL7" s="893"/>
      <c r="AM7" s="893"/>
      <c r="AN7" s="893"/>
      <c r="AO7" s="893"/>
      <c r="AP7" s="893"/>
      <c r="AQ7" s="893"/>
      <c r="AR7" s="893"/>
      <c r="AS7" s="893"/>
      <c r="AT7" s="893"/>
      <c r="AU7" s="893"/>
      <c r="AV7" s="893"/>
      <c r="AW7" s="893"/>
      <c r="AX7" s="893"/>
      <c r="AY7" s="893"/>
      <c r="AZ7" s="893"/>
      <c r="BA7" s="893"/>
      <c r="BB7" s="893"/>
      <c r="BC7" s="893"/>
      <c r="BD7" s="893"/>
      <c r="BE7" s="893"/>
      <c r="BF7" s="893"/>
      <c r="BG7" s="893"/>
      <c r="BH7" s="893"/>
      <c r="BI7" s="893"/>
      <c r="BJ7" s="893"/>
      <c r="BK7" s="893"/>
      <c r="BL7" s="893"/>
      <c r="BM7" s="893"/>
      <c r="BN7" s="893"/>
      <c r="BO7" s="893"/>
      <c r="BP7" s="893"/>
      <c r="BQ7" s="893"/>
      <c r="BR7" s="893"/>
      <c r="BS7" s="893"/>
      <c r="BT7" s="893"/>
      <c r="BU7" s="893"/>
      <c r="BV7" s="893"/>
      <c r="BW7" s="893"/>
      <c r="BX7" s="893"/>
      <c r="BY7" s="893"/>
      <c r="BZ7" s="893"/>
      <c r="CA7" s="893"/>
      <c r="CB7" s="893"/>
      <c r="CC7" s="893"/>
      <c r="CD7" s="893"/>
      <c r="CE7" s="893"/>
      <c r="CF7" s="893"/>
      <c r="CG7" s="893"/>
      <c r="CH7" s="893"/>
      <c r="CI7" s="893"/>
      <c r="CJ7" s="893"/>
      <c r="CK7" s="893"/>
      <c r="CL7" s="893"/>
      <c r="CM7" s="893"/>
      <c r="CN7" s="893"/>
      <c r="CO7" s="893"/>
      <c r="CP7" s="893"/>
      <c r="CQ7" s="893"/>
      <c r="CR7" s="893"/>
      <c r="CS7" s="893"/>
      <c r="CT7" s="893"/>
      <c r="CU7" s="893"/>
      <c r="CV7" s="893"/>
      <c r="CW7" s="893"/>
      <c r="CX7" s="893"/>
      <c r="CY7" s="893"/>
      <c r="CZ7" s="893"/>
      <c r="DA7" s="893"/>
      <c r="DB7" s="893"/>
      <c r="DC7" s="893"/>
      <c r="DD7" s="893"/>
      <c r="DE7" s="893"/>
      <c r="DF7" s="893"/>
      <c r="DG7" s="893"/>
      <c r="DH7" s="893"/>
      <c r="DI7" s="893"/>
      <c r="DJ7" s="893"/>
      <c r="DK7" s="893"/>
      <c r="DL7" s="893"/>
      <c r="DM7" s="893"/>
      <c r="DN7" s="893"/>
      <c r="DO7" s="893"/>
      <c r="DP7" s="893"/>
      <c r="DQ7" s="893"/>
      <c r="DR7" s="893"/>
      <c r="DS7" s="893"/>
      <c r="DT7" s="893"/>
      <c r="DU7" s="893"/>
      <c r="DV7" s="893"/>
      <c r="DW7" s="893"/>
      <c r="DX7" s="893"/>
      <c r="DY7" s="893"/>
      <c r="DZ7" s="893"/>
      <c r="EA7" s="893"/>
      <c r="EB7" s="893"/>
      <c r="EC7" s="893"/>
      <c r="ED7" s="893"/>
      <c r="EE7" s="893"/>
      <c r="EF7" s="893"/>
      <c r="EG7" s="893"/>
      <c r="EH7" s="893"/>
      <c r="EI7" s="893"/>
      <c r="EJ7" s="893"/>
      <c r="EK7" s="893"/>
      <c r="EL7" s="893"/>
      <c r="EM7" s="893"/>
      <c r="EN7" s="893"/>
      <c r="EO7" s="893"/>
      <c r="EP7" s="893"/>
      <c r="EQ7" s="893"/>
      <c r="ER7" s="893"/>
      <c r="ES7" s="893"/>
      <c r="ET7" s="893"/>
      <c r="EU7" s="893"/>
      <c r="EV7" s="893"/>
      <c r="EW7" s="893"/>
      <c r="EX7" s="893"/>
      <c r="EY7" s="893"/>
      <c r="EZ7" s="893"/>
      <c r="FA7" s="893"/>
      <c r="FB7" s="893"/>
      <c r="FC7" s="893"/>
      <c r="FD7" s="893"/>
      <c r="FE7" s="893"/>
      <c r="FF7" s="893"/>
      <c r="FG7" s="893"/>
      <c r="FH7" s="893"/>
      <c r="FI7" s="893"/>
      <c r="FJ7" s="893"/>
      <c r="FK7" s="893"/>
      <c r="FL7" s="893"/>
      <c r="FM7" s="893"/>
      <c r="FN7" s="893"/>
      <c r="FO7" s="893"/>
      <c r="FP7" s="893"/>
      <c r="FQ7" s="893"/>
      <c r="FR7" s="893"/>
      <c r="FS7" s="893"/>
      <c r="FT7" s="893"/>
      <c r="FU7" s="893"/>
      <c r="FV7" s="893"/>
      <c r="FW7" s="893"/>
      <c r="FX7" s="893"/>
      <c r="FY7" s="893"/>
      <c r="FZ7" s="893"/>
      <c r="GA7" s="893"/>
      <c r="GB7" s="893"/>
      <c r="GC7" s="893"/>
      <c r="GD7" s="893"/>
      <c r="GE7" s="893"/>
      <c r="GF7" s="893"/>
      <c r="GG7" s="893"/>
      <c r="GH7" s="893"/>
      <c r="GI7" s="893"/>
      <c r="GJ7" s="893"/>
      <c r="GK7" s="893"/>
      <c r="GL7" s="893"/>
      <c r="GM7" s="893"/>
      <c r="GN7" s="893"/>
      <c r="GO7" s="893"/>
      <c r="GP7" s="893"/>
      <c r="GQ7" s="893"/>
      <c r="GR7" s="893"/>
      <c r="GS7" s="893"/>
      <c r="GT7" s="893"/>
      <c r="GU7" s="893"/>
      <c r="GV7" s="893"/>
      <c r="GW7" s="893"/>
      <c r="GX7" s="893"/>
      <c r="GY7" s="893"/>
      <c r="GZ7" s="893"/>
      <c r="HA7" s="893"/>
      <c r="HB7" s="893"/>
      <c r="HC7" s="893"/>
      <c r="HD7" s="893"/>
      <c r="HE7" s="893"/>
      <c r="HF7" s="893"/>
      <c r="HG7" s="893"/>
      <c r="HH7" s="893"/>
      <c r="HI7" s="893"/>
      <c r="HJ7" s="893"/>
      <c r="HK7" s="893"/>
      <c r="HL7" s="893"/>
      <c r="HM7" s="893"/>
      <c r="HN7" s="893"/>
      <c r="HO7" s="893"/>
      <c r="HP7" s="893"/>
      <c r="HQ7" s="893"/>
      <c r="HR7" s="893"/>
      <c r="HS7" s="893"/>
      <c r="HT7" s="893"/>
      <c r="HU7" s="893"/>
      <c r="HV7" s="893"/>
      <c r="HW7" s="893"/>
      <c r="HX7" s="893"/>
      <c r="HY7" s="893"/>
      <c r="HZ7" s="893"/>
      <c r="IA7" s="893"/>
      <c r="IB7" s="893"/>
      <c r="IC7" s="893"/>
      <c r="ID7" s="893"/>
      <c r="IE7" s="893"/>
      <c r="IF7" s="893"/>
      <c r="IG7" s="893"/>
      <c r="IH7" s="893"/>
      <c r="II7" s="893"/>
      <c r="IJ7" s="893"/>
      <c r="IK7" s="893"/>
      <c r="IL7" s="893"/>
      <c r="IM7" s="893"/>
      <c r="IN7" s="893"/>
      <c r="IO7" s="893"/>
      <c r="IP7" s="893"/>
      <c r="IQ7" s="893"/>
      <c r="IR7" s="893"/>
      <c r="IS7" s="893"/>
      <c r="IT7" s="893"/>
    </row>
    <row r="8" spans="1:254" x14ac:dyDescent="0.3">
      <c r="A8" s="898" t="s">
        <v>2446</v>
      </c>
      <c r="B8" s="899" t="s">
        <v>290</v>
      </c>
      <c r="C8" s="900" t="s">
        <v>62</v>
      </c>
      <c r="D8" s="844">
        <f>5.92*215/1000</f>
        <v>1.2727999999999999</v>
      </c>
      <c r="E8" s="805"/>
      <c r="F8" s="803">
        <v>46200</v>
      </c>
      <c r="G8" s="794"/>
      <c r="H8" s="794">
        <f t="shared" si="0"/>
        <v>58803.359999999993</v>
      </c>
      <c r="I8" s="794">
        <f t="shared" si="1"/>
        <v>58803.359999999993</v>
      </c>
      <c r="J8" s="893"/>
      <c r="K8" s="893"/>
      <c r="L8" s="893"/>
      <c r="M8" s="893"/>
      <c r="N8" s="893"/>
      <c r="O8" s="893"/>
      <c r="P8" s="893"/>
      <c r="Q8" s="893"/>
      <c r="R8" s="893"/>
      <c r="S8" s="893"/>
      <c r="T8" s="893"/>
      <c r="U8" s="893"/>
      <c r="V8" s="893"/>
      <c r="W8" s="893"/>
      <c r="X8" s="893"/>
      <c r="Y8" s="893"/>
      <c r="Z8" s="893"/>
      <c r="AA8" s="893"/>
      <c r="AB8" s="893"/>
      <c r="AC8" s="893"/>
      <c r="AD8" s="893"/>
      <c r="AE8" s="893"/>
      <c r="AF8" s="893"/>
      <c r="AG8" s="893"/>
      <c r="AH8" s="893"/>
      <c r="AI8" s="893"/>
      <c r="AJ8" s="893"/>
      <c r="AK8" s="893"/>
      <c r="AL8" s="893"/>
      <c r="AM8" s="893"/>
      <c r="AN8" s="893"/>
      <c r="AO8" s="893"/>
      <c r="AP8" s="893"/>
      <c r="AQ8" s="893"/>
      <c r="AR8" s="893"/>
      <c r="AS8" s="893"/>
      <c r="AT8" s="893"/>
      <c r="AU8" s="893"/>
      <c r="AV8" s="893"/>
      <c r="AW8" s="893"/>
      <c r="AX8" s="893"/>
      <c r="AY8" s="893"/>
      <c r="AZ8" s="893"/>
      <c r="BA8" s="893"/>
      <c r="BB8" s="893"/>
      <c r="BC8" s="893"/>
      <c r="BD8" s="893"/>
      <c r="BE8" s="893"/>
      <c r="BF8" s="893"/>
      <c r="BG8" s="893"/>
      <c r="BH8" s="893"/>
      <c r="BI8" s="893"/>
      <c r="BJ8" s="893"/>
      <c r="BK8" s="893"/>
      <c r="BL8" s="893"/>
      <c r="BM8" s="893"/>
      <c r="BN8" s="893"/>
      <c r="BO8" s="893"/>
      <c r="BP8" s="893"/>
      <c r="BQ8" s="893"/>
      <c r="BR8" s="893"/>
      <c r="BS8" s="893"/>
      <c r="BT8" s="893"/>
      <c r="BU8" s="893"/>
      <c r="BV8" s="893"/>
      <c r="BW8" s="893"/>
      <c r="BX8" s="893"/>
      <c r="BY8" s="893"/>
      <c r="BZ8" s="893"/>
      <c r="CA8" s="893"/>
      <c r="CB8" s="893"/>
      <c r="CC8" s="893"/>
      <c r="CD8" s="893"/>
      <c r="CE8" s="893"/>
      <c r="CF8" s="893"/>
      <c r="CG8" s="893"/>
      <c r="CH8" s="893"/>
      <c r="CI8" s="893"/>
      <c r="CJ8" s="893"/>
      <c r="CK8" s="893"/>
      <c r="CL8" s="893"/>
      <c r="CM8" s="893"/>
      <c r="CN8" s="893"/>
      <c r="CO8" s="893"/>
      <c r="CP8" s="893"/>
      <c r="CQ8" s="893"/>
      <c r="CR8" s="893"/>
      <c r="CS8" s="893"/>
      <c r="CT8" s="893"/>
      <c r="CU8" s="893"/>
      <c r="CV8" s="893"/>
      <c r="CW8" s="893"/>
      <c r="CX8" s="893"/>
      <c r="CY8" s="893"/>
      <c r="CZ8" s="893"/>
      <c r="DA8" s="893"/>
      <c r="DB8" s="893"/>
      <c r="DC8" s="893"/>
      <c r="DD8" s="893"/>
      <c r="DE8" s="893"/>
      <c r="DF8" s="893"/>
      <c r="DG8" s="893"/>
      <c r="DH8" s="893"/>
      <c r="DI8" s="893"/>
      <c r="DJ8" s="893"/>
      <c r="DK8" s="893"/>
      <c r="DL8" s="893"/>
      <c r="DM8" s="893"/>
      <c r="DN8" s="893"/>
      <c r="DO8" s="893"/>
      <c r="DP8" s="893"/>
      <c r="DQ8" s="893"/>
      <c r="DR8" s="893"/>
      <c r="DS8" s="893"/>
      <c r="DT8" s="893"/>
      <c r="DU8" s="893"/>
      <c r="DV8" s="893"/>
      <c r="DW8" s="893"/>
      <c r="DX8" s="893"/>
      <c r="DY8" s="893"/>
      <c r="DZ8" s="893"/>
      <c r="EA8" s="893"/>
      <c r="EB8" s="893"/>
      <c r="EC8" s="893"/>
      <c r="ED8" s="893"/>
      <c r="EE8" s="893"/>
      <c r="EF8" s="893"/>
      <c r="EG8" s="893"/>
      <c r="EH8" s="893"/>
      <c r="EI8" s="893"/>
      <c r="EJ8" s="893"/>
      <c r="EK8" s="893"/>
      <c r="EL8" s="893"/>
      <c r="EM8" s="893"/>
      <c r="EN8" s="893"/>
      <c r="EO8" s="893"/>
      <c r="EP8" s="893"/>
      <c r="EQ8" s="893"/>
      <c r="ER8" s="893"/>
      <c r="ES8" s="893"/>
      <c r="ET8" s="893"/>
      <c r="EU8" s="893"/>
      <c r="EV8" s="893"/>
      <c r="EW8" s="893"/>
      <c r="EX8" s="893"/>
      <c r="EY8" s="893"/>
      <c r="EZ8" s="893"/>
      <c r="FA8" s="893"/>
      <c r="FB8" s="893"/>
      <c r="FC8" s="893"/>
      <c r="FD8" s="893"/>
      <c r="FE8" s="893"/>
      <c r="FF8" s="893"/>
      <c r="FG8" s="893"/>
      <c r="FH8" s="893"/>
      <c r="FI8" s="893"/>
      <c r="FJ8" s="893"/>
      <c r="FK8" s="893"/>
      <c r="FL8" s="893"/>
      <c r="FM8" s="893"/>
      <c r="FN8" s="893"/>
      <c r="FO8" s="893"/>
      <c r="FP8" s="893"/>
      <c r="FQ8" s="893"/>
      <c r="FR8" s="893"/>
      <c r="FS8" s="893"/>
      <c r="FT8" s="893"/>
      <c r="FU8" s="893"/>
      <c r="FV8" s="893"/>
      <c r="FW8" s="893"/>
      <c r="FX8" s="893"/>
      <c r="FY8" s="893"/>
      <c r="FZ8" s="893"/>
      <c r="GA8" s="893"/>
      <c r="GB8" s="893"/>
      <c r="GC8" s="893"/>
      <c r="GD8" s="893"/>
      <c r="GE8" s="893"/>
      <c r="GF8" s="893"/>
      <c r="GG8" s="893"/>
      <c r="GH8" s="893"/>
      <c r="GI8" s="893"/>
      <c r="GJ8" s="893"/>
      <c r="GK8" s="893"/>
      <c r="GL8" s="893"/>
      <c r="GM8" s="893"/>
      <c r="GN8" s="893"/>
      <c r="GO8" s="893"/>
      <c r="GP8" s="893"/>
      <c r="GQ8" s="893"/>
      <c r="GR8" s="893"/>
      <c r="GS8" s="893"/>
      <c r="GT8" s="893"/>
      <c r="GU8" s="893"/>
      <c r="GV8" s="893"/>
      <c r="GW8" s="893"/>
      <c r="GX8" s="893"/>
      <c r="GY8" s="893"/>
      <c r="GZ8" s="893"/>
      <c r="HA8" s="893"/>
      <c r="HB8" s="893"/>
      <c r="HC8" s="893"/>
      <c r="HD8" s="893"/>
      <c r="HE8" s="893"/>
      <c r="HF8" s="893"/>
      <c r="HG8" s="893"/>
      <c r="HH8" s="893"/>
      <c r="HI8" s="893"/>
      <c r="HJ8" s="893"/>
      <c r="HK8" s="893"/>
      <c r="HL8" s="893"/>
      <c r="HM8" s="893"/>
      <c r="HN8" s="893"/>
      <c r="HO8" s="893"/>
      <c r="HP8" s="893"/>
      <c r="HQ8" s="893"/>
      <c r="HR8" s="893"/>
      <c r="HS8" s="893"/>
      <c r="HT8" s="893"/>
      <c r="HU8" s="893"/>
      <c r="HV8" s="893"/>
      <c r="HW8" s="893"/>
      <c r="HX8" s="893"/>
      <c r="HY8" s="893"/>
      <c r="HZ8" s="893"/>
      <c r="IA8" s="893"/>
      <c r="IB8" s="893"/>
      <c r="IC8" s="893"/>
      <c r="ID8" s="893"/>
      <c r="IE8" s="893"/>
      <c r="IF8" s="893"/>
      <c r="IG8" s="893"/>
      <c r="IH8" s="893"/>
      <c r="II8" s="893"/>
      <c r="IJ8" s="893"/>
      <c r="IK8" s="893"/>
      <c r="IL8" s="893"/>
      <c r="IM8" s="893"/>
      <c r="IN8" s="893"/>
      <c r="IO8" s="893"/>
      <c r="IP8" s="893"/>
      <c r="IQ8" s="893"/>
      <c r="IR8" s="893"/>
      <c r="IS8" s="893"/>
      <c r="IT8" s="893"/>
    </row>
    <row r="9" spans="1:254" x14ac:dyDescent="0.3">
      <c r="A9" s="898" t="s">
        <v>2447</v>
      </c>
      <c r="B9" s="899" t="s">
        <v>744</v>
      </c>
      <c r="C9" s="900" t="s">
        <v>62</v>
      </c>
      <c r="D9" s="844">
        <f>(1.73+1.73)*215/1000</f>
        <v>0.74390000000000001</v>
      </c>
      <c r="E9" s="805"/>
      <c r="F9" s="803">
        <v>43200</v>
      </c>
      <c r="G9" s="794"/>
      <c r="H9" s="794">
        <f t="shared" si="0"/>
        <v>32136.48</v>
      </c>
      <c r="I9" s="794">
        <f t="shared" si="1"/>
        <v>32136.48</v>
      </c>
      <c r="J9" s="893"/>
      <c r="K9" s="893"/>
      <c r="L9" s="893"/>
      <c r="M9" s="893"/>
      <c r="N9" s="893"/>
      <c r="O9" s="893"/>
      <c r="P9" s="893"/>
      <c r="Q9" s="893"/>
      <c r="R9" s="893"/>
      <c r="S9" s="893"/>
      <c r="T9" s="893"/>
      <c r="U9" s="893"/>
      <c r="V9" s="893"/>
      <c r="W9" s="893"/>
      <c r="X9" s="893"/>
      <c r="Y9" s="893"/>
      <c r="Z9" s="893"/>
      <c r="AA9" s="893"/>
      <c r="AB9" s="893"/>
      <c r="AC9" s="893"/>
      <c r="AD9" s="893"/>
      <c r="AE9" s="893"/>
      <c r="AF9" s="893"/>
      <c r="AG9" s="893"/>
      <c r="AH9" s="893"/>
      <c r="AI9" s="893"/>
      <c r="AJ9" s="893"/>
      <c r="AK9" s="893"/>
      <c r="AL9" s="893"/>
      <c r="AM9" s="893"/>
      <c r="AN9" s="893"/>
      <c r="AO9" s="893"/>
      <c r="AP9" s="893"/>
      <c r="AQ9" s="893"/>
      <c r="AR9" s="893"/>
      <c r="AS9" s="893"/>
      <c r="AT9" s="893"/>
      <c r="AU9" s="893"/>
      <c r="AV9" s="893"/>
      <c r="AW9" s="893"/>
      <c r="AX9" s="893"/>
      <c r="AY9" s="893"/>
      <c r="AZ9" s="893"/>
      <c r="BA9" s="893"/>
      <c r="BB9" s="893"/>
      <c r="BC9" s="893"/>
      <c r="BD9" s="893"/>
      <c r="BE9" s="893"/>
      <c r="BF9" s="893"/>
      <c r="BG9" s="893"/>
      <c r="BH9" s="893"/>
      <c r="BI9" s="893"/>
      <c r="BJ9" s="893"/>
      <c r="BK9" s="893"/>
      <c r="BL9" s="893"/>
      <c r="BM9" s="893"/>
      <c r="BN9" s="893"/>
      <c r="BO9" s="893"/>
      <c r="BP9" s="893"/>
      <c r="BQ9" s="893"/>
      <c r="BR9" s="893"/>
      <c r="BS9" s="893"/>
      <c r="BT9" s="893"/>
      <c r="BU9" s="893"/>
      <c r="BV9" s="893"/>
      <c r="BW9" s="893"/>
      <c r="BX9" s="893"/>
      <c r="BY9" s="893"/>
      <c r="BZ9" s="893"/>
      <c r="CA9" s="893"/>
      <c r="CB9" s="893"/>
      <c r="CC9" s="893"/>
      <c r="CD9" s="893"/>
      <c r="CE9" s="893"/>
      <c r="CF9" s="893"/>
      <c r="CG9" s="893"/>
      <c r="CH9" s="893"/>
      <c r="CI9" s="893"/>
      <c r="CJ9" s="893"/>
      <c r="CK9" s="893"/>
      <c r="CL9" s="893"/>
      <c r="CM9" s="893"/>
      <c r="CN9" s="893"/>
      <c r="CO9" s="893"/>
      <c r="CP9" s="893"/>
      <c r="CQ9" s="893"/>
      <c r="CR9" s="893"/>
      <c r="CS9" s="893"/>
      <c r="CT9" s="893"/>
      <c r="CU9" s="893"/>
      <c r="CV9" s="893"/>
      <c r="CW9" s="893"/>
      <c r="CX9" s="893"/>
      <c r="CY9" s="893"/>
      <c r="CZ9" s="893"/>
      <c r="DA9" s="893"/>
      <c r="DB9" s="893"/>
      <c r="DC9" s="893"/>
      <c r="DD9" s="893"/>
      <c r="DE9" s="893"/>
      <c r="DF9" s="893"/>
      <c r="DG9" s="893"/>
      <c r="DH9" s="893"/>
      <c r="DI9" s="893"/>
      <c r="DJ9" s="893"/>
      <c r="DK9" s="893"/>
      <c r="DL9" s="893"/>
      <c r="DM9" s="893"/>
      <c r="DN9" s="893"/>
      <c r="DO9" s="893"/>
      <c r="DP9" s="893"/>
      <c r="DQ9" s="893"/>
      <c r="DR9" s="893"/>
      <c r="DS9" s="893"/>
      <c r="DT9" s="893"/>
      <c r="DU9" s="893"/>
      <c r="DV9" s="893"/>
      <c r="DW9" s="893"/>
      <c r="DX9" s="893"/>
      <c r="DY9" s="893"/>
      <c r="DZ9" s="893"/>
      <c r="EA9" s="893"/>
      <c r="EB9" s="893"/>
      <c r="EC9" s="893"/>
      <c r="ED9" s="893"/>
      <c r="EE9" s="893"/>
      <c r="EF9" s="893"/>
      <c r="EG9" s="893"/>
      <c r="EH9" s="893"/>
      <c r="EI9" s="893"/>
      <c r="EJ9" s="893"/>
      <c r="EK9" s="893"/>
      <c r="EL9" s="893"/>
      <c r="EM9" s="893"/>
      <c r="EN9" s="893"/>
      <c r="EO9" s="893"/>
      <c r="EP9" s="893"/>
      <c r="EQ9" s="893"/>
      <c r="ER9" s="893"/>
      <c r="ES9" s="893"/>
      <c r="ET9" s="893"/>
      <c r="EU9" s="893"/>
      <c r="EV9" s="893"/>
      <c r="EW9" s="893"/>
      <c r="EX9" s="893"/>
      <c r="EY9" s="893"/>
      <c r="EZ9" s="893"/>
      <c r="FA9" s="893"/>
      <c r="FB9" s="893"/>
      <c r="FC9" s="893"/>
      <c r="FD9" s="893"/>
      <c r="FE9" s="893"/>
      <c r="FF9" s="893"/>
      <c r="FG9" s="893"/>
      <c r="FH9" s="893"/>
      <c r="FI9" s="893"/>
      <c r="FJ9" s="893"/>
      <c r="FK9" s="893"/>
      <c r="FL9" s="893"/>
      <c r="FM9" s="893"/>
      <c r="FN9" s="893"/>
      <c r="FO9" s="893"/>
      <c r="FP9" s="893"/>
      <c r="FQ9" s="893"/>
      <c r="FR9" s="893"/>
      <c r="FS9" s="893"/>
      <c r="FT9" s="893"/>
      <c r="FU9" s="893"/>
      <c r="FV9" s="893"/>
      <c r="FW9" s="893"/>
      <c r="FX9" s="893"/>
      <c r="FY9" s="893"/>
      <c r="FZ9" s="893"/>
      <c r="GA9" s="893"/>
      <c r="GB9" s="893"/>
      <c r="GC9" s="893"/>
      <c r="GD9" s="893"/>
      <c r="GE9" s="893"/>
      <c r="GF9" s="893"/>
      <c r="GG9" s="893"/>
      <c r="GH9" s="893"/>
      <c r="GI9" s="893"/>
      <c r="GJ9" s="893"/>
      <c r="GK9" s="893"/>
      <c r="GL9" s="893"/>
      <c r="GM9" s="893"/>
      <c r="GN9" s="893"/>
      <c r="GO9" s="893"/>
      <c r="GP9" s="893"/>
      <c r="GQ9" s="893"/>
      <c r="GR9" s="893"/>
      <c r="GS9" s="893"/>
      <c r="GT9" s="893"/>
      <c r="GU9" s="893"/>
      <c r="GV9" s="893"/>
      <c r="GW9" s="893"/>
      <c r="GX9" s="893"/>
      <c r="GY9" s="893"/>
      <c r="GZ9" s="893"/>
      <c r="HA9" s="893"/>
      <c r="HB9" s="893"/>
      <c r="HC9" s="893"/>
      <c r="HD9" s="893"/>
      <c r="HE9" s="893"/>
      <c r="HF9" s="893"/>
      <c r="HG9" s="893"/>
      <c r="HH9" s="893"/>
      <c r="HI9" s="893"/>
      <c r="HJ9" s="893"/>
      <c r="HK9" s="893"/>
      <c r="HL9" s="893"/>
      <c r="HM9" s="893"/>
      <c r="HN9" s="893"/>
      <c r="HO9" s="893"/>
      <c r="HP9" s="893"/>
      <c r="HQ9" s="893"/>
      <c r="HR9" s="893"/>
      <c r="HS9" s="893"/>
      <c r="HT9" s="893"/>
      <c r="HU9" s="893"/>
      <c r="HV9" s="893"/>
      <c r="HW9" s="893"/>
      <c r="HX9" s="893"/>
      <c r="HY9" s="893"/>
      <c r="HZ9" s="893"/>
      <c r="IA9" s="893"/>
      <c r="IB9" s="893"/>
      <c r="IC9" s="893"/>
      <c r="ID9" s="893"/>
      <c r="IE9" s="893"/>
      <c r="IF9" s="893"/>
      <c r="IG9" s="893"/>
      <c r="IH9" s="893"/>
      <c r="II9" s="893"/>
      <c r="IJ9" s="893"/>
      <c r="IK9" s="893"/>
      <c r="IL9" s="893"/>
      <c r="IM9" s="893"/>
      <c r="IN9" s="893"/>
      <c r="IO9" s="893"/>
      <c r="IP9" s="893"/>
      <c r="IQ9" s="893"/>
      <c r="IR9" s="893"/>
      <c r="IS9" s="893"/>
      <c r="IT9" s="893"/>
    </row>
    <row r="10" spans="1:254" x14ac:dyDescent="0.3">
      <c r="A10" s="898" t="s">
        <v>2448</v>
      </c>
      <c r="B10" s="899" t="s">
        <v>745</v>
      </c>
      <c r="C10" s="900" t="s">
        <v>62</v>
      </c>
      <c r="D10" s="844">
        <f>(1.9+1.9+1.14+1.38+3.99)*215/1000</f>
        <v>2.2166499999999996</v>
      </c>
      <c r="E10" s="805"/>
      <c r="F10" s="803">
        <v>47500</v>
      </c>
      <c r="G10" s="794"/>
      <c r="H10" s="794">
        <f t="shared" si="0"/>
        <v>105290.87499999999</v>
      </c>
      <c r="I10" s="794">
        <f t="shared" si="1"/>
        <v>105290.87499999999</v>
      </c>
      <c r="J10" s="893"/>
      <c r="K10" s="893"/>
      <c r="L10" s="893"/>
      <c r="M10" s="893"/>
      <c r="N10" s="893"/>
      <c r="O10" s="893"/>
      <c r="P10" s="893"/>
      <c r="Q10" s="893"/>
      <c r="R10" s="893"/>
      <c r="S10" s="893"/>
      <c r="T10" s="893"/>
      <c r="U10" s="893"/>
      <c r="V10" s="893"/>
      <c r="W10" s="893"/>
      <c r="X10" s="893"/>
      <c r="Y10" s="893"/>
      <c r="Z10" s="893"/>
      <c r="AA10" s="893"/>
      <c r="AB10" s="893"/>
      <c r="AC10" s="893"/>
      <c r="AD10" s="893"/>
      <c r="AE10" s="893"/>
      <c r="AF10" s="893"/>
      <c r="AG10" s="893"/>
      <c r="AH10" s="893"/>
      <c r="AI10" s="893"/>
      <c r="AJ10" s="893"/>
      <c r="AK10" s="893"/>
      <c r="AL10" s="893"/>
      <c r="AM10" s="893"/>
      <c r="AN10" s="893"/>
      <c r="AO10" s="893"/>
      <c r="AP10" s="893"/>
      <c r="AQ10" s="893"/>
      <c r="AR10" s="893"/>
      <c r="AS10" s="893"/>
      <c r="AT10" s="893"/>
      <c r="AU10" s="893"/>
      <c r="AV10" s="893"/>
      <c r="AW10" s="893"/>
      <c r="AX10" s="893"/>
      <c r="AY10" s="893"/>
      <c r="AZ10" s="893"/>
      <c r="BA10" s="893"/>
      <c r="BB10" s="893"/>
      <c r="BC10" s="893"/>
      <c r="BD10" s="893"/>
      <c r="BE10" s="893"/>
      <c r="BF10" s="893"/>
      <c r="BG10" s="893"/>
      <c r="BH10" s="893"/>
      <c r="BI10" s="893"/>
      <c r="BJ10" s="893"/>
      <c r="BK10" s="893"/>
      <c r="BL10" s="893"/>
      <c r="BM10" s="893"/>
      <c r="BN10" s="893"/>
      <c r="BO10" s="893"/>
      <c r="BP10" s="893"/>
      <c r="BQ10" s="893"/>
      <c r="BR10" s="893"/>
      <c r="BS10" s="893"/>
      <c r="BT10" s="893"/>
      <c r="BU10" s="893"/>
      <c r="BV10" s="893"/>
      <c r="BW10" s="893"/>
      <c r="BX10" s="893"/>
      <c r="BY10" s="893"/>
      <c r="BZ10" s="893"/>
      <c r="CA10" s="893"/>
      <c r="CB10" s="893"/>
      <c r="CC10" s="893"/>
      <c r="CD10" s="893"/>
      <c r="CE10" s="893"/>
      <c r="CF10" s="893"/>
      <c r="CG10" s="893"/>
      <c r="CH10" s="893"/>
      <c r="CI10" s="893"/>
      <c r="CJ10" s="893"/>
      <c r="CK10" s="893"/>
      <c r="CL10" s="893"/>
      <c r="CM10" s="893"/>
      <c r="CN10" s="893"/>
      <c r="CO10" s="893"/>
      <c r="CP10" s="893"/>
      <c r="CQ10" s="893"/>
      <c r="CR10" s="893"/>
      <c r="CS10" s="893"/>
      <c r="CT10" s="893"/>
      <c r="CU10" s="893"/>
      <c r="CV10" s="893"/>
      <c r="CW10" s="893"/>
      <c r="CX10" s="893"/>
      <c r="CY10" s="893"/>
      <c r="CZ10" s="893"/>
      <c r="DA10" s="893"/>
      <c r="DB10" s="893"/>
      <c r="DC10" s="893"/>
      <c r="DD10" s="893"/>
      <c r="DE10" s="893"/>
      <c r="DF10" s="893"/>
      <c r="DG10" s="893"/>
      <c r="DH10" s="893"/>
      <c r="DI10" s="893"/>
      <c r="DJ10" s="893"/>
      <c r="DK10" s="893"/>
      <c r="DL10" s="893"/>
      <c r="DM10" s="893"/>
      <c r="DN10" s="893"/>
      <c r="DO10" s="893"/>
      <c r="DP10" s="893"/>
      <c r="DQ10" s="893"/>
      <c r="DR10" s="893"/>
      <c r="DS10" s="893"/>
      <c r="DT10" s="893"/>
      <c r="DU10" s="893"/>
      <c r="DV10" s="893"/>
      <c r="DW10" s="893"/>
      <c r="DX10" s="893"/>
      <c r="DY10" s="893"/>
      <c r="DZ10" s="893"/>
      <c r="EA10" s="893"/>
      <c r="EB10" s="893"/>
      <c r="EC10" s="893"/>
      <c r="ED10" s="893"/>
      <c r="EE10" s="893"/>
      <c r="EF10" s="893"/>
      <c r="EG10" s="893"/>
      <c r="EH10" s="893"/>
      <c r="EI10" s="893"/>
      <c r="EJ10" s="893"/>
      <c r="EK10" s="893"/>
      <c r="EL10" s="893"/>
      <c r="EM10" s="893"/>
      <c r="EN10" s="893"/>
      <c r="EO10" s="893"/>
      <c r="EP10" s="893"/>
      <c r="EQ10" s="893"/>
      <c r="ER10" s="893"/>
      <c r="ES10" s="893"/>
      <c r="ET10" s="893"/>
      <c r="EU10" s="893"/>
      <c r="EV10" s="893"/>
      <c r="EW10" s="893"/>
      <c r="EX10" s="893"/>
      <c r="EY10" s="893"/>
      <c r="EZ10" s="893"/>
      <c r="FA10" s="893"/>
      <c r="FB10" s="893"/>
      <c r="FC10" s="893"/>
      <c r="FD10" s="893"/>
      <c r="FE10" s="893"/>
      <c r="FF10" s="893"/>
      <c r="FG10" s="893"/>
      <c r="FH10" s="893"/>
      <c r="FI10" s="893"/>
      <c r="FJ10" s="893"/>
      <c r="FK10" s="893"/>
      <c r="FL10" s="893"/>
      <c r="FM10" s="893"/>
      <c r="FN10" s="893"/>
      <c r="FO10" s="893"/>
      <c r="FP10" s="893"/>
      <c r="FQ10" s="893"/>
      <c r="FR10" s="893"/>
      <c r="FS10" s="893"/>
      <c r="FT10" s="893"/>
      <c r="FU10" s="893"/>
      <c r="FV10" s="893"/>
      <c r="FW10" s="893"/>
      <c r="FX10" s="893"/>
      <c r="FY10" s="893"/>
      <c r="FZ10" s="893"/>
      <c r="GA10" s="893"/>
      <c r="GB10" s="893"/>
      <c r="GC10" s="893"/>
      <c r="GD10" s="893"/>
      <c r="GE10" s="893"/>
      <c r="GF10" s="893"/>
      <c r="GG10" s="893"/>
      <c r="GH10" s="893"/>
      <c r="GI10" s="893"/>
      <c r="GJ10" s="893"/>
      <c r="GK10" s="893"/>
      <c r="GL10" s="893"/>
      <c r="GM10" s="893"/>
      <c r="GN10" s="893"/>
      <c r="GO10" s="893"/>
      <c r="GP10" s="893"/>
      <c r="GQ10" s="893"/>
      <c r="GR10" s="893"/>
      <c r="GS10" s="893"/>
      <c r="GT10" s="893"/>
      <c r="GU10" s="893"/>
      <c r="GV10" s="893"/>
      <c r="GW10" s="893"/>
      <c r="GX10" s="893"/>
      <c r="GY10" s="893"/>
      <c r="GZ10" s="893"/>
      <c r="HA10" s="893"/>
      <c r="HB10" s="893"/>
      <c r="HC10" s="893"/>
      <c r="HD10" s="893"/>
      <c r="HE10" s="893"/>
      <c r="HF10" s="893"/>
      <c r="HG10" s="893"/>
      <c r="HH10" s="893"/>
      <c r="HI10" s="893"/>
      <c r="HJ10" s="893"/>
      <c r="HK10" s="893"/>
      <c r="HL10" s="893"/>
      <c r="HM10" s="893"/>
      <c r="HN10" s="893"/>
      <c r="HO10" s="893"/>
      <c r="HP10" s="893"/>
      <c r="HQ10" s="893"/>
      <c r="HR10" s="893"/>
      <c r="HS10" s="893"/>
      <c r="HT10" s="893"/>
      <c r="HU10" s="893"/>
      <c r="HV10" s="893"/>
      <c r="HW10" s="893"/>
      <c r="HX10" s="893"/>
      <c r="HY10" s="893"/>
      <c r="HZ10" s="893"/>
      <c r="IA10" s="893"/>
      <c r="IB10" s="893"/>
      <c r="IC10" s="893"/>
      <c r="ID10" s="893"/>
      <c r="IE10" s="893"/>
      <c r="IF10" s="893"/>
      <c r="IG10" s="893"/>
      <c r="IH10" s="893"/>
      <c r="II10" s="893"/>
      <c r="IJ10" s="893"/>
      <c r="IK10" s="893"/>
      <c r="IL10" s="893"/>
      <c r="IM10" s="893"/>
      <c r="IN10" s="893"/>
      <c r="IO10" s="893"/>
      <c r="IP10" s="893"/>
      <c r="IQ10" s="893"/>
      <c r="IR10" s="893"/>
      <c r="IS10" s="893"/>
      <c r="IT10" s="893"/>
    </row>
    <row r="11" spans="1:254" x14ac:dyDescent="0.3">
      <c r="A11" s="898" t="s">
        <v>2449</v>
      </c>
      <c r="B11" s="899" t="s">
        <v>746</v>
      </c>
      <c r="C11" s="900" t="s">
        <v>74</v>
      </c>
      <c r="D11" s="844">
        <f>1.6*7.85</f>
        <v>12.56</v>
      </c>
      <c r="E11" s="805"/>
      <c r="F11" s="803">
        <v>5962</v>
      </c>
      <c r="G11" s="794"/>
      <c r="H11" s="794">
        <f t="shared" si="0"/>
        <v>74882.720000000001</v>
      </c>
      <c r="I11" s="794">
        <f t="shared" si="1"/>
        <v>74882.720000000001</v>
      </c>
      <c r="J11" s="893"/>
      <c r="K11" s="893"/>
      <c r="L11" s="893"/>
      <c r="M11" s="893"/>
      <c r="N11" s="893"/>
      <c r="O11" s="893"/>
      <c r="P11" s="893"/>
      <c r="Q11" s="893"/>
      <c r="R11" s="893"/>
      <c r="S11" s="893"/>
      <c r="T11" s="893"/>
      <c r="U11" s="893"/>
      <c r="V11" s="893"/>
      <c r="W11" s="893"/>
      <c r="X11" s="893"/>
      <c r="Y11" s="893"/>
      <c r="Z11" s="893"/>
      <c r="AA11" s="893"/>
      <c r="AB11" s="893"/>
      <c r="AC11" s="893"/>
      <c r="AD11" s="893"/>
      <c r="AE11" s="893"/>
      <c r="AF11" s="893"/>
      <c r="AG11" s="893"/>
      <c r="AH11" s="893"/>
      <c r="AI11" s="893"/>
      <c r="AJ11" s="893"/>
      <c r="AK11" s="893"/>
      <c r="AL11" s="893"/>
      <c r="AM11" s="893"/>
      <c r="AN11" s="893"/>
      <c r="AO11" s="893"/>
      <c r="AP11" s="893"/>
      <c r="AQ11" s="893"/>
      <c r="AR11" s="893"/>
      <c r="AS11" s="893"/>
      <c r="AT11" s="893"/>
      <c r="AU11" s="893"/>
      <c r="AV11" s="893"/>
      <c r="AW11" s="893"/>
      <c r="AX11" s="893"/>
      <c r="AY11" s="893"/>
      <c r="AZ11" s="893"/>
      <c r="BA11" s="893"/>
      <c r="BB11" s="893"/>
      <c r="BC11" s="893"/>
      <c r="BD11" s="893"/>
      <c r="BE11" s="893"/>
      <c r="BF11" s="893"/>
      <c r="BG11" s="893"/>
      <c r="BH11" s="893"/>
      <c r="BI11" s="893"/>
      <c r="BJ11" s="893"/>
      <c r="BK11" s="893"/>
      <c r="BL11" s="893"/>
      <c r="BM11" s="893"/>
      <c r="BN11" s="893"/>
      <c r="BO11" s="893"/>
      <c r="BP11" s="893"/>
      <c r="BQ11" s="893"/>
      <c r="BR11" s="893"/>
      <c r="BS11" s="893"/>
      <c r="BT11" s="893"/>
      <c r="BU11" s="893"/>
      <c r="BV11" s="893"/>
      <c r="BW11" s="893"/>
      <c r="BX11" s="893"/>
      <c r="BY11" s="893"/>
      <c r="BZ11" s="893"/>
      <c r="CA11" s="893"/>
      <c r="CB11" s="893"/>
      <c r="CC11" s="893"/>
      <c r="CD11" s="893"/>
      <c r="CE11" s="893"/>
      <c r="CF11" s="893"/>
      <c r="CG11" s="893"/>
      <c r="CH11" s="893"/>
      <c r="CI11" s="893"/>
      <c r="CJ11" s="893"/>
      <c r="CK11" s="893"/>
      <c r="CL11" s="893"/>
      <c r="CM11" s="893"/>
      <c r="CN11" s="893"/>
      <c r="CO11" s="893"/>
      <c r="CP11" s="893"/>
      <c r="CQ11" s="893"/>
      <c r="CR11" s="893"/>
      <c r="CS11" s="893"/>
      <c r="CT11" s="893"/>
      <c r="CU11" s="893"/>
      <c r="CV11" s="893"/>
      <c r="CW11" s="893"/>
      <c r="CX11" s="893"/>
      <c r="CY11" s="893"/>
      <c r="CZ11" s="893"/>
      <c r="DA11" s="893"/>
      <c r="DB11" s="893"/>
      <c r="DC11" s="893"/>
      <c r="DD11" s="893"/>
      <c r="DE11" s="893"/>
      <c r="DF11" s="893"/>
      <c r="DG11" s="893"/>
      <c r="DH11" s="893"/>
      <c r="DI11" s="893"/>
      <c r="DJ11" s="893"/>
      <c r="DK11" s="893"/>
      <c r="DL11" s="893"/>
      <c r="DM11" s="893"/>
      <c r="DN11" s="893"/>
      <c r="DO11" s="893"/>
      <c r="DP11" s="893"/>
      <c r="DQ11" s="893"/>
      <c r="DR11" s="893"/>
      <c r="DS11" s="893"/>
      <c r="DT11" s="893"/>
      <c r="DU11" s="893"/>
      <c r="DV11" s="893"/>
      <c r="DW11" s="893"/>
      <c r="DX11" s="893"/>
      <c r="DY11" s="893"/>
      <c r="DZ11" s="893"/>
      <c r="EA11" s="893"/>
      <c r="EB11" s="893"/>
      <c r="EC11" s="893"/>
      <c r="ED11" s="893"/>
      <c r="EE11" s="893"/>
      <c r="EF11" s="893"/>
      <c r="EG11" s="893"/>
      <c r="EH11" s="893"/>
      <c r="EI11" s="893"/>
      <c r="EJ11" s="893"/>
      <c r="EK11" s="893"/>
      <c r="EL11" s="893"/>
      <c r="EM11" s="893"/>
      <c r="EN11" s="893"/>
      <c r="EO11" s="893"/>
      <c r="EP11" s="893"/>
      <c r="EQ11" s="893"/>
      <c r="ER11" s="893"/>
      <c r="ES11" s="893"/>
      <c r="ET11" s="893"/>
      <c r="EU11" s="893"/>
      <c r="EV11" s="893"/>
      <c r="EW11" s="893"/>
      <c r="EX11" s="893"/>
      <c r="EY11" s="893"/>
      <c r="EZ11" s="893"/>
      <c r="FA11" s="893"/>
      <c r="FB11" s="893"/>
      <c r="FC11" s="893"/>
      <c r="FD11" s="893"/>
      <c r="FE11" s="893"/>
      <c r="FF11" s="893"/>
      <c r="FG11" s="893"/>
      <c r="FH11" s="893"/>
      <c r="FI11" s="893"/>
      <c r="FJ11" s="893"/>
      <c r="FK11" s="893"/>
      <c r="FL11" s="893"/>
      <c r="FM11" s="893"/>
      <c r="FN11" s="893"/>
      <c r="FO11" s="893"/>
      <c r="FP11" s="893"/>
      <c r="FQ11" s="893"/>
      <c r="FR11" s="893"/>
      <c r="FS11" s="893"/>
      <c r="FT11" s="893"/>
      <c r="FU11" s="893"/>
      <c r="FV11" s="893"/>
      <c r="FW11" s="893"/>
      <c r="FX11" s="893"/>
      <c r="FY11" s="893"/>
      <c r="FZ11" s="893"/>
      <c r="GA11" s="893"/>
      <c r="GB11" s="893"/>
      <c r="GC11" s="893"/>
      <c r="GD11" s="893"/>
      <c r="GE11" s="893"/>
      <c r="GF11" s="893"/>
      <c r="GG11" s="893"/>
      <c r="GH11" s="893"/>
      <c r="GI11" s="893"/>
      <c r="GJ11" s="893"/>
      <c r="GK11" s="893"/>
      <c r="GL11" s="893"/>
      <c r="GM11" s="893"/>
      <c r="GN11" s="893"/>
      <c r="GO11" s="893"/>
      <c r="GP11" s="893"/>
      <c r="GQ11" s="893"/>
      <c r="GR11" s="893"/>
      <c r="GS11" s="893"/>
      <c r="GT11" s="893"/>
      <c r="GU11" s="893"/>
      <c r="GV11" s="893"/>
      <c r="GW11" s="893"/>
      <c r="GX11" s="893"/>
      <c r="GY11" s="893"/>
      <c r="GZ11" s="893"/>
      <c r="HA11" s="893"/>
      <c r="HB11" s="893"/>
      <c r="HC11" s="893"/>
      <c r="HD11" s="893"/>
      <c r="HE11" s="893"/>
      <c r="HF11" s="893"/>
      <c r="HG11" s="893"/>
      <c r="HH11" s="893"/>
      <c r="HI11" s="893"/>
      <c r="HJ11" s="893"/>
      <c r="HK11" s="893"/>
      <c r="HL11" s="893"/>
      <c r="HM11" s="893"/>
      <c r="HN11" s="893"/>
      <c r="HO11" s="893"/>
      <c r="HP11" s="893"/>
      <c r="HQ11" s="893"/>
      <c r="HR11" s="893"/>
      <c r="HS11" s="893"/>
      <c r="HT11" s="893"/>
      <c r="HU11" s="893"/>
      <c r="HV11" s="893"/>
      <c r="HW11" s="893"/>
      <c r="HX11" s="893"/>
      <c r="HY11" s="893"/>
      <c r="HZ11" s="893"/>
      <c r="IA11" s="893"/>
      <c r="IB11" s="893"/>
      <c r="IC11" s="893"/>
      <c r="ID11" s="893"/>
      <c r="IE11" s="893"/>
      <c r="IF11" s="893"/>
      <c r="IG11" s="893"/>
      <c r="IH11" s="893"/>
      <c r="II11" s="893"/>
      <c r="IJ11" s="893"/>
      <c r="IK11" s="893"/>
      <c r="IL11" s="893"/>
      <c r="IM11" s="893"/>
      <c r="IN11" s="893"/>
      <c r="IO11" s="893"/>
      <c r="IP11" s="893"/>
      <c r="IQ11" s="893"/>
      <c r="IR11" s="893"/>
      <c r="IS11" s="893"/>
      <c r="IT11" s="893"/>
    </row>
    <row r="12" spans="1:254" x14ac:dyDescent="0.3">
      <c r="A12" s="898" t="s">
        <v>2450</v>
      </c>
      <c r="B12" s="899" t="s">
        <v>747</v>
      </c>
      <c r="C12" s="900" t="s">
        <v>44</v>
      </c>
      <c r="D12" s="901">
        <f>2*215</f>
        <v>430</v>
      </c>
      <c r="E12" s="805"/>
      <c r="F12" s="803">
        <v>70</v>
      </c>
      <c r="G12" s="794"/>
      <c r="H12" s="794">
        <f t="shared" si="0"/>
        <v>30100</v>
      </c>
      <c r="I12" s="794">
        <f t="shared" si="1"/>
        <v>30100</v>
      </c>
      <c r="J12" s="893"/>
      <c r="K12" s="893"/>
      <c r="L12" s="893"/>
      <c r="M12" s="893"/>
      <c r="N12" s="893"/>
      <c r="O12" s="893"/>
      <c r="P12" s="893"/>
      <c r="Q12" s="893"/>
      <c r="R12" s="893"/>
      <c r="S12" s="893"/>
      <c r="T12" s="893"/>
      <c r="U12" s="893"/>
      <c r="V12" s="893"/>
      <c r="W12" s="893"/>
      <c r="X12" s="893"/>
      <c r="Y12" s="893"/>
      <c r="Z12" s="893"/>
      <c r="AA12" s="893"/>
      <c r="AB12" s="893"/>
      <c r="AC12" s="893"/>
      <c r="AD12" s="893"/>
      <c r="AE12" s="893"/>
      <c r="AF12" s="893"/>
      <c r="AG12" s="893"/>
      <c r="AH12" s="893"/>
      <c r="AI12" s="893"/>
      <c r="AJ12" s="893"/>
      <c r="AK12" s="893"/>
      <c r="AL12" s="893"/>
      <c r="AM12" s="893"/>
      <c r="AN12" s="893"/>
      <c r="AO12" s="893"/>
      <c r="AP12" s="893"/>
      <c r="AQ12" s="893"/>
      <c r="AR12" s="893"/>
      <c r="AS12" s="893"/>
      <c r="AT12" s="893"/>
      <c r="AU12" s="893"/>
      <c r="AV12" s="893"/>
      <c r="AW12" s="893"/>
      <c r="AX12" s="893"/>
      <c r="AY12" s="893"/>
      <c r="AZ12" s="893"/>
      <c r="BA12" s="893"/>
      <c r="BB12" s="893"/>
      <c r="BC12" s="893"/>
      <c r="BD12" s="893"/>
      <c r="BE12" s="893"/>
      <c r="BF12" s="893"/>
      <c r="BG12" s="893"/>
      <c r="BH12" s="893"/>
      <c r="BI12" s="893"/>
      <c r="BJ12" s="893"/>
      <c r="BK12" s="893"/>
      <c r="BL12" s="893"/>
      <c r="BM12" s="893"/>
      <c r="BN12" s="893"/>
      <c r="BO12" s="893"/>
      <c r="BP12" s="893"/>
      <c r="BQ12" s="893"/>
      <c r="BR12" s="893"/>
      <c r="BS12" s="893"/>
      <c r="BT12" s="893"/>
      <c r="BU12" s="893"/>
      <c r="BV12" s="893"/>
      <c r="BW12" s="893"/>
      <c r="BX12" s="893"/>
      <c r="BY12" s="893"/>
      <c r="BZ12" s="893"/>
      <c r="CA12" s="893"/>
      <c r="CB12" s="893"/>
      <c r="CC12" s="893"/>
      <c r="CD12" s="893"/>
      <c r="CE12" s="893"/>
      <c r="CF12" s="893"/>
      <c r="CG12" s="893"/>
      <c r="CH12" s="893"/>
      <c r="CI12" s="893"/>
      <c r="CJ12" s="893"/>
      <c r="CK12" s="893"/>
      <c r="CL12" s="893"/>
      <c r="CM12" s="893"/>
      <c r="CN12" s="893"/>
      <c r="CO12" s="893"/>
      <c r="CP12" s="893"/>
      <c r="CQ12" s="893"/>
      <c r="CR12" s="893"/>
      <c r="CS12" s="893"/>
      <c r="CT12" s="893"/>
      <c r="CU12" s="893"/>
      <c r="CV12" s="893"/>
      <c r="CW12" s="893"/>
      <c r="CX12" s="893"/>
      <c r="CY12" s="893"/>
      <c r="CZ12" s="893"/>
      <c r="DA12" s="893"/>
      <c r="DB12" s="893"/>
      <c r="DC12" s="893"/>
      <c r="DD12" s="893"/>
      <c r="DE12" s="893"/>
      <c r="DF12" s="893"/>
      <c r="DG12" s="893"/>
      <c r="DH12" s="893"/>
      <c r="DI12" s="893"/>
      <c r="DJ12" s="893"/>
      <c r="DK12" s="893"/>
      <c r="DL12" s="893"/>
      <c r="DM12" s="893"/>
      <c r="DN12" s="893"/>
      <c r="DO12" s="893"/>
      <c r="DP12" s="893"/>
      <c r="DQ12" s="893"/>
      <c r="DR12" s="893"/>
      <c r="DS12" s="893"/>
      <c r="DT12" s="893"/>
      <c r="DU12" s="893"/>
      <c r="DV12" s="893"/>
      <c r="DW12" s="893"/>
      <c r="DX12" s="893"/>
      <c r="DY12" s="893"/>
      <c r="DZ12" s="893"/>
      <c r="EA12" s="893"/>
      <c r="EB12" s="893"/>
      <c r="EC12" s="893"/>
      <c r="ED12" s="893"/>
      <c r="EE12" s="893"/>
      <c r="EF12" s="893"/>
      <c r="EG12" s="893"/>
      <c r="EH12" s="893"/>
      <c r="EI12" s="893"/>
      <c r="EJ12" s="893"/>
      <c r="EK12" s="893"/>
      <c r="EL12" s="893"/>
      <c r="EM12" s="893"/>
      <c r="EN12" s="893"/>
      <c r="EO12" s="893"/>
      <c r="EP12" s="893"/>
      <c r="EQ12" s="893"/>
      <c r="ER12" s="893"/>
      <c r="ES12" s="893"/>
      <c r="ET12" s="893"/>
      <c r="EU12" s="893"/>
      <c r="EV12" s="893"/>
      <c r="EW12" s="893"/>
      <c r="EX12" s="893"/>
      <c r="EY12" s="893"/>
      <c r="EZ12" s="893"/>
      <c r="FA12" s="893"/>
      <c r="FB12" s="893"/>
      <c r="FC12" s="893"/>
      <c r="FD12" s="893"/>
      <c r="FE12" s="893"/>
      <c r="FF12" s="893"/>
      <c r="FG12" s="893"/>
      <c r="FH12" s="893"/>
      <c r="FI12" s="893"/>
      <c r="FJ12" s="893"/>
      <c r="FK12" s="893"/>
      <c r="FL12" s="893"/>
      <c r="FM12" s="893"/>
      <c r="FN12" s="893"/>
      <c r="FO12" s="893"/>
      <c r="FP12" s="893"/>
      <c r="FQ12" s="893"/>
      <c r="FR12" s="893"/>
      <c r="FS12" s="893"/>
      <c r="FT12" s="893"/>
      <c r="FU12" s="893"/>
      <c r="FV12" s="893"/>
      <c r="FW12" s="893"/>
      <c r="FX12" s="893"/>
      <c r="FY12" s="893"/>
      <c r="FZ12" s="893"/>
      <c r="GA12" s="893"/>
      <c r="GB12" s="893"/>
      <c r="GC12" s="893"/>
      <c r="GD12" s="893"/>
      <c r="GE12" s="893"/>
      <c r="GF12" s="893"/>
      <c r="GG12" s="893"/>
      <c r="GH12" s="893"/>
      <c r="GI12" s="893"/>
      <c r="GJ12" s="893"/>
      <c r="GK12" s="893"/>
      <c r="GL12" s="893"/>
      <c r="GM12" s="893"/>
      <c r="GN12" s="893"/>
      <c r="GO12" s="893"/>
      <c r="GP12" s="893"/>
      <c r="GQ12" s="893"/>
      <c r="GR12" s="893"/>
      <c r="GS12" s="893"/>
      <c r="GT12" s="893"/>
      <c r="GU12" s="893"/>
      <c r="GV12" s="893"/>
      <c r="GW12" s="893"/>
      <c r="GX12" s="893"/>
      <c r="GY12" s="893"/>
      <c r="GZ12" s="893"/>
      <c r="HA12" s="893"/>
      <c r="HB12" s="893"/>
      <c r="HC12" s="893"/>
      <c r="HD12" s="893"/>
      <c r="HE12" s="893"/>
      <c r="HF12" s="893"/>
      <c r="HG12" s="893"/>
      <c r="HH12" s="893"/>
      <c r="HI12" s="893"/>
      <c r="HJ12" s="893"/>
      <c r="HK12" s="893"/>
      <c r="HL12" s="893"/>
      <c r="HM12" s="893"/>
      <c r="HN12" s="893"/>
      <c r="HO12" s="893"/>
      <c r="HP12" s="893"/>
      <c r="HQ12" s="893"/>
      <c r="HR12" s="893"/>
      <c r="HS12" s="893"/>
      <c r="HT12" s="893"/>
      <c r="HU12" s="893"/>
      <c r="HV12" s="893"/>
      <c r="HW12" s="893"/>
      <c r="HX12" s="893"/>
      <c r="HY12" s="893"/>
      <c r="HZ12" s="893"/>
      <c r="IA12" s="893"/>
      <c r="IB12" s="893"/>
      <c r="IC12" s="893"/>
      <c r="ID12" s="893"/>
      <c r="IE12" s="893"/>
      <c r="IF12" s="893"/>
      <c r="IG12" s="893"/>
      <c r="IH12" s="893"/>
      <c r="II12" s="893"/>
      <c r="IJ12" s="893"/>
      <c r="IK12" s="893"/>
      <c r="IL12" s="893"/>
      <c r="IM12" s="893"/>
      <c r="IN12" s="893"/>
      <c r="IO12" s="893"/>
      <c r="IP12" s="893"/>
      <c r="IQ12" s="893"/>
      <c r="IR12" s="893"/>
      <c r="IS12" s="893"/>
      <c r="IT12" s="893"/>
    </row>
    <row r="13" spans="1:254" s="795" customFormat="1" x14ac:dyDescent="0.3">
      <c r="A13" s="894" t="s">
        <v>2451</v>
      </c>
      <c r="B13" s="895" t="s">
        <v>752</v>
      </c>
      <c r="C13" s="896" t="s">
        <v>44</v>
      </c>
      <c r="D13" s="897">
        <f>2*D4</f>
        <v>430</v>
      </c>
      <c r="E13" s="804">
        <v>290</v>
      </c>
      <c r="F13" s="792"/>
      <c r="G13" s="793">
        <f>D13*E13</f>
        <v>124700</v>
      </c>
      <c r="H13" s="793">
        <f>SUM(H14:H17)</f>
        <v>309372.17705170001</v>
      </c>
      <c r="I13" s="793">
        <f t="shared" si="1"/>
        <v>434072.17705170001</v>
      </c>
      <c r="J13" s="893"/>
      <c r="K13" s="893"/>
      <c r="L13" s="893"/>
      <c r="M13" s="893"/>
      <c r="N13" s="893"/>
      <c r="O13" s="893"/>
      <c r="P13" s="893"/>
      <c r="Q13" s="893"/>
      <c r="R13" s="893"/>
      <c r="S13" s="893"/>
      <c r="T13" s="893"/>
      <c r="U13" s="893"/>
      <c r="V13" s="893"/>
      <c r="W13" s="893"/>
      <c r="X13" s="893"/>
      <c r="Y13" s="893"/>
      <c r="Z13" s="893"/>
      <c r="AA13" s="893"/>
      <c r="AB13" s="893"/>
      <c r="AC13" s="893"/>
      <c r="AD13" s="893"/>
      <c r="AE13" s="893"/>
      <c r="AF13" s="893"/>
      <c r="AG13" s="893"/>
      <c r="AH13" s="893"/>
      <c r="AI13" s="893"/>
      <c r="AJ13" s="893"/>
      <c r="AK13" s="893"/>
      <c r="AL13" s="893"/>
      <c r="AM13" s="893"/>
      <c r="AN13" s="893"/>
      <c r="AO13" s="893"/>
      <c r="AP13" s="893"/>
      <c r="AQ13" s="893"/>
      <c r="AR13" s="893"/>
      <c r="AS13" s="893"/>
      <c r="AT13" s="893"/>
      <c r="AU13" s="893"/>
      <c r="AV13" s="893"/>
      <c r="AW13" s="893"/>
      <c r="AX13" s="893"/>
      <c r="AY13" s="893"/>
      <c r="AZ13" s="893"/>
      <c r="BA13" s="893"/>
      <c r="BB13" s="893"/>
      <c r="BC13" s="893"/>
      <c r="BD13" s="893"/>
      <c r="BE13" s="893"/>
      <c r="BF13" s="893"/>
      <c r="BG13" s="893"/>
      <c r="BH13" s="893"/>
      <c r="BI13" s="893"/>
      <c r="BJ13" s="893"/>
      <c r="BK13" s="893"/>
      <c r="BL13" s="893"/>
      <c r="BM13" s="893"/>
      <c r="BN13" s="893"/>
      <c r="BO13" s="893"/>
      <c r="BP13" s="893"/>
      <c r="BQ13" s="893"/>
      <c r="BR13" s="893"/>
      <c r="BS13" s="893"/>
      <c r="BT13" s="893"/>
      <c r="BU13" s="893"/>
      <c r="BV13" s="893"/>
      <c r="BW13" s="893"/>
      <c r="BX13" s="893"/>
      <c r="BY13" s="893"/>
      <c r="BZ13" s="893"/>
      <c r="CA13" s="893"/>
      <c r="CB13" s="893"/>
      <c r="CC13" s="893"/>
      <c r="CD13" s="893"/>
      <c r="CE13" s="893"/>
      <c r="CF13" s="893"/>
      <c r="CG13" s="893"/>
      <c r="CH13" s="893"/>
      <c r="CI13" s="893"/>
      <c r="CJ13" s="893"/>
      <c r="CK13" s="893"/>
      <c r="CL13" s="893"/>
      <c r="CM13" s="893"/>
      <c r="CN13" s="893"/>
      <c r="CO13" s="893"/>
      <c r="CP13" s="893"/>
      <c r="CQ13" s="893"/>
      <c r="CR13" s="893"/>
      <c r="CS13" s="893"/>
      <c r="CT13" s="893"/>
      <c r="CU13" s="893"/>
      <c r="CV13" s="893"/>
      <c r="CW13" s="893"/>
      <c r="CX13" s="893"/>
      <c r="CY13" s="893"/>
      <c r="CZ13" s="893"/>
      <c r="DA13" s="893"/>
      <c r="DB13" s="893"/>
      <c r="DC13" s="893"/>
      <c r="DD13" s="893"/>
      <c r="DE13" s="893"/>
      <c r="DF13" s="893"/>
      <c r="DG13" s="893"/>
      <c r="DH13" s="893"/>
      <c r="DI13" s="893"/>
      <c r="DJ13" s="893"/>
      <c r="DK13" s="893"/>
      <c r="DL13" s="893"/>
      <c r="DM13" s="893"/>
      <c r="DN13" s="893"/>
      <c r="DO13" s="893"/>
      <c r="DP13" s="893"/>
      <c r="DQ13" s="893"/>
      <c r="DR13" s="893"/>
      <c r="DS13" s="893"/>
      <c r="DT13" s="893"/>
      <c r="DU13" s="893"/>
      <c r="DV13" s="893"/>
      <c r="DW13" s="893"/>
      <c r="DX13" s="893"/>
      <c r="DY13" s="893"/>
      <c r="DZ13" s="893"/>
      <c r="EA13" s="893"/>
      <c r="EB13" s="893"/>
      <c r="EC13" s="893"/>
      <c r="ED13" s="893"/>
      <c r="EE13" s="893"/>
      <c r="EF13" s="893"/>
      <c r="EG13" s="893"/>
      <c r="EH13" s="893"/>
      <c r="EI13" s="893"/>
      <c r="EJ13" s="893"/>
      <c r="EK13" s="893"/>
      <c r="EL13" s="893"/>
      <c r="EM13" s="893"/>
      <c r="EN13" s="893"/>
      <c r="EO13" s="893"/>
      <c r="EP13" s="893"/>
      <c r="EQ13" s="893"/>
      <c r="ER13" s="893"/>
      <c r="ES13" s="893"/>
      <c r="ET13" s="893"/>
      <c r="EU13" s="893"/>
      <c r="EV13" s="893"/>
      <c r="EW13" s="893"/>
      <c r="EX13" s="893"/>
      <c r="EY13" s="893"/>
      <c r="EZ13" s="893"/>
      <c r="FA13" s="893"/>
      <c r="FB13" s="893"/>
      <c r="FC13" s="893"/>
      <c r="FD13" s="893"/>
      <c r="FE13" s="893"/>
      <c r="FF13" s="893"/>
      <c r="FG13" s="893"/>
      <c r="FH13" s="893"/>
      <c r="FI13" s="893"/>
      <c r="FJ13" s="893"/>
      <c r="FK13" s="893"/>
      <c r="FL13" s="893"/>
      <c r="FM13" s="893"/>
      <c r="FN13" s="893"/>
      <c r="FO13" s="893"/>
      <c r="FP13" s="893"/>
      <c r="FQ13" s="893"/>
      <c r="FR13" s="893"/>
      <c r="FS13" s="893"/>
      <c r="FT13" s="893"/>
      <c r="FU13" s="893"/>
      <c r="FV13" s="893"/>
      <c r="FW13" s="893"/>
      <c r="FX13" s="893"/>
      <c r="FY13" s="893"/>
      <c r="FZ13" s="893"/>
      <c r="GA13" s="893"/>
      <c r="GB13" s="893"/>
      <c r="GC13" s="893"/>
      <c r="GD13" s="893"/>
      <c r="GE13" s="893"/>
      <c r="GF13" s="893"/>
      <c r="GG13" s="893"/>
      <c r="GH13" s="893"/>
      <c r="GI13" s="893"/>
      <c r="GJ13" s="893"/>
      <c r="GK13" s="893"/>
      <c r="GL13" s="893"/>
      <c r="GM13" s="893"/>
      <c r="GN13" s="893"/>
      <c r="GO13" s="893"/>
      <c r="GP13" s="893"/>
      <c r="GQ13" s="893"/>
      <c r="GR13" s="893"/>
      <c r="GS13" s="893"/>
      <c r="GT13" s="893"/>
      <c r="GU13" s="893"/>
      <c r="GV13" s="893"/>
      <c r="GW13" s="893"/>
      <c r="GX13" s="893"/>
      <c r="GY13" s="893"/>
      <c r="GZ13" s="893"/>
      <c r="HA13" s="893"/>
      <c r="HB13" s="893"/>
      <c r="HC13" s="893"/>
      <c r="HD13" s="893"/>
      <c r="HE13" s="893"/>
      <c r="HF13" s="893"/>
      <c r="HG13" s="893"/>
      <c r="HH13" s="893"/>
      <c r="HI13" s="893"/>
      <c r="HJ13" s="893"/>
      <c r="HK13" s="893"/>
      <c r="HL13" s="893"/>
      <c r="HM13" s="893"/>
      <c r="HN13" s="893"/>
      <c r="HO13" s="893"/>
      <c r="HP13" s="893"/>
      <c r="HQ13" s="893"/>
      <c r="HR13" s="893"/>
      <c r="HS13" s="893"/>
      <c r="HT13" s="893"/>
      <c r="HU13" s="893"/>
      <c r="HV13" s="893"/>
      <c r="HW13" s="893"/>
      <c r="HX13" s="893"/>
      <c r="HY13" s="893"/>
      <c r="HZ13" s="893"/>
      <c r="IA13" s="893"/>
      <c r="IB13" s="893"/>
      <c r="IC13" s="893"/>
      <c r="ID13" s="893"/>
      <c r="IE13" s="893"/>
      <c r="IF13" s="893"/>
      <c r="IG13" s="893"/>
      <c r="IH13" s="893"/>
      <c r="II13" s="893"/>
      <c r="IJ13" s="893"/>
      <c r="IK13" s="893"/>
      <c r="IL13" s="893"/>
      <c r="IM13" s="893"/>
      <c r="IN13" s="893"/>
      <c r="IO13" s="893"/>
      <c r="IP13" s="893"/>
      <c r="IQ13" s="893"/>
      <c r="IR13" s="893"/>
      <c r="IS13" s="893"/>
      <c r="IT13" s="893"/>
    </row>
    <row r="14" spans="1:254" x14ac:dyDescent="0.3">
      <c r="A14" s="898" t="s">
        <v>2452</v>
      </c>
      <c r="B14" s="899" t="s">
        <v>739</v>
      </c>
      <c r="C14" s="900" t="s">
        <v>62</v>
      </c>
      <c r="D14" s="844">
        <f>1.61*2*215/1000</f>
        <v>0.69230000000000003</v>
      </c>
      <c r="E14" s="805"/>
      <c r="F14" s="816">
        <v>106477.049</v>
      </c>
      <c r="G14" s="794"/>
      <c r="H14" s="794">
        <f>D14*F14</f>
        <v>73714.0610227</v>
      </c>
      <c r="I14" s="794">
        <f t="shared" si="1"/>
        <v>73714.0610227</v>
      </c>
      <c r="J14" s="893"/>
      <c r="K14" s="893"/>
      <c r="L14" s="893"/>
      <c r="M14" s="893"/>
      <c r="N14" s="893"/>
      <c r="O14" s="893"/>
      <c r="P14" s="893"/>
      <c r="Q14" s="893"/>
      <c r="R14" s="893"/>
      <c r="S14" s="893"/>
      <c r="T14" s="893"/>
      <c r="U14" s="893"/>
      <c r="V14" s="893"/>
      <c r="W14" s="893"/>
      <c r="X14" s="893"/>
      <c r="Y14" s="893"/>
      <c r="Z14" s="893"/>
      <c r="AA14" s="893"/>
      <c r="AB14" s="893"/>
      <c r="AC14" s="893"/>
      <c r="AD14" s="893"/>
      <c r="AE14" s="893"/>
      <c r="AF14" s="893"/>
      <c r="AG14" s="893"/>
      <c r="AH14" s="893"/>
      <c r="AI14" s="893"/>
      <c r="AJ14" s="893"/>
      <c r="AK14" s="893"/>
      <c r="AL14" s="893"/>
      <c r="AM14" s="893"/>
      <c r="AN14" s="893"/>
      <c r="AO14" s="893"/>
      <c r="AP14" s="893"/>
      <c r="AQ14" s="893"/>
      <c r="AR14" s="893"/>
      <c r="AS14" s="893"/>
      <c r="AT14" s="893"/>
      <c r="AU14" s="893"/>
      <c r="AV14" s="893"/>
      <c r="AW14" s="893"/>
      <c r="AX14" s="893"/>
      <c r="AY14" s="893"/>
      <c r="AZ14" s="893"/>
      <c r="BA14" s="893"/>
      <c r="BB14" s="893"/>
      <c r="BC14" s="893"/>
      <c r="BD14" s="893"/>
      <c r="BE14" s="893"/>
      <c r="BF14" s="893"/>
      <c r="BG14" s="893"/>
      <c r="BH14" s="893"/>
      <c r="BI14" s="893"/>
      <c r="BJ14" s="893"/>
      <c r="BK14" s="893"/>
      <c r="BL14" s="893"/>
      <c r="BM14" s="893"/>
      <c r="BN14" s="893"/>
      <c r="BO14" s="893"/>
      <c r="BP14" s="893"/>
      <c r="BQ14" s="893"/>
      <c r="BR14" s="893"/>
      <c r="BS14" s="893"/>
      <c r="BT14" s="893"/>
      <c r="BU14" s="893"/>
      <c r="BV14" s="893"/>
      <c r="BW14" s="893"/>
      <c r="BX14" s="893"/>
      <c r="BY14" s="893"/>
      <c r="BZ14" s="893"/>
      <c r="CA14" s="893"/>
      <c r="CB14" s="893"/>
      <c r="CC14" s="893"/>
      <c r="CD14" s="893"/>
      <c r="CE14" s="893"/>
      <c r="CF14" s="893"/>
      <c r="CG14" s="893"/>
      <c r="CH14" s="893"/>
      <c r="CI14" s="893"/>
      <c r="CJ14" s="893"/>
      <c r="CK14" s="893"/>
      <c r="CL14" s="893"/>
      <c r="CM14" s="893"/>
      <c r="CN14" s="893"/>
      <c r="CO14" s="893"/>
      <c r="CP14" s="893"/>
      <c r="CQ14" s="893"/>
      <c r="CR14" s="893"/>
      <c r="CS14" s="893"/>
      <c r="CT14" s="893"/>
      <c r="CU14" s="893"/>
      <c r="CV14" s="893"/>
      <c r="CW14" s="893"/>
      <c r="CX14" s="893"/>
      <c r="CY14" s="893"/>
      <c r="CZ14" s="893"/>
      <c r="DA14" s="893"/>
      <c r="DB14" s="893"/>
      <c r="DC14" s="893"/>
      <c r="DD14" s="893"/>
      <c r="DE14" s="893"/>
      <c r="DF14" s="893"/>
      <c r="DG14" s="893"/>
      <c r="DH14" s="893"/>
      <c r="DI14" s="893"/>
      <c r="DJ14" s="893"/>
      <c r="DK14" s="893"/>
      <c r="DL14" s="893"/>
      <c r="DM14" s="893"/>
      <c r="DN14" s="893"/>
      <c r="DO14" s="893"/>
      <c r="DP14" s="893"/>
      <c r="DQ14" s="893"/>
      <c r="DR14" s="893"/>
      <c r="DS14" s="893"/>
      <c r="DT14" s="893"/>
      <c r="DU14" s="893"/>
      <c r="DV14" s="893"/>
      <c r="DW14" s="893"/>
      <c r="DX14" s="893"/>
      <c r="DY14" s="893"/>
      <c r="DZ14" s="893"/>
      <c r="EA14" s="893"/>
      <c r="EB14" s="893"/>
      <c r="EC14" s="893"/>
      <c r="ED14" s="893"/>
      <c r="EE14" s="893"/>
      <c r="EF14" s="893"/>
      <c r="EG14" s="893"/>
      <c r="EH14" s="893"/>
      <c r="EI14" s="893"/>
      <c r="EJ14" s="893"/>
      <c r="EK14" s="893"/>
      <c r="EL14" s="893"/>
      <c r="EM14" s="893"/>
      <c r="EN14" s="893"/>
      <c r="EO14" s="893"/>
      <c r="EP14" s="893"/>
      <c r="EQ14" s="893"/>
      <c r="ER14" s="893"/>
      <c r="ES14" s="893"/>
      <c r="ET14" s="893"/>
      <c r="EU14" s="893"/>
      <c r="EV14" s="893"/>
      <c r="EW14" s="893"/>
      <c r="EX14" s="893"/>
      <c r="EY14" s="893"/>
      <c r="EZ14" s="893"/>
      <c r="FA14" s="893"/>
      <c r="FB14" s="893"/>
      <c r="FC14" s="893"/>
      <c r="FD14" s="893"/>
      <c r="FE14" s="893"/>
      <c r="FF14" s="893"/>
      <c r="FG14" s="893"/>
      <c r="FH14" s="893"/>
      <c r="FI14" s="893"/>
      <c r="FJ14" s="893"/>
      <c r="FK14" s="893"/>
      <c r="FL14" s="893"/>
      <c r="FM14" s="893"/>
      <c r="FN14" s="893"/>
      <c r="FO14" s="893"/>
      <c r="FP14" s="893"/>
      <c r="FQ14" s="893"/>
      <c r="FR14" s="893"/>
      <c r="FS14" s="893"/>
      <c r="FT14" s="893"/>
      <c r="FU14" s="893"/>
      <c r="FV14" s="893"/>
      <c r="FW14" s="893"/>
      <c r="FX14" s="893"/>
      <c r="FY14" s="893"/>
      <c r="FZ14" s="893"/>
      <c r="GA14" s="893"/>
      <c r="GB14" s="893"/>
      <c r="GC14" s="893"/>
      <c r="GD14" s="893"/>
      <c r="GE14" s="893"/>
      <c r="GF14" s="893"/>
      <c r="GG14" s="893"/>
      <c r="GH14" s="893"/>
      <c r="GI14" s="893"/>
      <c r="GJ14" s="893"/>
      <c r="GK14" s="893"/>
      <c r="GL14" s="893"/>
      <c r="GM14" s="893"/>
      <c r="GN14" s="893"/>
      <c r="GO14" s="893"/>
      <c r="GP14" s="893"/>
      <c r="GQ14" s="893"/>
      <c r="GR14" s="893"/>
      <c r="GS14" s="893"/>
      <c r="GT14" s="893"/>
      <c r="GU14" s="893"/>
      <c r="GV14" s="893"/>
      <c r="GW14" s="893"/>
      <c r="GX14" s="893"/>
      <c r="GY14" s="893"/>
      <c r="GZ14" s="893"/>
      <c r="HA14" s="893"/>
      <c r="HB14" s="893"/>
      <c r="HC14" s="893"/>
      <c r="HD14" s="893"/>
      <c r="HE14" s="893"/>
      <c r="HF14" s="893"/>
      <c r="HG14" s="893"/>
      <c r="HH14" s="893"/>
      <c r="HI14" s="893"/>
      <c r="HJ14" s="893"/>
      <c r="HK14" s="893"/>
      <c r="HL14" s="893"/>
      <c r="HM14" s="893"/>
      <c r="HN14" s="893"/>
      <c r="HO14" s="893"/>
      <c r="HP14" s="893"/>
      <c r="HQ14" s="893"/>
      <c r="HR14" s="893"/>
      <c r="HS14" s="893"/>
      <c r="HT14" s="893"/>
      <c r="HU14" s="893"/>
      <c r="HV14" s="893"/>
      <c r="HW14" s="893"/>
      <c r="HX14" s="893"/>
      <c r="HY14" s="893"/>
      <c r="HZ14" s="893"/>
      <c r="IA14" s="893"/>
      <c r="IB14" s="893"/>
      <c r="IC14" s="893"/>
      <c r="ID14" s="893"/>
      <c r="IE14" s="893"/>
      <c r="IF14" s="893"/>
      <c r="IG14" s="893"/>
      <c r="IH14" s="893"/>
      <c r="II14" s="893"/>
      <c r="IJ14" s="893"/>
      <c r="IK14" s="893"/>
      <c r="IL14" s="893"/>
      <c r="IM14" s="893"/>
      <c r="IN14" s="893"/>
      <c r="IO14" s="893"/>
      <c r="IP14" s="893"/>
      <c r="IQ14" s="893"/>
      <c r="IR14" s="893"/>
      <c r="IS14" s="893"/>
      <c r="IT14" s="893"/>
    </row>
    <row r="15" spans="1:254" x14ac:dyDescent="0.3">
      <c r="A15" s="898" t="s">
        <v>2453</v>
      </c>
      <c r="B15" s="899" t="s">
        <v>753</v>
      </c>
      <c r="C15" s="900" t="s">
        <v>62</v>
      </c>
      <c r="D15" s="844">
        <f>4.32*2*215/1000</f>
        <v>1.8576000000000001</v>
      </c>
      <c r="E15" s="805"/>
      <c r="F15" s="816">
        <v>106477.049</v>
      </c>
      <c r="G15" s="794"/>
      <c r="H15" s="794">
        <f>D15*F15</f>
        <v>197791.76622240001</v>
      </c>
      <c r="I15" s="794">
        <f t="shared" si="1"/>
        <v>197791.76622240001</v>
      </c>
      <c r="J15" s="893"/>
      <c r="K15" s="893"/>
      <c r="L15" s="893"/>
      <c r="M15" s="893"/>
      <c r="N15" s="893"/>
      <c r="O15" s="893"/>
      <c r="P15" s="893"/>
      <c r="Q15" s="893"/>
      <c r="R15" s="893"/>
      <c r="S15" s="893"/>
      <c r="T15" s="893"/>
      <c r="U15" s="893"/>
      <c r="V15" s="893"/>
      <c r="W15" s="893"/>
      <c r="X15" s="893"/>
      <c r="Y15" s="893"/>
      <c r="Z15" s="893"/>
      <c r="AA15" s="893"/>
      <c r="AB15" s="893"/>
      <c r="AC15" s="893"/>
      <c r="AD15" s="893"/>
      <c r="AE15" s="893"/>
      <c r="AF15" s="893"/>
      <c r="AG15" s="893"/>
      <c r="AH15" s="893"/>
      <c r="AI15" s="893"/>
      <c r="AJ15" s="893"/>
      <c r="AK15" s="893"/>
      <c r="AL15" s="893"/>
      <c r="AM15" s="893"/>
      <c r="AN15" s="893"/>
      <c r="AO15" s="893"/>
      <c r="AP15" s="893"/>
      <c r="AQ15" s="893"/>
      <c r="AR15" s="893"/>
      <c r="AS15" s="893"/>
      <c r="AT15" s="893"/>
      <c r="AU15" s="893"/>
      <c r="AV15" s="893"/>
      <c r="AW15" s="893"/>
      <c r="AX15" s="893"/>
      <c r="AY15" s="893"/>
      <c r="AZ15" s="893"/>
      <c r="BA15" s="893"/>
      <c r="BB15" s="893"/>
      <c r="BC15" s="893"/>
      <c r="BD15" s="893"/>
      <c r="BE15" s="893"/>
      <c r="BF15" s="893"/>
      <c r="BG15" s="893"/>
      <c r="BH15" s="893"/>
      <c r="BI15" s="893"/>
      <c r="BJ15" s="893"/>
      <c r="BK15" s="893"/>
      <c r="BL15" s="893"/>
      <c r="BM15" s="893"/>
      <c r="BN15" s="893"/>
      <c r="BO15" s="893"/>
      <c r="BP15" s="893"/>
      <c r="BQ15" s="893"/>
      <c r="BR15" s="893"/>
      <c r="BS15" s="893"/>
      <c r="BT15" s="893"/>
      <c r="BU15" s="893"/>
      <c r="BV15" s="893"/>
      <c r="BW15" s="893"/>
      <c r="BX15" s="893"/>
      <c r="BY15" s="893"/>
      <c r="BZ15" s="893"/>
      <c r="CA15" s="893"/>
      <c r="CB15" s="893"/>
      <c r="CC15" s="893"/>
      <c r="CD15" s="893"/>
      <c r="CE15" s="893"/>
      <c r="CF15" s="893"/>
      <c r="CG15" s="893"/>
      <c r="CH15" s="893"/>
      <c r="CI15" s="893"/>
      <c r="CJ15" s="893"/>
      <c r="CK15" s="893"/>
      <c r="CL15" s="893"/>
      <c r="CM15" s="893"/>
      <c r="CN15" s="893"/>
      <c r="CO15" s="893"/>
      <c r="CP15" s="893"/>
      <c r="CQ15" s="893"/>
      <c r="CR15" s="893"/>
      <c r="CS15" s="893"/>
      <c r="CT15" s="893"/>
      <c r="CU15" s="893"/>
      <c r="CV15" s="893"/>
      <c r="CW15" s="893"/>
      <c r="CX15" s="893"/>
      <c r="CY15" s="893"/>
      <c r="CZ15" s="893"/>
      <c r="DA15" s="893"/>
      <c r="DB15" s="893"/>
      <c r="DC15" s="893"/>
      <c r="DD15" s="893"/>
      <c r="DE15" s="893"/>
      <c r="DF15" s="893"/>
      <c r="DG15" s="893"/>
      <c r="DH15" s="893"/>
      <c r="DI15" s="893"/>
      <c r="DJ15" s="893"/>
      <c r="DK15" s="893"/>
      <c r="DL15" s="893"/>
      <c r="DM15" s="893"/>
      <c r="DN15" s="893"/>
      <c r="DO15" s="893"/>
      <c r="DP15" s="893"/>
      <c r="DQ15" s="893"/>
      <c r="DR15" s="893"/>
      <c r="DS15" s="893"/>
      <c r="DT15" s="893"/>
      <c r="DU15" s="893"/>
      <c r="DV15" s="893"/>
      <c r="DW15" s="893"/>
      <c r="DX15" s="893"/>
      <c r="DY15" s="893"/>
      <c r="DZ15" s="893"/>
      <c r="EA15" s="893"/>
      <c r="EB15" s="893"/>
      <c r="EC15" s="893"/>
      <c r="ED15" s="893"/>
      <c r="EE15" s="893"/>
      <c r="EF15" s="893"/>
      <c r="EG15" s="893"/>
      <c r="EH15" s="893"/>
      <c r="EI15" s="893"/>
      <c r="EJ15" s="893"/>
      <c r="EK15" s="893"/>
      <c r="EL15" s="893"/>
      <c r="EM15" s="893"/>
      <c r="EN15" s="893"/>
      <c r="EO15" s="893"/>
      <c r="EP15" s="893"/>
      <c r="EQ15" s="893"/>
      <c r="ER15" s="893"/>
      <c r="ES15" s="893"/>
      <c r="ET15" s="893"/>
      <c r="EU15" s="893"/>
      <c r="EV15" s="893"/>
      <c r="EW15" s="893"/>
      <c r="EX15" s="893"/>
      <c r="EY15" s="893"/>
      <c r="EZ15" s="893"/>
      <c r="FA15" s="893"/>
      <c r="FB15" s="893"/>
      <c r="FC15" s="893"/>
      <c r="FD15" s="893"/>
      <c r="FE15" s="893"/>
      <c r="FF15" s="893"/>
      <c r="FG15" s="893"/>
      <c r="FH15" s="893"/>
      <c r="FI15" s="893"/>
      <c r="FJ15" s="893"/>
      <c r="FK15" s="893"/>
      <c r="FL15" s="893"/>
      <c r="FM15" s="893"/>
      <c r="FN15" s="893"/>
      <c r="FO15" s="893"/>
      <c r="FP15" s="893"/>
      <c r="FQ15" s="893"/>
      <c r="FR15" s="893"/>
      <c r="FS15" s="893"/>
      <c r="FT15" s="893"/>
      <c r="FU15" s="893"/>
      <c r="FV15" s="893"/>
      <c r="FW15" s="893"/>
      <c r="FX15" s="893"/>
      <c r="FY15" s="893"/>
      <c r="FZ15" s="893"/>
      <c r="GA15" s="893"/>
      <c r="GB15" s="893"/>
      <c r="GC15" s="893"/>
      <c r="GD15" s="893"/>
      <c r="GE15" s="893"/>
      <c r="GF15" s="893"/>
      <c r="GG15" s="893"/>
      <c r="GH15" s="893"/>
      <c r="GI15" s="893"/>
      <c r="GJ15" s="893"/>
      <c r="GK15" s="893"/>
      <c r="GL15" s="893"/>
      <c r="GM15" s="893"/>
      <c r="GN15" s="893"/>
      <c r="GO15" s="893"/>
      <c r="GP15" s="893"/>
      <c r="GQ15" s="893"/>
      <c r="GR15" s="893"/>
      <c r="GS15" s="893"/>
      <c r="GT15" s="893"/>
      <c r="GU15" s="893"/>
      <c r="GV15" s="893"/>
      <c r="GW15" s="893"/>
      <c r="GX15" s="893"/>
      <c r="GY15" s="893"/>
      <c r="GZ15" s="893"/>
      <c r="HA15" s="893"/>
      <c r="HB15" s="893"/>
      <c r="HC15" s="893"/>
      <c r="HD15" s="893"/>
      <c r="HE15" s="893"/>
      <c r="HF15" s="893"/>
      <c r="HG15" s="893"/>
      <c r="HH15" s="893"/>
      <c r="HI15" s="893"/>
      <c r="HJ15" s="893"/>
      <c r="HK15" s="893"/>
      <c r="HL15" s="893"/>
      <c r="HM15" s="893"/>
      <c r="HN15" s="893"/>
      <c r="HO15" s="893"/>
      <c r="HP15" s="893"/>
      <c r="HQ15" s="893"/>
      <c r="HR15" s="893"/>
      <c r="HS15" s="893"/>
      <c r="HT15" s="893"/>
      <c r="HU15" s="893"/>
      <c r="HV15" s="893"/>
      <c r="HW15" s="893"/>
      <c r="HX15" s="893"/>
      <c r="HY15" s="893"/>
      <c r="HZ15" s="893"/>
      <c r="IA15" s="893"/>
      <c r="IB15" s="893"/>
      <c r="IC15" s="893"/>
      <c r="ID15" s="893"/>
      <c r="IE15" s="893"/>
      <c r="IF15" s="893"/>
      <c r="IG15" s="893"/>
      <c r="IH15" s="893"/>
      <c r="II15" s="893"/>
      <c r="IJ15" s="893"/>
      <c r="IK15" s="893"/>
      <c r="IL15" s="893"/>
      <c r="IM15" s="893"/>
      <c r="IN15" s="893"/>
      <c r="IO15" s="893"/>
      <c r="IP15" s="893"/>
      <c r="IQ15" s="893"/>
      <c r="IR15" s="893"/>
      <c r="IS15" s="893"/>
      <c r="IT15" s="893"/>
    </row>
    <row r="16" spans="1:254" x14ac:dyDescent="0.3">
      <c r="A16" s="898" t="s">
        <v>2454</v>
      </c>
      <c r="B16" s="899" t="s">
        <v>741</v>
      </c>
      <c r="C16" s="900" t="s">
        <v>62</v>
      </c>
      <c r="D16" s="844">
        <f>0.38*2*215/1000</f>
        <v>0.16340000000000002</v>
      </c>
      <c r="E16" s="805"/>
      <c r="F16" s="816">
        <v>106477.049</v>
      </c>
      <c r="G16" s="794"/>
      <c r="H16" s="794">
        <f>D16*F16</f>
        <v>17398.349806600003</v>
      </c>
      <c r="I16" s="794">
        <f t="shared" si="1"/>
        <v>17398.349806600003</v>
      </c>
      <c r="J16" s="893"/>
      <c r="K16" s="893"/>
      <c r="L16" s="893"/>
      <c r="M16" s="893"/>
      <c r="N16" s="893"/>
      <c r="O16" s="893"/>
      <c r="P16" s="893"/>
      <c r="Q16" s="893"/>
      <c r="R16" s="893"/>
      <c r="S16" s="893"/>
      <c r="T16" s="893"/>
      <c r="U16" s="893"/>
      <c r="V16" s="893"/>
      <c r="W16" s="893"/>
      <c r="X16" s="893"/>
      <c r="Y16" s="893"/>
      <c r="Z16" s="893"/>
      <c r="AA16" s="893"/>
      <c r="AB16" s="893"/>
      <c r="AC16" s="893"/>
      <c r="AD16" s="893"/>
      <c r="AE16" s="893"/>
      <c r="AF16" s="893"/>
      <c r="AG16" s="893"/>
      <c r="AH16" s="893"/>
      <c r="AI16" s="893"/>
      <c r="AJ16" s="893"/>
      <c r="AK16" s="893"/>
      <c r="AL16" s="893"/>
      <c r="AM16" s="893"/>
      <c r="AN16" s="893"/>
      <c r="AO16" s="893"/>
      <c r="AP16" s="893"/>
      <c r="AQ16" s="893"/>
      <c r="AR16" s="893"/>
      <c r="AS16" s="893"/>
      <c r="AT16" s="893"/>
      <c r="AU16" s="893"/>
      <c r="AV16" s="893"/>
      <c r="AW16" s="893"/>
      <c r="AX16" s="893"/>
      <c r="AY16" s="893"/>
      <c r="AZ16" s="893"/>
      <c r="BA16" s="893"/>
      <c r="BB16" s="893"/>
      <c r="BC16" s="893"/>
      <c r="BD16" s="893"/>
      <c r="BE16" s="893"/>
      <c r="BF16" s="893"/>
      <c r="BG16" s="893"/>
      <c r="BH16" s="893"/>
      <c r="BI16" s="893"/>
      <c r="BJ16" s="893"/>
      <c r="BK16" s="893"/>
      <c r="BL16" s="893"/>
      <c r="BM16" s="893"/>
      <c r="BN16" s="893"/>
      <c r="BO16" s="893"/>
      <c r="BP16" s="893"/>
      <c r="BQ16" s="893"/>
      <c r="BR16" s="893"/>
      <c r="BS16" s="893"/>
      <c r="BT16" s="893"/>
      <c r="BU16" s="893"/>
      <c r="BV16" s="893"/>
      <c r="BW16" s="893"/>
      <c r="BX16" s="893"/>
      <c r="BY16" s="893"/>
      <c r="BZ16" s="893"/>
      <c r="CA16" s="893"/>
      <c r="CB16" s="893"/>
      <c r="CC16" s="893"/>
      <c r="CD16" s="893"/>
      <c r="CE16" s="893"/>
      <c r="CF16" s="893"/>
      <c r="CG16" s="893"/>
      <c r="CH16" s="893"/>
      <c r="CI16" s="893"/>
      <c r="CJ16" s="893"/>
      <c r="CK16" s="893"/>
      <c r="CL16" s="893"/>
      <c r="CM16" s="893"/>
      <c r="CN16" s="893"/>
      <c r="CO16" s="893"/>
      <c r="CP16" s="893"/>
      <c r="CQ16" s="893"/>
      <c r="CR16" s="893"/>
      <c r="CS16" s="893"/>
      <c r="CT16" s="893"/>
      <c r="CU16" s="893"/>
      <c r="CV16" s="893"/>
      <c r="CW16" s="893"/>
      <c r="CX16" s="893"/>
      <c r="CY16" s="893"/>
      <c r="CZ16" s="893"/>
      <c r="DA16" s="893"/>
      <c r="DB16" s="893"/>
      <c r="DC16" s="893"/>
      <c r="DD16" s="893"/>
      <c r="DE16" s="893"/>
      <c r="DF16" s="893"/>
      <c r="DG16" s="893"/>
      <c r="DH16" s="893"/>
      <c r="DI16" s="893"/>
      <c r="DJ16" s="893"/>
      <c r="DK16" s="893"/>
      <c r="DL16" s="893"/>
      <c r="DM16" s="893"/>
      <c r="DN16" s="893"/>
      <c r="DO16" s="893"/>
      <c r="DP16" s="893"/>
      <c r="DQ16" s="893"/>
      <c r="DR16" s="893"/>
      <c r="DS16" s="893"/>
      <c r="DT16" s="893"/>
      <c r="DU16" s="893"/>
      <c r="DV16" s="893"/>
      <c r="DW16" s="893"/>
      <c r="DX16" s="893"/>
      <c r="DY16" s="893"/>
      <c r="DZ16" s="893"/>
      <c r="EA16" s="893"/>
      <c r="EB16" s="893"/>
      <c r="EC16" s="893"/>
      <c r="ED16" s="893"/>
      <c r="EE16" s="893"/>
      <c r="EF16" s="893"/>
      <c r="EG16" s="893"/>
      <c r="EH16" s="893"/>
      <c r="EI16" s="893"/>
      <c r="EJ16" s="893"/>
      <c r="EK16" s="893"/>
      <c r="EL16" s="893"/>
      <c r="EM16" s="893"/>
      <c r="EN16" s="893"/>
      <c r="EO16" s="893"/>
      <c r="EP16" s="893"/>
      <c r="EQ16" s="893"/>
      <c r="ER16" s="893"/>
      <c r="ES16" s="893"/>
      <c r="ET16" s="893"/>
      <c r="EU16" s="893"/>
      <c r="EV16" s="893"/>
      <c r="EW16" s="893"/>
      <c r="EX16" s="893"/>
      <c r="EY16" s="893"/>
      <c r="EZ16" s="893"/>
      <c r="FA16" s="893"/>
      <c r="FB16" s="893"/>
      <c r="FC16" s="893"/>
      <c r="FD16" s="893"/>
      <c r="FE16" s="893"/>
      <c r="FF16" s="893"/>
      <c r="FG16" s="893"/>
      <c r="FH16" s="893"/>
      <c r="FI16" s="893"/>
      <c r="FJ16" s="893"/>
      <c r="FK16" s="893"/>
      <c r="FL16" s="893"/>
      <c r="FM16" s="893"/>
      <c r="FN16" s="893"/>
      <c r="FO16" s="893"/>
      <c r="FP16" s="893"/>
      <c r="FQ16" s="893"/>
      <c r="FR16" s="893"/>
      <c r="FS16" s="893"/>
      <c r="FT16" s="893"/>
      <c r="FU16" s="893"/>
      <c r="FV16" s="893"/>
      <c r="FW16" s="893"/>
      <c r="FX16" s="893"/>
      <c r="FY16" s="893"/>
      <c r="FZ16" s="893"/>
      <c r="GA16" s="893"/>
      <c r="GB16" s="893"/>
      <c r="GC16" s="893"/>
      <c r="GD16" s="893"/>
      <c r="GE16" s="893"/>
      <c r="GF16" s="893"/>
      <c r="GG16" s="893"/>
      <c r="GH16" s="893"/>
      <c r="GI16" s="893"/>
      <c r="GJ16" s="893"/>
      <c r="GK16" s="893"/>
      <c r="GL16" s="893"/>
      <c r="GM16" s="893"/>
      <c r="GN16" s="893"/>
      <c r="GO16" s="893"/>
      <c r="GP16" s="893"/>
      <c r="GQ16" s="893"/>
      <c r="GR16" s="893"/>
      <c r="GS16" s="893"/>
      <c r="GT16" s="893"/>
      <c r="GU16" s="893"/>
      <c r="GV16" s="893"/>
      <c r="GW16" s="893"/>
      <c r="GX16" s="893"/>
      <c r="GY16" s="893"/>
      <c r="GZ16" s="893"/>
      <c r="HA16" s="893"/>
      <c r="HB16" s="893"/>
      <c r="HC16" s="893"/>
      <c r="HD16" s="893"/>
      <c r="HE16" s="893"/>
      <c r="HF16" s="893"/>
      <c r="HG16" s="893"/>
      <c r="HH16" s="893"/>
      <c r="HI16" s="893"/>
      <c r="HJ16" s="893"/>
      <c r="HK16" s="893"/>
      <c r="HL16" s="893"/>
      <c r="HM16" s="893"/>
      <c r="HN16" s="893"/>
      <c r="HO16" s="893"/>
      <c r="HP16" s="893"/>
      <c r="HQ16" s="893"/>
      <c r="HR16" s="893"/>
      <c r="HS16" s="893"/>
      <c r="HT16" s="893"/>
      <c r="HU16" s="893"/>
      <c r="HV16" s="893"/>
      <c r="HW16" s="893"/>
      <c r="HX16" s="893"/>
      <c r="HY16" s="893"/>
      <c r="HZ16" s="893"/>
      <c r="IA16" s="893"/>
      <c r="IB16" s="893"/>
      <c r="IC16" s="893"/>
      <c r="ID16" s="893"/>
      <c r="IE16" s="893"/>
      <c r="IF16" s="893"/>
      <c r="IG16" s="893"/>
      <c r="IH16" s="893"/>
      <c r="II16" s="893"/>
      <c r="IJ16" s="893"/>
      <c r="IK16" s="893"/>
      <c r="IL16" s="893"/>
      <c r="IM16" s="893"/>
      <c r="IN16" s="893"/>
      <c r="IO16" s="893"/>
      <c r="IP16" s="893"/>
      <c r="IQ16" s="893"/>
      <c r="IR16" s="893"/>
      <c r="IS16" s="893"/>
      <c r="IT16" s="893"/>
    </row>
    <row r="17" spans="1:254" x14ac:dyDescent="0.3">
      <c r="A17" s="898" t="s">
        <v>2455</v>
      </c>
      <c r="B17" s="899" t="s">
        <v>749</v>
      </c>
      <c r="C17" s="900" t="s">
        <v>44</v>
      </c>
      <c r="D17" s="901">
        <f>8*215</f>
        <v>1720</v>
      </c>
      <c r="E17" s="805"/>
      <c r="F17" s="803">
        <v>11.9</v>
      </c>
      <c r="G17" s="794"/>
      <c r="H17" s="794">
        <f>D17*F17</f>
        <v>20468</v>
      </c>
      <c r="I17" s="794">
        <f t="shared" si="1"/>
        <v>20468</v>
      </c>
      <c r="J17" s="893"/>
      <c r="K17" s="893"/>
      <c r="L17" s="893"/>
      <c r="M17" s="893"/>
      <c r="N17" s="893"/>
      <c r="O17" s="893"/>
      <c r="P17" s="893"/>
      <c r="Q17" s="893"/>
      <c r="R17" s="893"/>
      <c r="S17" s="893"/>
      <c r="T17" s="893"/>
      <c r="U17" s="893"/>
      <c r="V17" s="893"/>
      <c r="W17" s="893"/>
      <c r="X17" s="893"/>
      <c r="Y17" s="893"/>
      <c r="Z17" s="893"/>
      <c r="AA17" s="893"/>
      <c r="AB17" s="893"/>
      <c r="AC17" s="893"/>
      <c r="AD17" s="893"/>
      <c r="AE17" s="893"/>
      <c r="AF17" s="893"/>
      <c r="AG17" s="893"/>
      <c r="AH17" s="893"/>
      <c r="AI17" s="893"/>
      <c r="AJ17" s="893"/>
      <c r="AK17" s="893"/>
      <c r="AL17" s="893"/>
      <c r="AM17" s="893"/>
      <c r="AN17" s="893"/>
      <c r="AO17" s="893"/>
      <c r="AP17" s="893"/>
      <c r="AQ17" s="893"/>
      <c r="AR17" s="893"/>
      <c r="AS17" s="893"/>
      <c r="AT17" s="893"/>
      <c r="AU17" s="893"/>
      <c r="AV17" s="893"/>
      <c r="AW17" s="893"/>
      <c r="AX17" s="893"/>
      <c r="AY17" s="893"/>
      <c r="AZ17" s="893"/>
      <c r="BA17" s="893"/>
      <c r="BB17" s="893"/>
      <c r="BC17" s="893"/>
      <c r="BD17" s="893"/>
      <c r="BE17" s="893"/>
      <c r="BF17" s="893"/>
      <c r="BG17" s="893"/>
      <c r="BH17" s="893"/>
      <c r="BI17" s="893"/>
      <c r="BJ17" s="893"/>
      <c r="BK17" s="893"/>
      <c r="BL17" s="893"/>
      <c r="BM17" s="893"/>
      <c r="BN17" s="893"/>
      <c r="BO17" s="893"/>
      <c r="BP17" s="893"/>
      <c r="BQ17" s="893"/>
      <c r="BR17" s="893"/>
      <c r="BS17" s="893"/>
      <c r="BT17" s="893"/>
      <c r="BU17" s="893"/>
      <c r="BV17" s="893"/>
      <c r="BW17" s="893"/>
      <c r="BX17" s="893"/>
      <c r="BY17" s="893"/>
      <c r="BZ17" s="893"/>
      <c r="CA17" s="893"/>
      <c r="CB17" s="893"/>
      <c r="CC17" s="893"/>
      <c r="CD17" s="893"/>
      <c r="CE17" s="893"/>
      <c r="CF17" s="893"/>
      <c r="CG17" s="893"/>
      <c r="CH17" s="893"/>
      <c r="CI17" s="893"/>
      <c r="CJ17" s="893"/>
      <c r="CK17" s="893"/>
      <c r="CL17" s="893"/>
      <c r="CM17" s="893"/>
      <c r="CN17" s="893"/>
      <c r="CO17" s="893"/>
      <c r="CP17" s="893"/>
      <c r="CQ17" s="893"/>
      <c r="CR17" s="893"/>
      <c r="CS17" s="893"/>
      <c r="CT17" s="893"/>
      <c r="CU17" s="893"/>
      <c r="CV17" s="893"/>
      <c r="CW17" s="893"/>
      <c r="CX17" s="893"/>
      <c r="CY17" s="893"/>
      <c r="CZ17" s="893"/>
      <c r="DA17" s="893"/>
      <c r="DB17" s="893"/>
      <c r="DC17" s="893"/>
      <c r="DD17" s="893"/>
      <c r="DE17" s="893"/>
      <c r="DF17" s="893"/>
      <c r="DG17" s="893"/>
      <c r="DH17" s="893"/>
      <c r="DI17" s="893"/>
      <c r="DJ17" s="893"/>
      <c r="DK17" s="893"/>
      <c r="DL17" s="893"/>
      <c r="DM17" s="893"/>
      <c r="DN17" s="893"/>
      <c r="DO17" s="893"/>
      <c r="DP17" s="893"/>
      <c r="DQ17" s="893"/>
      <c r="DR17" s="893"/>
      <c r="DS17" s="893"/>
      <c r="DT17" s="893"/>
      <c r="DU17" s="893"/>
      <c r="DV17" s="893"/>
      <c r="DW17" s="893"/>
      <c r="DX17" s="893"/>
      <c r="DY17" s="893"/>
      <c r="DZ17" s="893"/>
      <c r="EA17" s="893"/>
      <c r="EB17" s="893"/>
      <c r="EC17" s="893"/>
      <c r="ED17" s="893"/>
      <c r="EE17" s="893"/>
      <c r="EF17" s="893"/>
      <c r="EG17" s="893"/>
      <c r="EH17" s="893"/>
      <c r="EI17" s="893"/>
      <c r="EJ17" s="893"/>
      <c r="EK17" s="893"/>
      <c r="EL17" s="893"/>
      <c r="EM17" s="893"/>
      <c r="EN17" s="893"/>
      <c r="EO17" s="893"/>
      <c r="EP17" s="893"/>
      <c r="EQ17" s="893"/>
      <c r="ER17" s="893"/>
      <c r="ES17" s="893"/>
      <c r="ET17" s="893"/>
      <c r="EU17" s="893"/>
      <c r="EV17" s="893"/>
      <c r="EW17" s="893"/>
      <c r="EX17" s="893"/>
      <c r="EY17" s="893"/>
      <c r="EZ17" s="893"/>
      <c r="FA17" s="893"/>
      <c r="FB17" s="893"/>
      <c r="FC17" s="893"/>
      <c r="FD17" s="893"/>
      <c r="FE17" s="893"/>
      <c r="FF17" s="893"/>
      <c r="FG17" s="893"/>
      <c r="FH17" s="893"/>
      <c r="FI17" s="893"/>
      <c r="FJ17" s="893"/>
      <c r="FK17" s="893"/>
      <c r="FL17" s="893"/>
      <c r="FM17" s="893"/>
      <c r="FN17" s="893"/>
      <c r="FO17" s="893"/>
      <c r="FP17" s="893"/>
      <c r="FQ17" s="893"/>
      <c r="FR17" s="893"/>
      <c r="FS17" s="893"/>
      <c r="FT17" s="893"/>
      <c r="FU17" s="893"/>
      <c r="FV17" s="893"/>
      <c r="FW17" s="893"/>
      <c r="FX17" s="893"/>
      <c r="FY17" s="893"/>
      <c r="FZ17" s="893"/>
      <c r="GA17" s="893"/>
      <c r="GB17" s="893"/>
      <c r="GC17" s="893"/>
      <c r="GD17" s="893"/>
      <c r="GE17" s="893"/>
      <c r="GF17" s="893"/>
      <c r="GG17" s="893"/>
      <c r="GH17" s="893"/>
      <c r="GI17" s="893"/>
      <c r="GJ17" s="893"/>
      <c r="GK17" s="893"/>
      <c r="GL17" s="893"/>
      <c r="GM17" s="893"/>
      <c r="GN17" s="893"/>
      <c r="GO17" s="893"/>
      <c r="GP17" s="893"/>
      <c r="GQ17" s="893"/>
      <c r="GR17" s="893"/>
      <c r="GS17" s="893"/>
      <c r="GT17" s="893"/>
      <c r="GU17" s="893"/>
      <c r="GV17" s="893"/>
      <c r="GW17" s="893"/>
      <c r="GX17" s="893"/>
      <c r="GY17" s="893"/>
      <c r="GZ17" s="893"/>
      <c r="HA17" s="893"/>
      <c r="HB17" s="893"/>
      <c r="HC17" s="893"/>
      <c r="HD17" s="893"/>
      <c r="HE17" s="893"/>
      <c r="HF17" s="893"/>
      <c r="HG17" s="893"/>
      <c r="HH17" s="893"/>
      <c r="HI17" s="893"/>
      <c r="HJ17" s="893"/>
      <c r="HK17" s="893"/>
      <c r="HL17" s="893"/>
      <c r="HM17" s="893"/>
      <c r="HN17" s="893"/>
      <c r="HO17" s="893"/>
      <c r="HP17" s="893"/>
      <c r="HQ17" s="893"/>
      <c r="HR17" s="893"/>
      <c r="HS17" s="893"/>
      <c r="HT17" s="893"/>
      <c r="HU17" s="893"/>
      <c r="HV17" s="893"/>
      <c r="HW17" s="893"/>
      <c r="HX17" s="893"/>
      <c r="HY17" s="893"/>
      <c r="HZ17" s="893"/>
      <c r="IA17" s="893"/>
      <c r="IB17" s="893"/>
      <c r="IC17" s="893"/>
      <c r="ID17" s="893"/>
      <c r="IE17" s="893"/>
      <c r="IF17" s="893"/>
      <c r="IG17" s="893"/>
      <c r="IH17" s="893"/>
      <c r="II17" s="893"/>
      <c r="IJ17" s="893"/>
      <c r="IK17" s="893"/>
      <c r="IL17" s="893"/>
      <c r="IM17" s="893"/>
      <c r="IN17" s="893"/>
      <c r="IO17" s="893"/>
      <c r="IP17" s="893"/>
      <c r="IQ17" s="893"/>
      <c r="IR17" s="893"/>
      <c r="IS17" s="893"/>
      <c r="IT17" s="893"/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scale="3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4" zoomScale="90" zoomScaleNormal="90" workbookViewId="0">
      <selection activeCell="N21" sqref="N21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2.88671875" style="155" customWidth="1"/>
    <col min="6" max="6" width="13.44140625" style="155" customWidth="1"/>
    <col min="7" max="7" width="15.33203125" style="9" customWidth="1"/>
    <col min="8" max="8" width="16.44140625" style="9" customWidth="1"/>
    <col min="9" max="9" width="16.109375" style="9" customWidth="1"/>
    <col min="10" max="10" width="13" style="9" customWidth="1"/>
    <col min="11" max="11" width="9.109375" style="9"/>
    <col min="12" max="12" width="15.5546875" style="9" bestFit="1" customWidth="1"/>
    <col min="13" max="257" width="9.109375" style="9"/>
    <col min="258" max="258" width="63.109375" style="9" customWidth="1"/>
    <col min="259" max="259" width="9.109375" style="9"/>
    <col min="260" max="260" width="14.109375" style="9" customWidth="1"/>
    <col min="261" max="261" width="12.88671875" style="9" customWidth="1"/>
    <col min="262" max="262" width="13.44140625" style="9" customWidth="1"/>
    <col min="263" max="263" width="15.33203125" style="9" customWidth="1"/>
    <col min="264" max="264" width="16.44140625" style="9" customWidth="1"/>
    <col min="265" max="265" width="16.109375" style="9" customWidth="1"/>
    <col min="266" max="513" width="9.109375" style="9"/>
    <col min="514" max="514" width="63.109375" style="9" customWidth="1"/>
    <col min="515" max="515" width="9.109375" style="9"/>
    <col min="516" max="516" width="14.109375" style="9" customWidth="1"/>
    <col min="517" max="517" width="12.88671875" style="9" customWidth="1"/>
    <col min="518" max="518" width="13.44140625" style="9" customWidth="1"/>
    <col min="519" max="519" width="15.33203125" style="9" customWidth="1"/>
    <col min="520" max="520" width="16.44140625" style="9" customWidth="1"/>
    <col min="521" max="521" width="16.109375" style="9" customWidth="1"/>
    <col min="522" max="769" width="9.109375" style="9"/>
    <col min="770" max="770" width="63.109375" style="9" customWidth="1"/>
    <col min="771" max="771" width="9.109375" style="9"/>
    <col min="772" max="772" width="14.109375" style="9" customWidth="1"/>
    <col min="773" max="773" width="12.88671875" style="9" customWidth="1"/>
    <col min="774" max="774" width="13.44140625" style="9" customWidth="1"/>
    <col min="775" max="775" width="15.33203125" style="9" customWidth="1"/>
    <col min="776" max="776" width="16.44140625" style="9" customWidth="1"/>
    <col min="777" max="777" width="16.109375" style="9" customWidth="1"/>
    <col min="778" max="1025" width="9.109375" style="9"/>
    <col min="1026" max="1026" width="63.109375" style="9" customWidth="1"/>
    <col min="1027" max="1027" width="9.109375" style="9"/>
    <col min="1028" max="1028" width="14.109375" style="9" customWidth="1"/>
    <col min="1029" max="1029" width="12.88671875" style="9" customWidth="1"/>
    <col min="1030" max="1030" width="13.44140625" style="9" customWidth="1"/>
    <col min="1031" max="1031" width="15.33203125" style="9" customWidth="1"/>
    <col min="1032" max="1032" width="16.44140625" style="9" customWidth="1"/>
    <col min="1033" max="1033" width="16.109375" style="9" customWidth="1"/>
    <col min="1034" max="1281" width="9.109375" style="9"/>
    <col min="1282" max="1282" width="63.109375" style="9" customWidth="1"/>
    <col min="1283" max="1283" width="9.109375" style="9"/>
    <col min="1284" max="1284" width="14.109375" style="9" customWidth="1"/>
    <col min="1285" max="1285" width="12.88671875" style="9" customWidth="1"/>
    <col min="1286" max="1286" width="13.44140625" style="9" customWidth="1"/>
    <col min="1287" max="1287" width="15.33203125" style="9" customWidth="1"/>
    <col min="1288" max="1288" width="16.44140625" style="9" customWidth="1"/>
    <col min="1289" max="1289" width="16.109375" style="9" customWidth="1"/>
    <col min="1290" max="1537" width="9.109375" style="9"/>
    <col min="1538" max="1538" width="63.109375" style="9" customWidth="1"/>
    <col min="1539" max="1539" width="9.109375" style="9"/>
    <col min="1540" max="1540" width="14.109375" style="9" customWidth="1"/>
    <col min="1541" max="1541" width="12.88671875" style="9" customWidth="1"/>
    <col min="1542" max="1542" width="13.44140625" style="9" customWidth="1"/>
    <col min="1543" max="1543" width="15.33203125" style="9" customWidth="1"/>
    <col min="1544" max="1544" width="16.44140625" style="9" customWidth="1"/>
    <col min="1545" max="1545" width="16.109375" style="9" customWidth="1"/>
    <col min="1546" max="1793" width="9.109375" style="9"/>
    <col min="1794" max="1794" width="63.109375" style="9" customWidth="1"/>
    <col min="1795" max="1795" width="9.109375" style="9"/>
    <col min="1796" max="1796" width="14.109375" style="9" customWidth="1"/>
    <col min="1797" max="1797" width="12.88671875" style="9" customWidth="1"/>
    <col min="1798" max="1798" width="13.44140625" style="9" customWidth="1"/>
    <col min="1799" max="1799" width="15.33203125" style="9" customWidth="1"/>
    <col min="1800" max="1800" width="16.44140625" style="9" customWidth="1"/>
    <col min="1801" max="1801" width="16.109375" style="9" customWidth="1"/>
    <col min="1802" max="2049" width="9.109375" style="9"/>
    <col min="2050" max="2050" width="63.109375" style="9" customWidth="1"/>
    <col min="2051" max="2051" width="9.109375" style="9"/>
    <col min="2052" max="2052" width="14.109375" style="9" customWidth="1"/>
    <col min="2053" max="2053" width="12.88671875" style="9" customWidth="1"/>
    <col min="2054" max="2054" width="13.44140625" style="9" customWidth="1"/>
    <col min="2055" max="2055" width="15.33203125" style="9" customWidth="1"/>
    <col min="2056" max="2056" width="16.44140625" style="9" customWidth="1"/>
    <col min="2057" max="2057" width="16.109375" style="9" customWidth="1"/>
    <col min="2058" max="2305" width="9.109375" style="9"/>
    <col min="2306" max="2306" width="63.109375" style="9" customWidth="1"/>
    <col min="2307" max="2307" width="9.109375" style="9"/>
    <col min="2308" max="2308" width="14.109375" style="9" customWidth="1"/>
    <col min="2309" max="2309" width="12.88671875" style="9" customWidth="1"/>
    <col min="2310" max="2310" width="13.44140625" style="9" customWidth="1"/>
    <col min="2311" max="2311" width="15.33203125" style="9" customWidth="1"/>
    <col min="2312" max="2312" width="16.44140625" style="9" customWidth="1"/>
    <col min="2313" max="2313" width="16.109375" style="9" customWidth="1"/>
    <col min="2314" max="2561" width="9.109375" style="9"/>
    <col min="2562" max="2562" width="63.109375" style="9" customWidth="1"/>
    <col min="2563" max="2563" width="9.109375" style="9"/>
    <col min="2564" max="2564" width="14.109375" style="9" customWidth="1"/>
    <col min="2565" max="2565" width="12.88671875" style="9" customWidth="1"/>
    <col min="2566" max="2566" width="13.44140625" style="9" customWidth="1"/>
    <col min="2567" max="2567" width="15.33203125" style="9" customWidth="1"/>
    <col min="2568" max="2568" width="16.44140625" style="9" customWidth="1"/>
    <col min="2569" max="2569" width="16.109375" style="9" customWidth="1"/>
    <col min="2570" max="2817" width="9.109375" style="9"/>
    <col min="2818" max="2818" width="63.109375" style="9" customWidth="1"/>
    <col min="2819" max="2819" width="9.109375" style="9"/>
    <col min="2820" max="2820" width="14.109375" style="9" customWidth="1"/>
    <col min="2821" max="2821" width="12.88671875" style="9" customWidth="1"/>
    <col min="2822" max="2822" width="13.44140625" style="9" customWidth="1"/>
    <col min="2823" max="2823" width="15.33203125" style="9" customWidth="1"/>
    <col min="2824" max="2824" width="16.44140625" style="9" customWidth="1"/>
    <col min="2825" max="2825" width="16.109375" style="9" customWidth="1"/>
    <col min="2826" max="3073" width="9.109375" style="9"/>
    <col min="3074" max="3074" width="63.109375" style="9" customWidth="1"/>
    <col min="3075" max="3075" width="9.109375" style="9"/>
    <col min="3076" max="3076" width="14.109375" style="9" customWidth="1"/>
    <col min="3077" max="3077" width="12.88671875" style="9" customWidth="1"/>
    <col min="3078" max="3078" width="13.44140625" style="9" customWidth="1"/>
    <col min="3079" max="3079" width="15.33203125" style="9" customWidth="1"/>
    <col min="3080" max="3080" width="16.44140625" style="9" customWidth="1"/>
    <col min="3081" max="3081" width="16.109375" style="9" customWidth="1"/>
    <col min="3082" max="3329" width="9.109375" style="9"/>
    <col min="3330" max="3330" width="63.109375" style="9" customWidth="1"/>
    <col min="3331" max="3331" width="9.109375" style="9"/>
    <col min="3332" max="3332" width="14.109375" style="9" customWidth="1"/>
    <col min="3333" max="3333" width="12.88671875" style="9" customWidth="1"/>
    <col min="3334" max="3334" width="13.44140625" style="9" customWidth="1"/>
    <col min="3335" max="3335" width="15.33203125" style="9" customWidth="1"/>
    <col min="3336" max="3336" width="16.44140625" style="9" customWidth="1"/>
    <col min="3337" max="3337" width="16.109375" style="9" customWidth="1"/>
    <col min="3338" max="3585" width="9.109375" style="9"/>
    <col min="3586" max="3586" width="63.109375" style="9" customWidth="1"/>
    <col min="3587" max="3587" width="9.109375" style="9"/>
    <col min="3588" max="3588" width="14.109375" style="9" customWidth="1"/>
    <col min="3589" max="3589" width="12.88671875" style="9" customWidth="1"/>
    <col min="3590" max="3590" width="13.44140625" style="9" customWidth="1"/>
    <col min="3591" max="3591" width="15.33203125" style="9" customWidth="1"/>
    <col min="3592" max="3592" width="16.44140625" style="9" customWidth="1"/>
    <col min="3593" max="3593" width="16.109375" style="9" customWidth="1"/>
    <col min="3594" max="3841" width="9.109375" style="9"/>
    <col min="3842" max="3842" width="63.109375" style="9" customWidth="1"/>
    <col min="3843" max="3843" width="9.109375" style="9"/>
    <col min="3844" max="3844" width="14.109375" style="9" customWidth="1"/>
    <col min="3845" max="3845" width="12.88671875" style="9" customWidth="1"/>
    <col min="3846" max="3846" width="13.44140625" style="9" customWidth="1"/>
    <col min="3847" max="3847" width="15.33203125" style="9" customWidth="1"/>
    <col min="3848" max="3848" width="16.44140625" style="9" customWidth="1"/>
    <col min="3849" max="3849" width="16.109375" style="9" customWidth="1"/>
    <col min="3850" max="4097" width="9.109375" style="9"/>
    <col min="4098" max="4098" width="63.109375" style="9" customWidth="1"/>
    <col min="4099" max="4099" width="9.109375" style="9"/>
    <col min="4100" max="4100" width="14.109375" style="9" customWidth="1"/>
    <col min="4101" max="4101" width="12.88671875" style="9" customWidth="1"/>
    <col min="4102" max="4102" width="13.44140625" style="9" customWidth="1"/>
    <col min="4103" max="4103" width="15.33203125" style="9" customWidth="1"/>
    <col min="4104" max="4104" width="16.44140625" style="9" customWidth="1"/>
    <col min="4105" max="4105" width="16.109375" style="9" customWidth="1"/>
    <col min="4106" max="4353" width="9.109375" style="9"/>
    <col min="4354" max="4354" width="63.109375" style="9" customWidth="1"/>
    <col min="4355" max="4355" width="9.109375" style="9"/>
    <col min="4356" max="4356" width="14.109375" style="9" customWidth="1"/>
    <col min="4357" max="4357" width="12.88671875" style="9" customWidth="1"/>
    <col min="4358" max="4358" width="13.44140625" style="9" customWidth="1"/>
    <col min="4359" max="4359" width="15.33203125" style="9" customWidth="1"/>
    <col min="4360" max="4360" width="16.44140625" style="9" customWidth="1"/>
    <col min="4361" max="4361" width="16.109375" style="9" customWidth="1"/>
    <col min="4362" max="4609" width="9.109375" style="9"/>
    <col min="4610" max="4610" width="63.109375" style="9" customWidth="1"/>
    <col min="4611" max="4611" width="9.109375" style="9"/>
    <col min="4612" max="4612" width="14.109375" style="9" customWidth="1"/>
    <col min="4613" max="4613" width="12.88671875" style="9" customWidth="1"/>
    <col min="4614" max="4614" width="13.44140625" style="9" customWidth="1"/>
    <col min="4615" max="4615" width="15.33203125" style="9" customWidth="1"/>
    <col min="4616" max="4616" width="16.44140625" style="9" customWidth="1"/>
    <col min="4617" max="4617" width="16.109375" style="9" customWidth="1"/>
    <col min="4618" max="4865" width="9.109375" style="9"/>
    <col min="4866" max="4866" width="63.109375" style="9" customWidth="1"/>
    <col min="4867" max="4867" width="9.109375" style="9"/>
    <col min="4868" max="4868" width="14.109375" style="9" customWidth="1"/>
    <col min="4869" max="4869" width="12.88671875" style="9" customWidth="1"/>
    <col min="4870" max="4870" width="13.44140625" style="9" customWidth="1"/>
    <col min="4871" max="4871" width="15.33203125" style="9" customWidth="1"/>
    <col min="4872" max="4872" width="16.44140625" style="9" customWidth="1"/>
    <col min="4873" max="4873" width="16.109375" style="9" customWidth="1"/>
    <col min="4874" max="5121" width="9.109375" style="9"/>
    <col min="5122" max="5122" width="63.109375" style="9" customWidth="1"/>
    <col min="5123" max="5123" width="9.109375" style="9"/>
    <col min="5124" max="5124" width="14.109375" style="9" customWidth="1"/>
    <col min="5125" max="5125" width="12.88671875" style="9" customWidth="1"/>
    <col min="5126" max="5126" width="13.44140625" style="9" customWidth="1"/>
    <col min="5127" max="5127" width="15.33203125" style="9" customWidth="1"/>
    <col min="5128" max="5128" width="16.44140625" style="9" customWidth="1"/>
    <col min="5129" max="5129" width="16.109375" style="9" customWidth="1"/>
    <col min="5130" max="5377" width="9.109375" style="9"/>
    <col min="5378" max="5378" width="63.109375" style="9" customWidth="1"/>
    <col min="5379" max="5379" width="9.109375" style="9"/>
    <col min="5380" max="5380" width="14.109375" style="9" customWidth="1"/>
    <col min="5381" max="5381" width="12.88671875" style="9" customWidth="1"/>
    <col min="5382" max="5382" width="13.44140625" style="9" customWidth="1"/>
    <col min="5383" max="5383" width="15.33203125" style="9" customWidth="1"/>
    <col min="5384" max="5384" width="16.44140625" style="9" customWidth="1"/>
    <col min="5385" max="5385" width="16.109375" style="9" customWidth="1"/>
    <col min="5386" max="5633" width="9.109375" style="9"/>
    <col min="5634" max="5634" width="63.109375" style="9" customWidth="1"/>
    <col min="5635" max="5635" width="9.109375" style="9"/>
    <col min="5636" max="5636" width="14.109375" style="9" customWidth="1"/>
    <col min="5637" max="5637" width="12.88671875" style="9" customWidth="1"/>
    <col min="5638" max="5638" width="13.44140625" style="9" customWidth="1"/>
    <col min="5639" max="5639" width="15.33203125" style="9" customWidth="1"/>
    <col min="5640" max="5640" width="16.44140625" style="9" customWidth="1"/>
    <col min="5641" max="5641" width="16.109375" style="9" customWidth="1"/>
    <col min="5642" max="5889" width="9.109375" style="9"/>
    <col min="5890" max="5890" width="63.109375" style="9" customWidth="1"/>
    <col min="5891" max="5891" width="9.109375" style="9"/>
    <col min="5892" max="5892" width="14.109375" style="9" customWidth="1"/>
    <col min="5893" max="5893" width="12.88671875" style="9" customWidth="1"/>
    <col min="5894" max="5894" width="13.44140625" style="9" customWidth="1"/>
    <col min="5895" max="5895" width="15.33203125" style="9" customWidth="1"/>
    <col min="5896" max="5896" width="16.44140625" style="9" customWidth="1"/>
    <col min="5897" max="5897" width="16.109375" style="9" customWidth="1"/>
    <col min="5898" max="6145" width="9.109375" style="9"/>
    <col min="6146" max="6146" width="63.109375" style="9" customWidth="1"/>
    <col min="6147" max="6147" width="9.109375" style="9"/>
    <col min="6148" max="6148" width="14.109375" style="9" customWidth="1"/>
    <col min="6149" max="6149" width="12.88671875" style="9" customWidth="1"/>
    <col min="6150" max="6150" width="13.44140625" style="9" customWidth="1"/>
    <col min="6151" max="6151" width="15.33203125" style="9" customWidth="1"/>
    <col min="6152" max="6152" width="16.44140625" style="9" customWidth="1"/>
    <col min="6153" max="6153" width="16.109375" style="9" customWidth="1"/>
    <col min="6154" max="6401" width="9.109375" style="9"/>
    <col min="6402" max="6402" width="63.109375" style="9" customWidth="1"/>
    <col min="6403" max="6403" width="9.109375" style="9"/>
    <col min="6404" max="6404" width="14.109375" style="9" customWidth="1"/>
    <col min="6405" max="6405" width="12.88671875" style="9" customWidth="1"/>
    <col min="6406" max="6406" width="13.44140625" style="9" customWidth="1"/>
    <col min="6407" max="6407" width="15.33203125" style="9" customWidth="1"/>
    <col min="6408" max="6408" width="16.44140625" style="9" customWidth="1"/>
    <col min="6409" max="6409" width="16.109375" style="9" customWidth="1"/>
    <col min="6410" max="6657" width="9.109375" style="9"/>
    <col min="6658" max="6658" width="63.109375" style="9" customWidth="1"/>
    <col min="6659" max="6659" width="9.109375" style="9"/>
    <col min="6660" max="6660" width="14.109375" style="9" customWidth="1"/>
    <col min="6661" max="6661" width="12.88671875" style="9" customWidth="1"/>
    <col min="6662" max="6662" width="13.44140625" style="9" customWidth="1"/>
    <col min="6663" max="6663" width="15.33203125" style="9" customWidth="1"/>
    <col min="6664" max="6664" width="16.44140625" style="9" customWidth="1"/>
    <col min="6665" max="6665" width="16.109375" style="9" customWidth="1"/>
    <col min="6666" max="6913" width="9.109375" style="9"/>
    <col min="6914" max="6914" width="63.109375" style="9" customWidth="1"/>
    <col min="6915" max="6915" width="9.109375" style="9"/>
    <col min="6916" max="6916" width="14.109375" style="9" customWidth="1"/>
    <col min="6917" max="6917" width="12.88671875" style="9" customWidth="1"/>
    <col min="6918" max="6918" width="13.44140625" style="9" customWidth="1"/>
    <col min="6919" max="6919" width="15.33203125" style="9" customWidth="1"/>
    <col min="6920" max="6920" width="16.44140625" style="9" customWidth="1"/>
    <col min="6921" max="6921" width="16.109375" style="9" customWidth="1"/>
    <col min="6922" max="7169" width="9.109375" style="9"/>
    <col min="7170" max="7170" width="63.109375" style="9" customWidth="1"/>
    <col min="7171" max="7171" width="9.109375" style="9"/>
    <col min="7172" max="7172" width="14.109375" style="9" customWidth="1"/>
    <col min="7173" max="7173" width="12.88671875" style="9" customWidth="1"/>
    <col min="7174" max="7174" width="13.44140625" style="9" customWidth="1"/>
    <col min="7175" max="7175" width="15.33203125" style="9" customWidth="1"/>
    <col min="7176" max="7176" width="16.44140625" style="9" customWidth="1"/>
    <col min="7177" max="7177" width="16.109375" style="9" customWidth="1"/>
    <col min="7178" max="7425" width="9.109375" style="9"/>
    <col min="7426" max="7426" width="63.109375" style="9" customWidth="1"/>
    <col min="7427" max="7427" width="9.109375" style="9"/>
    <col min="7428" max="7428" width="14.109375" style="9" customWidth="1"/>
    <col min="7429" max="7429" width="12.88671875" style="9" customWidth="1"/>
    <col min="7430" max="7430" width="13.44140625" style="9" customWidth="1"/>
    <col min="7431" max="7431" width="15.33203125" style="9" customWidth="1"/>
    <col min="7432" max="7432" width="16.44140625" style="9" customWidth="1"/>
    <col min="7433" max="7433" width="16.109375" style="9" customWidth="1"/>
    <col min="7434" max="7681" width="9.109375" style="9"/>
    <col min="7682" max="7682" width="63.109375" style="9" customWidth="1"/>
    <col min="7683" max="7683" width="9.109375" style="9"/>
    <col min="7684" max="7684" width="14.109375" style="9" customWidth="1"/>
    <col min="7685" max="7685" width="12.88671875" style="9" customWidth="1"/>
    <col min="7686" max="7686" width="13.44140625" style="9" customWidth="1"/>
    <col min="7687" max="7687" width="15.33203125" style="9" customWidth="1"/>
    <col min="7688" max="7688" width="16.44140625" style="9" customWidth="1"/>
    <col min="7689" max="7689" width="16.109375" style="9" customWidth="1"/>
    <col min="7690" max="7937" width="9.109375" style="9"/>
    <col min="7938" max="7938" width="63.109375" style="9" customWidth="1"/>
    <col min="7939" max="7939" width="9.109375" style="9"/>
    <col min="7940" max="7940" width="14.109375" style="9" customWidth="1"/>
    <col min="7941" max="7941" width="12.88671875" style="9" customWidth="1"/>
    <col min="7942" max="7942" width="13.44140625" style="9" customWidth="1"/>
    <col min="7943" max="7943" width="15.33203125" style="9" customWidth="1"/>
    <col min="7944" max="7944" width="16.44140625" style="9" customWidth="1"/>
    <col min="7945" max="7945" width="16.109375" style="9" customWidth="1"/>
    <col min="7946" max="8193" width="9.109375" style="9"/>
    <col min="8194" max="8194" width="63.109375" style="9" customWidth="1"/>
    <col min="8195" max="8195" width="9.109375" style="9"/>
    <col min="8196" max="8196" width="14.109375" style="9" customWidth="1"/>
    <col min="8197" max="8197" width="12.88671875" style="9" customWidth="1"/>
    <col min="8198" max="8198" width="13.44140625" style="9" customWidth="1"/>
    <col min="8199" max="8199" width="15.33203125" style="9" customWidth="1"/>
    <col min="8200" max="8200" width="16.44140625" style="9" customWidth="1"/>
    <col min="8201" max="8201" width="16.109375" style="9" customWidth="1"/>
    <col min="8202" max="8449" width="9.109375" style="9"/>
    <col min="8450" max="8450" width="63.109375" style="9" customWidth="1"/>
    <col min="8451" max="8451" width="9.109375" style="9"/>
    <col min="8452" max="8452" width="14.109375" style="9" customWidth="1"/>
    <col min="8453" max="8453" width="12.88671875" style="9" customWidth="1"/>
    <col min="8454" max="8454" width="13.44140625" style="9" customWidth="1"/>
    <col min="8455" max="8455" width="15.33203125" style="9" customWidth="1"/>
    <col min="8456" max="8456" width="16.44140625" style="9" customWidth="1"/>
    <col min="8457" max="8457" width="16.109375" style="9" customWidth="1"/>
    <col min="8458" max="8705" width="9.109375" style="9"/>
    <col min="8706" max="8706" width="63.109375" style="9" customWidth="1"/>
    <col min="8707" max="8707" width="9.109375" style="9"/>
    <col min="8708" max="8708" width="14.109375" style="9" customWidth="1"/>
    <col min="8709" max="8709" width="12.88671875" style="9" customWidth="1"/>
    <col min="8710" max="8710" width="13.44140625" style="9" customWidth="1"/>
    <col min="8711" max="8711" width="15.33203125" style="9" customWidth="1"/>
    <col min="8712" max="8712" width="16.44140625" style="9" customWidth="1"/>
    <col min="8713" max="8713" width="16.109375" style="9" customWidth="1"/>
    <col min="8714" max="8961" width="9.109375" style="9"/>
    <col min="8962" max="8962" width="63.109375" style="9" customWidth="1"/>
    <col min="8963" max="8963" width="9.109375" style="9"/>
    <col min="8964" max="8964" width="14.109375" style="9" customWidth="1"/>
    <col min="8965" max="8965" width="12.88671875" style="9" customWidth="1"/>
    <col min="8966" max="8966" width="13.44140625" style="9" customWidth="1"/>
    <col min="8967" max="8967" width="15.33203125" style="9" customWidth="1"/>
    <col min="8968" max="8968" width="16.44140625" style="9" customWidth="1"/>
    <col min="8969" max="8969" width="16.109375" style="9" customWidth="1"/>
    <col min="8970" max="9217" width="9.109375" style="9"/>
    <col min="9218" max="9218" width="63.109375" style="9" customWidth="1"/>
    <col min="9219" max="9219" width="9.109375" style="9"/>
    <col min="9220" max="9220" width="14.109375" style="9" customWidth="1"/>
    <col min="9221" max="9221" width="12.88671875" style="9" customWidth="1"/>
    <col min="9222" max="9222" width="13.44140625" style="9" customWidth="1"/>
    <col min="9223" max="9223" width="15.33203125" style="9" customWidth="1"/>
    <col min="9224" max="9224" width="16.44140625" style="9" customWidth="1"/>
    <col min="9225" max="9225" width="16.109375" style="9" customWidth="1"/>
    <col min="9226" max="9473" width="9.109375" style="9"/>
    <col min="9474" max="9474" width="63.109375" style="9" customWidth="1"/>
    <col min="9475" max="9475" width="9.109375" style="9"/>
    <col min="9476" max="9476" width="14.109375" style="9" customWidth="1"/>
    <col min="9477" max="9477" width="12.88671875" style="9" customWidth="1"/>
    <col min="9478" max="9478" width="13.44140625" style="9" customWidth="1"/>
    <col min="9479" max="9479" width="15.33203125" style="9" customWidth="1"/>
    <col min="9480" max="9480" width="16.44140625" style="9" customWidth="1"/>
    <col min="9481" max="9481" width="16.109375" style="9" customWidth="1"/>
    <col min="9482" max="9729" width="9.109375" style="9"/>
    <col min="9730" max="9730" width="63.109375" style="9" customWidth="1"/>
    <col min="9731" max="9731" width="9.109375" style="9"/>
    <col min="9732" max="9732" width="14.109375" style="9" customWidth="1"/>
    <col min="9733" max="9733" width="12.88671875" style="9" customWidth="1"/>
    <col min="9734" max="9734" width="13.44140625" style="9" customWidth="1"/>
    <col min="9735" max="9735" width="15.33203125" style="9" customWidth="1"/>
    <col min="9736" max="9736" width="16.44140625" style="9" customWidth="1"/>
    <col min="9737" max="9737" width="16.109375" style="9" customWidth="1"/>
    <col min="9738" max="9985" width="9.109375" style="9"/>
    <col min="9986" max="9986" width="63.109375" style="9" customWidth="1"/>
    <col min="9987" max="9987" width="9.109375" style="9"/>
    <col min="9988" max="9988" width="14.109375" style="9" customWidth="1"/>
    <col min="9989" max="9989" width="12.88671875" style="9" customWidth="1"/>
    <col min="9990" max="9990" width="13.44140625" style="9" customWidth="1"/>
    <col min="9991" max="9991" width="15.33203125" style="9" customWidth="1"/>
    <col min="9992" max="9992" width="16.44140625" style="9" customWidth="1"/>
    <col min="9993" max="9993" width="16.109375" style="9" customWidth="1"/>
    <col min="9994" max="10241" width="9.109375" style="9"/>
    <col min="10242" max="10242" width="63.109375" style="9" customWidth="1"/>
    <col min="10243" max="10243" width="9.109375" style="9"/>
    <col min="10244" max="10244" width="14.109375" style="9" customWidth="1"/>
    <col min="10245" max="10245" width="12.88671875" style="9" customWidth="1"/>
    <col min="10246" max="10246" width="13.44140625" style="9" customWidth="1"/>
    <col min="10247" max="10247" width="15.33203125" style="9" customWidth="1"/>
    <col min="10248" max="10248" width="16.44140625" style="9" customWidth="1"/>
    <col min="10249" max="10249" width="16.109375" style="9" customWidth="1"/>
    <col min="10250" max="10497" width="9.109375" style="9"/>
    <col min="10498" max="10498" width="63.109375" style="9" customWidth="1"/>
    <col min="10499" max="10499" width="9.109375" style="9"/>
    <col min="10500" max="10500" width="14.109375" style="9" customWidth="1"/>
    <col min="10501" max="10501" width="12.88671875" style="9" customWidth="1"/>
    <col min="10502" max="10502" width="13.44140625" style="9" customWidth="1"/>
    <col min="10503" max="10503" width="15.33203125" style="9" customWidth="1"/>
    <col min="10504" max="10504" width="16.44140625" style="9" customWidth="1"/>
    <col min="10505" max="10505" width="16.109375" style="9" customWidth="1"/>
    <col min="10506" max="10753" width="9.109375" style="9"/>
    <col min="10754" max="10754" width="63.109375" style="9" customWidth="1"/>
    <col min="10755" max="10755" width="9.109375" style="9"/>
    <col min="10756" max="10756" width="14.109375" style="9" customWidth="1"/>
    <col min="10757" max="10757" width="12.88671875" style="9" customWidth="1"/>
    <col min="10758" max="10758" width="13.44140625" style="9" customWidth="1"/>
    <col min="10759" max="10759" width="15.33203125" style="9" customWidth="1"/>
    <col min="10760" max="10760" width="16.44140625" style="9" customWidth="1"/>
    <col min="10761" max="10761" width="16.109375" style="9" customWidth="1"/>
    <col min="10762" max="11009" width="9.109375" style="9"/>
    <col min="11010" max="11010" width="63.109375" style="9" customWidth="1"/>
    <col min="11011" max="11011" width="9.109375" style="9"/>
    <col min="11012" max="11012" width="14.109375" style="9" customWidth="1"/>
    <col min="11013" max="11013" width="12.88671875" style="9" customWidth="1"/>
    <col min="11014" max="11014" width="13.44140625" style="9" customWidth="1"/>
    <col min="11015" max="11015" width="15.33203125" style="9" customWidth="1"/>
    <col min="11016" max="11016" width="16.44140625" style="9" customWidth="1"/>
    <col min="11017" max="11017" width="16.109375" style="9" customWidth="1"/>
    <col min="11018" max="11265" width="9.109375" style="9"/>
    <col min="11266" max="11266" width="63.109375" style="9" customWidth="1"/>
    <col min="11267" max="11267" width="9.109375" style="9"/>
    <col min="11268" max="11268" width="14.109375" style="9" customWidth="1"/>
    <col min="11269" max="11269" width="12.88671875" style="9" customWidth="1"/>
    <col min="11270" max="11270" width="13.44140625" style="9" customWidth="1"/>
    <col min="11271" max="11271" width="15.33203125" style="9" customWidth="1"/>
    <col min="11272" max="11272" width="16.44140625" style="9" customWidth="1"/>
    <col min="11273" max="11273" width="16.109375" style="9" customWidth="1"/>
    <col min="11274" max="11521" width="9.109375" style="9"/>
    <col min="11522" max="11522" width="63.109375" style="9" customWidth="1"/>
    <col min="11523" max="11523" width="9.109375" style="9"/>
    <col min="11524" max="11524" width="14.109375" style="9" customWidth="1"/>
    <col min="11525" max="11525" width="12.88671875" style="9" customWidth="1"/>
    <col min="11526" max="11526" width="13.44140625" style="9" customWidth="1"/>
    <col min="11527" max="11527" width="15.33203125" style="9" customWidth="1"/>
    <col min="11528" max="11528" width="16.44140625" style="9" customWidth="1"/>
    <col min="11529" max="11529" width="16.109375" style="9" customWidth="1"/>
    <col min="11530" max="11777" width="9.109375" style="9"/>
    <col min="11778" max="11778" width="63.109375" style="9" customWidth="1"/>
    <col min="11779" max="11779" width="9.109375" style="9"/>
    <col min="11780" max="11780" width="14.109375" style="9" customWidth="1"/>
    <col min="11781" max="11781" width="12.88671875" style="9" customWidth="1"/>
    <col min="11782" max="11782" width="13.44140625" style="9" customWidth="1"/>
    <col min="11783" max="11783" width="15.33203125" style="9" customWidth="1"/>
    <col min="11784" max="11784" width="16.44140625" style="9" customWidth="1"/>
    <col min="11785" max="11785" width="16.109375" style="9" customWidth="1"/>
    <col min="11786" max="12033" width="9.109375" style="9"/>
    <col min="12034" max="12034" width="63.109375" style="9" customWidth="1"/>
    <col min="12035" max="12035" width="9.109375" style="9"/>
    <col min="12036" max="12036" width="14.109375" style="9" customWidth="1"/>
    <col min="12037" max="12037" width="12.88671875" style="9" customWidth="1"/>
    <col min="12038" max="12038" width="13.44140625" style="9" customWidth="1"/>
    <col min="12039" max="12039" width="15.33203125" style="9" customWidth="1"/>
    <col min="12040" max="12040" width="16.44140625" style="9" customWidth="1"/>
    <col min="12041" max="12041" width="16.109375" style="9" customWidth="1"/>
    <col min="12042" max="12289" width="9.109375" style="9"/>
    <col min="12290" max="12290" width="63.109375" style="9" customWidth="1"/>
    <col min="12291" max="12291" width="9.109375" style="9"/>
    <col min="12292" max="12292" width="14.109375" style="9" customWidth="1"/>
    <col min="12293" max="12293" width="12.88671875" style="9" customWidth="1"/>
    <col min="12294" max="12294" width="13.44140625" style="9" customWidth="1"/>
    <col min="12295" max="12295" width="15.33203125" style="9" customWidth="1"/>
    <col min="12296" max="12296" width="16.44140625" style="9" customWidth="1"/>
    <col min="12297" max="12297" width="16.109375" style="9" customWidth="1"/>
    <col min="12298" max="12545" width="9.109375" style="9"/>
    <col min="12546" max="12546" width="63.109375" style="9" customWidth="1"/>
    <col min="12547" max="12547" width="9.109375" style="9"/>
    <col min="12548" max="12548" width="14.109375" style="9" customWidth="1"/>
    <col min="12549" max="12549" width="12.88671875" style="9" customWidth="1"/>
    <col min="12550" max="12550" width="13.44140625" style="9" customWidth="1"/>
    <col min="12551" max="12551" width="15.33203125" style="9" customWidth="1"/>
    <col min="12552" max="12552" width="16.44140625" style="9" customWidth="1"/>
    <col min="12553" max="12553" width="16.109375" style="9" customWidth="1"/>
    <col min="12554" max="12801" width="9.109375" style="9"/>
    <col min="12802" max="12802" width="63.109375" style="9" customWidth="1"/>
    <col min="12803" max="12803" width="9.109375" style="9"/>
    <col min="12804" max="12804" width="14.109375" style="9" customWidth="1"/>
    <col min="12805" max="12805" width="12.88671875" style="9" customWidth="1"/>
    <col min="12806" max="12806" width="13.44140625" style="9" customWidth="1"/>
    <col min="12807" max="12807" width="15.33203125" style="9" customWidth="1"/>
    <col min="12808" max="12808" width="16.44140625" style="9" customWidth="1"/>
    <col min="12809" max="12809" width="16.109375" style="9" customWidth="1"/>
    <col min="12810" max="13057" width="9.109375" style="9"/>
    <col min="13058" max="13058" width="63.109375" style="9" customWidth="1"/>
    <col min="13059" max="13059" width="9.109375" style="9"/>
    <col min="13060" max="13060" width="14.109375" style="9" customWidth="1"/>
    <col min="13061" max="13061" width="12.88671875" style="9" customWidth="1"/>
    <col min="13062" max="13062" width="13.44140625" style="9" customWidth="1"/>
    <col min="13063" max="13063" width="15.33203125" style="9" customWidth="1"/>
    <col min="13064" max="13064" width="16.44140625" style="9" customWidth="1"/>
    <col min="13065" max="13065" width="16.109375" style="9" customWidth="1"/>
    <col min="13066" max="13313" width="9.109375" style="9"/>
    <col min="13314" max="13314" width="63.109375" style="9" customWidth="1"/>
    <col min="13315" max="13315" width="9.109375" style="9"/>
    <col min="13316" max="13316" width="14.109375" style="9" customWidth="1"/>
    <col min="13317" max="13317" width="12.88671875" style="9" customWidth="1"/>
    <col min="13318" max="13318" width="13.44140625" style="9" customWidth="1"/>
    <col min="13319" max="13319" width="15.33203125" style="9" customWidth="1"/>
    <col min="13320" max="13320" width="16.44140625" style="9" customWidth="1"/>
    <col min="13321" max="13321" width="16.109375" style="9" customWidth="1"/>
    <col min="13322" max="13569" width="9.109375" style="9"/>
    <col min="13570" max="13570" width="63.109375" style="9" customWidth="1"/>
    <col min="13571" max="13571" width="9.109375" style="9"/>
    <col min="13572" max="13572" width="14.109375" style="9" customWidth="1"/>
    <col min="13573" max="13573" width="12.88671875" style="9" customWidth="1"/>
    <col min="13574" max="13574" width="13.44140625" style="9" customWidth="1"/>
    <col min="13575" max="13575" width="15.33203125" style="9" customWidth="1"/>
    <col min="13576" max="13576" width="16.44140625" style="9" customWidth="1"/>
    <col min="13577" max="13577" width="16.109375" style="9" customWidth="1"/>
    <col min="13578" max="13825" width="9.109375" style="9"/>
    <col min="13826" max="13826" width="63.109375" style="9" customWidth="1"/>
    <col min="13827" max="13827" width="9.109375" style="9"/>
    <col min="13828" max="13828" width="14.109375" style="9" customWidth="1"/>
    <col min="13829" max="13829" width="12.88671875" style="9" customWidth="1"/>
    <col min="13830" max="13830" width="13.44140625" style="9" customWidth="1"/>
    <col min="13831" max="13831" width="15.33203125" style="9" customWidth="1"/>
    <col min="13832" max="13832" width="16.44140625" style="9" customWidth="1"/>
    <col min="13833" max="13833" width="16.109375" style="9" customWidth="1"/>
    <col min="13834" max="14081" width="9.109375" style="9"/>
    <col min="14082" max="14082" width="63.109375" style="9" customWidth="1"/>
    <col min="14083" max="14083" width="9.109375" style="9"/>
    <col min="14084" max="14084" width="14.109375" style="9" customWidth="1"/>
    <col min="14085" max="14085" width="12.88671875" style="9" customWidth="1"/>
    <col min="14086" max="14086" width="13.44140625" style="9" customWidth="1"/>
    <col min="14087" max="14087" width="15.33203125" style="9" customWidth="1"/>
    <col min="14088" max="14088" width="16.44140625" style="9" customWidth="1"/>
    <col min="14089" max="14089" width="16.109375" style="9" customWidth="1"/>
    <col min="14090" max="14337" width="9.109375" style="9"/>
    <col min="14338" max="14338" width="63.109375" style="9" customWidth="1"/>
    <col min="14339" max="14339" width="9.109375" style="9"/>
    <col min="14340" max="14340" width="14.109375" style="9" customWidth="1"/>
    <col min="14341" max="14341" width="12.88671875" style="9" customWidth="1"/>
    <col min="14342" max="14342" width="13.44140625" style="9" customWidth="1"/>
    <col min="14343" max="14343" width="15.33203125" style="9" customWidth="1"/>
    <col min="14344" max="14344" width="16.44140625" style="9" customWidth="1"/>
    <col min="14345" max="14345" width="16.109375" style="9" customWidth="1"/>
    <col min="14346" max="14593" width="9.109375" style="9"/>
    <col min="14594" max="14594" width="63.109375" style="9" customWidth="1"/>
    <col min="14595" max="14595" width="9.109375" style="9"/>
    <col min="14596" max="14596" width="14.109375" style="9" customWidth="1"/>
    <col min="14597" max="14597" width="12.88671875" style="9" customWidth="1"/>
    <col min="14598" max="14598" width="13.44140625" style="9" customWidth="1"/>
    <col min="14599" max="14599" width="15.33203125" style="9" customWidth="1"/>
    <col min="14600" max="14600" width="16.44140625" style="9" customWidth="1"/>
    <col min="14601" max="14601" width="16.109375" style="9" customWidth="1"/>
    <col min="14602" max="14849" width="9.109375" style="9"/>
    <col min="14850" max="14850" width="63.109375" style="9" customWidth="1"/>
    <col min="14851" max="14851" width="9.109375" style="9"/>
    <col min="14852" max="14852" width="14.109375" style="9" customWidth="1"/>
    <col min="14853" max="14853" width="12.88671875" style="9" customWidth="1"/>
    <col min="14854" max="14854" width="13.44140625" style="9" customWidth="1"/>
    <col min="14855" max="14855" width="15.33203125" style="9" customWidth="1"/>
    <col min="14856" max="14856" width="16.44140625" style="9" customWidth="1"/>
    <col min="14857" max="14857" width="16.109375" style="9" customWidth="1"/>
    <col min="14858" max="15105" width="9.109375" style="9"/>
    <col min="15106" max="15106" width="63.109375" style="9" customWidth="1"/>
    <col min="15107" max="15107" width="9.109375" style="9"/>
    <col min="15108" max="15108" width="14.109375" style="9" customWidth="1"/>
    <col min="15109" max="15109" width="12.88671875" style="9" customWidth="1"/>
    <col min="15110" max="15110" width="13.44140625" style="9" customWidth="1"/>
    <col min="15111" max="15111" width="15.33203125" style="9" customWidth="1"/>
    <col min="15112" max="15112" width="16.44140625" style="9" customWidth="1"/>
    <col min="15113" max="15113" width="16.109375" style="9" customWidth="1"/>
    <col min="15114" max="15361" width="9.109375" style="9"/>
    <col min="15362" max="15362" width="63.109375" style="9" customWidth="1"/>
    <col min="15363" max="15363" width="9.109375" style="9"/>
    <col min="15364" max="15364" width="14.109375" style="9" customWidth="1"/>
    <col min="15365" max="15365" width="12.88671875" style="9" customWidth="1"/>
    <col min="15366" max="15366" width="13.44140625" style="9" customWidth="1"/>
    <col min="15367" max="15367" width="15.33203125" style="9" customWidth="1"/>
    <col min="15368" max="15368" width="16.44140625" style="9" customWidth="1"/>
    <col min="15369" max="15369" width="16.109375" style="9" customWidth="1"/>
    <col min="15370" max="15617" width="9.109375" style="9"/>
    <col min="15618" max="15618" width="63.109375" style="9" customWidth="1"/>
    <col min="15619" max="15619" width="9.109375" style="9"/>
    <col min="15620" max="15620" width="14.109375" style="9" customWidth="1"/>
    <col min="15621" max="15621" width="12.88671875" style="9" customWidth="1"/>
    <col min="15622" max="15622" width="13.44140625" style="9" customWidth="1"/>
    <col min="15623" max="15623" width="15.33203125" style="9" customWidth="1"/>
    <col min="15624" max="15624" width="16.44140625" style="9" customWidth="1"/>
    <col min="15625" max="15625" width="16.109375" style="9" customWidth="1"/>
    <col min="15626" max="15873" width="9.109375" style="9"/>
    <col min="15874" max="15874" width="63.109375" style="9" customWidth="1"/>
    <col min="15875" max="15875" width="9.109375" style="9"/>
    <col min="15876" max="15876" width="14.109375" style="9" customWidth="1"/>
    <col min="15877" max="15877" width="12.88671875" style="9" customWidth="1"/>
    <col min="15878" max="15878" width="13.44140625" style="9" customWidth="1"/>
    <col min="15879" max="15879" width="15.33203125" style="9" customWidth="1"/>
    <col min="15880" max="15880" width="16.44140625" style="9" customWidth="1"/>
    <col min="15881" max="15881" width="16.109375" style="9" customWidth="1"/>
    <col min="15882" max="16129" width="9.109375" style="9"/>
    <col min="16130" max="16130" width="63.109375" style="9" customWidth="1"/>
    <col min="16131" max="16131" width="9.109375" style="9"/>
    <col min="16132" max="16132" width="14.109375" style="9" customWidth="1"/>
    <col min="16133" max="16133" width="12.88671875" style="9" customWidth="1"/>
    <col min="16134" max="16134" width="13.44140625" style="9" customWidth="1"/>
    <col min="16135" max="16135" width="15.33203125" style="9" customWidth="1"/>
    <col min="16136" max="16136" width="16.44140625" style="9" customWidth="1"/>
    <col min="16137" max="16137" width="16.109375" style="9" customWidth="1"/>
    <col min="16138" max="16384" width="9.109375" style="9"/>
  </cols>
  <sheetData>
    <row r="1" spans="1:10" x14ac:dyDescent="0.3">
      <c r="A1" s="1388" t="s">
        <v>22</v>
      </c>
      <c r="B1" s="1389" t="s">
        <v>1</v>
      </c>
      <c r="C1" s="1390" t="s">
        <v>23</v>
      </c>
      <c r="D1" s="1391" t="s">
        <v>24</v>
      </c>
      <c r="E1" s="1387" t="s">
        <v>25</v>
      </c>
      <c r="F1" s="1387"/>
      <c r="G1" s="1392" t="s">
        <v>26</v>
      </c>
      <c r="H1" s="1392"/>
      <c r="I1" s="1458" t="s">
        <v>27</v>
      </c>
    </row>
    <row r="2" spans="1:10" x14ac:dyDescent="0.3">
      <c r="A2" s="1388"/>
      <c r="B2" s="1389"/>
      <c r="C2" s="1390"/>
      <c r="D2" s="1391"/>
      <c r="E2" s="104" t="s">
        <v>28</v>
      </c>
      <c r="F2" s="104" t="s">
        <v>29</v>
      </c>
      <c r="G2" s="10" t="s">
        <v>28</v>
      </c>
      <c r="H2" s="10" t="s">
        <v>30</v>
      </c>
      <c r="I2" s="1459"/>
    </row>
    <row r="3" spans="1:10" x14ac:dyDescent="0.3">
      <c r="A3" s="11"/>
      <c r="B3" s="73" t="s">
        <v>167</v>
      </c>
      <c r="C3" s="74"/>
      <c r="D3" s="105"/>
      <c r="E3" s="106"/>
      <c r="F3" s="106"/>
      <c r="G3" s="16"/>
      <c r="H3" s="16"/>
      <c r="I3" s="16"/>
    </row>
    <row r="4" spans="1:10" x14ac:dyDescent="0.3">
      <c r="A4" s="17" t="s">
        <v>32</v>
      </c>
      <c r="B4" s="18" t="s">
        <v>8</v>
      </c>
      <c r="C4" s="101"/>
      <c r="D4" s="113"/>
      <c r="E4" s="156"/>
      <c r="F4" s="156"/>
      <c r="G4" s="157"/>
      <c r="H4" s="157"/>
      <c r="I4" s="157"/>
    </row>
    <row r="5" spans="1:10" s="22" customFormat="1" x14ac:dyDescent="0.3">
      <c r="A5" s="39" t="s">
        <v>282</v>
      </c>
      <c r="B5" s="158" t="s">
        <v>419</v>
      </c>
      <c r="C5" s="42" t="s">
        <v>74</v>
      </c>
      <c r="D5" s="107">
        <f>5.59*2.59*1+1.925*2.59*1+2.29*2.74*2+2.5*2.74*1+5.59*2.59*1+1.925*2.59*1+2.5*2.74*1</f>
        <v>65.176899999999989</v>
      </c>
      <c r="E5" s="108"/>
      <c r="F5" s="108"/>
      <c r="G5" s="95"/>
      <c r="H5" s="95"/>
      <c r="I5" s="95">
        <v>350378</v>
      </c>
      <c r="J5" s="22" t="s">
        <v>1191</v>
      </c>
    </row>
    <row r="6" spans="1:10" s="22" customFormat="1" x14ac:dyDescent="0.3">
      <c r="A6" s="39" t="s">
        <v>35</v>
      </c>
      <c r="B6" s="63" t="s">
        <v>420</v>
      </c>
      <c r="C6" s="42" t="s">
        <v>74</v>
      </c>
      <c r="D6" s="107">
        <f>1.52*0.9*138+1.52*1.3*69+1.77*1.3*161+1.77*1.5*207+1.56*0.9*1+1.81*1.5*10+1.81*1.3*7+1.95*1.2*2+0.8*0.8*8</f>
        <v>1299.999</v>
      </c>
      <c r="E6" s="108">
        <v>380</v>
      </c>
      <c r="F6" s="108"/>
      <c r="G6" s="95">
        <f t="shared" ref="G6:G44" si="0">D6*E6</f>
        <v>493999.62</v>
      </c>
      <c r="H6" s="95">
        <f t="shared" ref="H6:H44" si="1">D6*F6</f>
        <v>0</v>
      </c>
      <c r="I6" s="95">
        <f t="shared" ref="I6:I44" si="2">G6+H6</f>
        <v>493999.62</v>
      </c>
      <c r="J6" s="22" t="s">
        <v>1018</v>
      </c>
    </row>
    <row r="7" spans="1:10" x14ac:dyDescent="0.3">
      <c r="A7" s="173" t="s">
        <v>421</v>
      </c>
      <c r="B7" s="235" t="s">
        <v>422</v>
      </c>
      <c r="C7" s="171" t="s">
        <v>74</v>
      </c>
      <c r="D7" s="172">
        <f>138*1.44*0.85</f>
        <v>168.91200000000001</v>
      </c>
      <c r="E7" s="114"/>
      <c r="F7" s="236">
        <v>2073.98</v>
      </c>
      <c r="G7" s="91">
        <f t="shared" si="0"/>
        <v>0</v>
      </c>
      <c r="H7" s="91">
        <f t="shared" si="1"/>
        <v>350320.10976000002</v>
      </c>
      <c r="I7" s="91">
        <f t="shared" si="2"/>
        <v>350320.10976000002</v>
      </c>
    </row>
    <row r="8" spans="1:10" x14ac:dyDescent="0.3">
      <c r="A8" s="173" t="s">
        <v>423</v>
      </c>
      <c r="B8" s="235" t="s">
        <v>424</v>
      </c>
      <c r="C8" s="171" t="s">
        <v>74</v>
      </c>
      <c r="D8" s="172">
        <f>69*1.44*1.25</f>
        <v>124.2</v>
      </c>
      <c r="E8" s="237"/>
      <c r="F8" s="236">
        <v>1966.94</v>
      </c>
      <c r="G8" s="91">
        <f t="shared" si="0"/>
        <v>0</v>
      </c>
      <c r="H8" s="91">
        <f t="shared" si="1"/>
        <v>244293.948</v>
      </c>
      <c r="I8" s="91">
        <f t="shared" si="2"/>
        <v>244293.948</v>
      </c>
    </row>
    <row r="9" spans="1:10" x14ac:dyDescent="0.3">
      <c r="A9" s="173" t="s">
        <v>425</v>
      </c>
      <c r="B9" s="235" t="s">
        <v>426</v>
      </c>
      <c r="C9" s="171" t="s">
        <v>74</v>
      </c>
      <c r="D9" s="172">
        <f>161*1.25*1.69</f>
        <v>340.11250000000001</v>
      </c>
      <c r="E9" s="238"/>
      <c r="F9" s="236">
        <v>3797.55</v>
      </c>
      <c r="G9" s="91">
        <f t="shared" si="0"/>
        <v>0</v>
      </c>
      <c r="H9" s="91">
        <f t="shared" si="1"/>
        <v>1291594.224375</v>
      </c>
      <c r="I9" s="91">
        <f t="shared" si="2"/>
        <v>1291594.224375</v>
      </c>
    </row>
    <row r="10" spans="1:10" x14ac:dyDescent="0.3">
      <c r="A10" s="173" t="s">
        <v>427</v>
      </c>
      <c r="B10" s="235" t="s">
        <v>428</v>
      </c>
      <c r="C10" s="171" t="s">
        <v>74</v>
      </c>
      <c r="D10" s="172">
        <f>207*1.45*1.69</f>
        <v>507.25349999999992</v>
      </c>
      <c r="E10" s="238"/>
      <c r="F10" s="236">
        <v>3608.68</v>
      </c>
      <c r="G10" s="91">
        <f t="shared" si="0"/>
        <v>0</v>
      </c>
      <c r="H10" s="91">
        <f t="shared" si="1"/>
        <v>1830515.5603799997</v>
      </c>
      <c r="I10" s="91">
        <f t="shared" si="2"/>
        <v>1830515.5603799997</v>
      </c>
    </row>
    <row r="11" spans="1:10" x14ac:dyDescent="0.3">
      <c r="A11" s="173" t="s">
        <v>429</v>
      </c>
      <c r="B11" s="235" t="s">
        <v>430</v>
      </c>
      <c r="C11" s="171" t="s">
        <v>74</v>
      </c>
      <c r="D11" s="172">
        <f>1*1.085*1.48</f>
        <v>1.6057999999999999</v>
      </c>
      <c r="E11" s="238"/>
      <c r="F11" s="236">
        <v>2031.4699999999998</v>
      </c>
      <c r="G11" s="91">
        <f t="shared" si="0"/>
        <v>0</v>
      </c>
      <c r="H11" s="91">
        <f t="shared" si="1"/>
        <v>3262.1345259999994</v>
      </c>
      <c r="I11" s="91">
        <f t="shared" si="2"/>
        <v>3262.1345259999994</v>
      </c>
    </row>
    <row r="12" spans="1:10" x14ac:dyDescent="0.3">
      <c r="A12" s="173" t="s">
        <v>431</v>
      </c>
      <c r="B12" s="235" t="s">
        <v>432</v>
      </c>
      <c r="C12" s="171" t="s">
        <v>74</v>
      </c>
      <c r="D12" s="172">
        <f>10*1.45*1.73</f>
        <v>25.085000000000001</v>
      </c>
      <c r="E12" s="114"/>
      <c r="F12" s="114">
        <v>3649.81</v>
      </c>
      <c r="G12" s="91">
        <f t="shared" si="0"/>
        <v>0</v>
      </c>
      <c r="H12" s="91">
        <f t="shared" si="1"/>
        <v>91555.483850000004</v>
      </c>
      <c r="I12" s="91">
        <f t="shared" si="2"/>
        <v>91555.483850000004</v>
      </c>
    </row>
    <row r="13" spans="1:10" x14ac:dyDescent="0.3">
      <c r="A13" s="173" t="s">
        <v>433</v>
      </c>
      <c r="B13" s="235" t="s">
        <v>434</v>
      </c>
      <c r="C13" s="171" t="s">
        <v>74</v>
      </c>
      <c r="D13" s="172">
        <f>7*1.25*1.73</f>
        <v>15.137499999999999</v>
      </c>
      <c r="E13" s="114"/>
      <c r="F13" s="114">
        <v>3868.11</v>
      </c>
      <c r="G13" s="91">
        <f t="shared" si="0"/>
        <v>0</v>
      </c>
      <c r="H13" s="91">
        <f t="shared" si="1"/>
        <v>58553.515124999998</v>
      </c>
      <c r="I13" s="91">
        <f t="shared" si="2"/>
        <v>58553.515124999998</v>
      </c>
    </row>
    <row r="14" spans="1:10" x14ac:dyDescent="0.3">
      <c r="A14" s="173" t="s">
        <v>435</v>
      </c>
      <c r="B14" s="235" t="s">
        <v>436</v>
      </c>
      <c r="C14" s="171" t="s">
        <v>74</v>
      </c>
      <c r="D14" s="172">
        <f>1*1.87*1.25</f>
        <v>2.3375000000000004</v>
      </c>
      <c r="E14" s="114"/>
      <c r="F14" s="114">
        <v>2650.81</v>
      </c>
      <c r="G14" s="91">
        <f t="shared" si="0"/>
        <v>0</v>
      </c>
      <c r="H14" s="91">
        <f t="shared" si="1"/>
        <v>6196.2683750000006</v>
      </c>
      <c r="I14" s="91">
        <f t="shared" si="2"/>
        <v>6196.2683750000006</v>
      </c>
    </row>
    <row r="15" spans="1:10" x14ac:dyDescent="0.3">
      <c r="A15" s="173" t="s">
        <v>437</v>
      </c>
      <c r="B15" s="235" t="s">
        <v>436</v>
      </c>
      <c r="C15" s="171" t="s">
        <v>74</v>
      </c>
      <c r="D15" s="172">
        <f>1*1.87*1.25</f>
        <v>2.3375000000000004</v>
      </c>
      <c r="E15" s="114"/>
      <c r="F15" s="114">
        <v>2650.81</v>
      </c>
      <c r="G15" s="91">
        <f t="shared" si="0"/>
        <v>0</v>
      </c>
      <c r="H15" s="91">
        <f t="shared" si="1"/>
        <v>6196.2683750000006</v>
      </c>
      <c r="I15" s="91">
        <f t="shared" si="2"/>
        <v>6196.2683750000006</v>
      </c>
    </row>
    <row r="16" spans="1:10" x14ac:dyDescent="0.3">
      <c r="A16" s="173" t="s">
        <v>438</v>
      </c>
      <c r="B16" s="235" t="s">
        <v>439</v>
      </c>
      <c r="C16" s="171" t="s">
        <v>74</v>
      </c>
      <c r="D16" s="172">
        <f>8*0.75*0.75</f>
        <v>4.5</v>
      </c>
      <c r="E16" s="114"/>
      <c r="F16" s="114">
        <v>2725.39</v>
      </c>
      <c r="G16" s="91">
        <f t="shared" si="0"/>
        <v>0</v>
      </c>
      <c r="H16" s="91">
        <f t="shared" si="1"/>
        <v>12264.254999999999</v>
      </c>
      <c r="I16" s="91">
        <f t="shared" si="2"/>
        <v>12264.254999999999</v>
      </c>
    </row>
    <row r="17" spans="1:9" x14ac:dyDescent="0.3">
      <c r="A17" s="23" t="s">
        <v>440</v>
      </c>
      <c r="B17" s="136" t="s">
        <v>441</v>
      </c>
      <c r="C17" s="160" t="s">
        <v>96</v>
      </c>
      <c r="D17" s="137">
        <f>603*8</f>
        <v>4824</v>
      </c>
      <c r="E17" s="148"/>
      <c r="F17" s="149">
        <v>1.81</v>
      </c>
      <c r="G17" s="99">
        <f t="shared" si="0"/>
        <v>0</v>
      </c>
      <c r="H17" s="99">
        <f t="shared" si="1"/>
        <v>8731.44</v>
      </c>
      <c r="I17" s="99">
        <f t="shared" si="2"/>
        <v>8731.44</v>
      </c>
    </row>
    <row r="18" spans="1:9" x14ac:dyDescent="0.3">
      <c r="A18" s="23" t="s">
        <v>442</v>
      </c>
      <c r="B18" s="136" t="s">
        <v>443</v>
      </c>
      <c r="C18" s="160" t="s">
        <v>96</v>
      </c>
      <c r="D18" s="137">
        <f>603*8</f>
        <v>4824</v>
      </c>
      <c r="E18" s="148"/>
      <c r="F18" s="149">
        <v>1.5</v>
      </c>
      <c r="G18" s="99">
        <f t="shared" si="0"/>
        <v>0</v>
      </c>
      <c r="H18" s="99">
        <f t="shared" si="1"/>
        <v>7236</v>
      </c>
      <c r="I18" s="99">
        <f t="shared" si="2"/>
        <v>7236</v>
      </c>
    </row>
    <row r="19" spans="1:9" x14ac:dyDescent="0.3">
      <c r="A19" s="23" t="s">
        <v>444</v>
      </c>
      <c r="B19" s="136" t="s">
        <v>445</v>
      </c>
      <c r="C19" s="160" t="s">
        <v>96</v>
      </c>
      <c r="D19" s="137">
        <f>603*8</f>
        <v>4824</v>
      </c>
      <c r="E19" s="148"/>
      <c r="F19" s="149">
        <v>1.1399999999999999</v>
      </c>
      <c r="G19" s="99">
        <f t="shared" si="0"/>
        <v>0</v>
      </c>
      <c r="H19" s="99">
        <f t="shared" si="1"/>
        <v>5499.36</v>
      </c>
      <c r="I19" s="99">
        <f t="shared" si="2"/>
        <v>5499.36</v>
      </c>
    </row>
    <row r="20" spans="1:9" x14ac:dyDescent="0.3">
      <c r="A20" s="23" t="s">
        <v>446</v>
      </c>
      <c r="B20" s="136" t="s">
        <v>447</v>
      </c>
      <c r="C20" s="160" t="s">
        <v>96</v>
      </c>
      <c r="D20" s="137">
        <f>5700-16*46</f>
        <v>4964</v>
      </c>
      <c r="E20" s="148"/>
      <c r="F20" s="149">
        <v>1.19</v>
      </c>
      <c r="G20" s="99">
        <f t="shared" si="0"/>
        <v>0</v>
      </c>
      <c r="H20" s="99">
        <f t="shared" si="1"/>
        <v>5907.16</v>
      </c>
      <c r="I20" s="99">
        <f t="shared" si="2"/>
        <v>5907.16</v>
      </c>
    </row>
    <row r="21" spans="1:9" x14ac:dyDescent="0.3">
      <c r="A21" s="23" t="s">
        <v>448</v>
      </c>
      <c r="B21" s="136" t="s">
        <v>449</v>
      </c>
      <c r="C21" s="160" t="s">
        <v>96</v>
      </c>
      <c r="D21" s="137">
        <f>603*4</f>
        <v>2412</v>
      </c>
      <c r="E21" s="148"/>
      <c r="F21" s="149">
        <v>0.86</v>
      </c>
      <c r="G21" s="99">
        <f t="shared" si="0"/>
        <v>0</v>
      </c>
      <c r="H21" s="99">
        <f t="shared" si="1"/>
        <v>2074.3200000000002</v>
      </c>
      <c r="I21" s="99">
        <f t="shared" si="2"/>
        <v>2074.3200000000002</v>
      </c>
    </row>
    <row r="22" spans="1:9" x14ac:dyDescent="0.3">
      <c r="A22" s="23" t="s">
        <v>450</v>
      </c>
      <c r="B22" s="136" t="s">
        <v>451</v>
      </c>
      <c r="C22" s="160" t="s">
        <v>96</v>
      </c>
      <c r="D22" s="137">
        <f>603*16</f>
        <v>9648</v>
      </c>
      <c r="E22" s="148"/>
      <c r="F22" s="149">
        <v>15</v>
      </c>
      <c r="G22" s="99">
        <f t="shared" si="0"/>
        <v>0</v>
      </c>
      <c r="H22" s="99">
        <f t="shared" si="1"/>
        <v>144720</v>
      </c>
      <c r="I22" s="99">
        <f t="shared" si="2"/>
        <v>144720</v>
      </c>
    </row>
    <row r="23" spans="1:9" x14ac:dyDescent="0.3">
      <c r="A23" s="23" t="s">
        <v>452</v>
      </c>
      <c r="B23" s="136" t="s">
        <v>453</v>
      </c>
      <c r="C23" s="160" t="s">
        <v>96</v>
      </c>
      <c r="D23" s="161">
        <v>138</v>
      </c>
      <c r="E23" s="148"/>
      <c r="F23" s="149">
        <v>35.619999999999997</v>
      </c>
      <c r="G23" s="99">
        <f t="shared" si="0"/>
        <v>0</v>
      </c>
      <c r="H23" s="99">
        <f t="shared" si="1"/>
        <v>4915.5599999999995</v>
      </c>
      <c r="I23" s="99">
        <f t="shared" si="2"/>
        <v>4915.5599999999995</v>
      </c>
    </row>
    <row r="24" spans="1:9" x14ac:dyDescent="0.3">
      <c r="A24" s="23" t="s">
        <v>454</v>
      </c>
      <c r="B24" s="136" t="s">
        <v>455</v>
      </c>
      <c r="C24" s="160" t="s">
        <v>311</v>
      </c>
      <c r="D24" s="162">
        <f>0.12*(2.42*4*207+0.75*4*207+2.44*2+0.75*2+0.9*2*138+1.52*2*138+1.3*2*69+1.52*2*69+1.3*2*161+1.77*2*161+1.5*2*207+1.77*2*207+0.9*2+1.56*2+1.5*2*10+1.81*2*10+1.3*2*7+1.81*2*7+1.2*4+1.95*4+0.8*4*8)</f>
        <v>742.00800000000004</v>
      </c>
      <c r="E24" s="148"/>
      <c r="F24" s="149">
        <v>93.73</v>
      </c>
      <c r="G24" s="99">
        <f t="shared" si="0"/>
        <v>0</v>
      </c>
      <c r="H24" s="99">
        <f t="shared" si="1"/>
        <v>69548.409840000008</v>
      </c>
      <c r="I24" s="99">
        <f t="shared" si="2"/>
        <v>69548.409840000008</v>
      </c>
    </row>
    <row r="25" spans="1:9" x14ac:dyDescent="0.3">
      <c r="A25" s="23" t="s">
        <v>456</v>
      </c>
      <c r="B25" s="136" t="s">
        <v>457</v>
      </c>
      <c r="C25" s="160" t="s">
        <v>311</v>
      </c>
      <c r="D25" s="162">
        <f>0.12*(2.42*4*207+0.75*4*207+2.44*2+0.75*2+0.9*2*138+1.52*2*138+1.3*2*69+1.52*2*69+1.3*2*161+1.77*2*161+1.5*2*207+1.77*2*207+0.9*2+1.56*2+1.5*2*10+1.81*2*10+1.3*2*7+1.81*2*7+1.2*4+1.95*4+0.8*4*8)</f>
        <v>742.00800000000004</v>
      </c>
      <c r="E25" s="148"/>
      <c r="F25" s="149">
        <v>85.5</v>
      </c>
      <c r="G25" s="99">
        <f t="shared" si="0"/>
        <v>0</v>
      </c>
      <c r="H25" s="99">
        <f t="shared" si="1"/>
        <v>63441.684000000001</v>
      </c>
      <c r="I25" s="99">
        <f t="shared" si="2"/>
        <v>63441.684000000001</v>
      </c>
    </row>
    <row r="26" spans="1:9" x14ac:dyDescent="0.3">
      <c r="A26" s="23" t="s">
        <v>458</v>
      </c>
      <c r="B26" s="136" t="s">
        <v>459</v>
      </c>
      <c r="C26" s="160" t="s">
        <v>460</v>
      </c>
      <c r="D26" s="137">
        <f>ROUND(603*1.5,0)</f>
        <v>905</v>
      </c>
      <c r="E26" s="148"/>
      <c r="F26" s="149">
        <v>174</v>
      </c>
      <c r="G26" s="99">
        <f t="shared" si="0"/>
        <v>0</v>
      </c>
      <c r="H26" s="99">
        <f t="shared" si="1"/>
        <v>157470</v>
      </c>
      <c r="I26" s="99">
        <f t="shared" si="2"/>
        <v>157470</v>
      </c>
    </row>
    <row r="27" spans="1:9" s="22" customFormat="1" x14ac:dyDescent="0.3">
      <c r="A27" s="23" t="s">
        <v>461</v>
      </c>
      <c r="B27" s="63" t="s">
        <v>462</v>
      </c>
      <c r="C27" s="42" t="s">
        <v>318</v>
      </c>
      <c r="D27" s="107">
        <f>1*139+1.4*237+1.6*217</f>
        <v>818</v>
      </c>
      <c r="E27" s="108">
        <v>200</v>
      </c>
      <c r="F27" s="108"/>
      <c r="G27" s="95">
        <f t="shared" si="0"/>
        <v>163600</v>
      </c>
      <c r="H27" s="95">
        <f t="shared" si="1"/>
        <v>0</v>
      </c>
      <c r="I27" s="95">
        <f t="shared" si="2"/>
        <v>163600</v>
      </c>
    </row>
    <row r="28" spans="1:9" x14ac:dyDescent="0.3">
      <c r="A28" s="23" t="s">
        <v>463</v>
      </c>
      <c r="B28" s="45" t="s">
        <v>464</v>
      </c>
      <c r="C28" s="30" t="s">
        <v>318</v>
      </c>
      <c r="D28" s="100">
        <f>138+1</f>
        <v>139</v>
      </c>
      <c r="E28" s="109"/>
      <c r="F28" s="109">
        <v>147</v>
      </c>
      <c r="G28" s="99">
        <f t="shared" si="0"/>
        <v>0</v>
      </c>
      <c r="H28" s="99">
        <f t="shared" si="1"/>
        <v>20433</v>
      </c>
      <c r="I28" s="99">
        <f t="shared" si="2"/>
        <v>20433</v>
      </c>
    </row>
    <row r="29" spans="1:9" x14ac:dyDescent="0.3">
      <c r="A29" s="23" t="s">
        <v>465</v>
      </c>
      <c r="B29" s="45" t="s">
        <v>466</v>
      </c>
      <c r="C29" s="30" t="s">
        <v>318</v>
      </c>
      <c r="D29" s="100">
        <f>(69+161+7)*1.4</f>
        <v>331.79999999999995</v>
      </c>
      <c r="E29" s="109"/>
      <c r="F29" s="109">
        <v>147</v>
      </c>
      <c r="G29" s="99">
        <f t="shared" si="0"/>
        <v>0</v>
      </c>
      <c r="H29" s="99">
        <f t="shared" si="1"/>
        <v>48774.599999999991</v>
      </c>
      <c r="I29" s="99">
        <f t="shared" si="2"/>
        <v>48774.599999999991</v>
      </c>
    </row>
    <row r="30" spans="1:9" x14ac:dyDescent="0.3">
      <c r="A30" s="23" t="s">
        <v>467</v>
      </c>
      <c r="B30" s="45" t="s">
        <v>468</v>
      </c>
      <c r="C30" s="30" t="s">
        <v>318</v>
      </c>
      <c r="D30" s="100">
        <f>(207+10)*1.6</f>
        <v>347.20000000000005</v>
      </c>
      <c r="E30" s="109"/>
      <c r="F30" s="109">
        <v>147</v>
      </c>
      <c r="G30" s="99">
        <f t="shared" si="0"/>
        <v>0</v>
      </c>
      <c r="H30" s="99">
        <f t="shared" si="1"/>
        <v>51038.400000000009</v>
      </c>
      <c r="I30" s="99">
        <f t="shared" si="2"/>
        <v>51038.400000000009</v>
      </c>
    </row>
    <row r="31" spans="1:9" s="22" customFormat="1" x14ac:dyDescent="0.3">
      <c r="A31" s="39" t="s">
        <v>37</v>
      </c>
      <c r="B31" s="63" t="s">
        <v>469</v>
      </c>
      <c r="C31" s="42" t="s">
        <v>74</v>
      </c>
      <c r="D31" s="107">
        <f>2.42*0.75*115+2.42*0.75*92+2.44*0.75*1</f>
        <v>377.53499999999997</v>
      </c>
      <c r="E31" s="108">
        <v>380</v>
      </c>
      <c r="F31" s="108"/>
      <c r="G31" s="95">
        <f t="shared" si="0"/>
        <v>143463.29999999999</v>
      </c>
      <c r="H31" s="95">
        <f t="shared" si="1"/>
        <v>0</v>
      </c>
      <c r="I31" s="95">
        <f t="shared" si="2"/>
        <v>143463.29999999999</v>
      </c>
    </row>
    <row r="32" spans="1:9" x14ac:dyDescent="0.3">
      <c r="A32" s="23" t="s">
        <v>470</v>
      </c>
      <c r="B32" s="45" t="s">
        <v>471</v>
      </c>
      <c r="C32" s="30" t="s">
        <v>74</v>
      </c>
      <c r="D32" s="100">
        <f>115*2.42*0.75</f>
        <v>208.72500000000002</v>
      </c>
      <c r="E32" s="109"/>
      <c r="F32" s="109">
        <v>3228.65</v>
      </c>
      <c r="G32" s="99">
        <f t="shared" si="0"/>
        <v>0</v>
      </c>
      <c r="H32" s="99">
        <f t="shared" si="1"/>
        <v>673899.97125000006</v>
      </c>
      <c r="I32" s="99">
        <f t="shared" si="2"/>
        <v>673899.97125000006</v>
      </c>
    </row>
    <row r="33" spans="1:9" x14ac:dyDescent="0.3">
      <c r="A33" s="23" t="s">
        <v>472</v>
      </c>
      <c r="B33" s="45" t="s">
        <v>473</v>
      </c>
      <c r="C33" s="30" t="s">
        <v>74</v>
      </c>
      <c r="D33" s="100">
        <f>92*2.42*0.75</f>
        <v>166.98</v>
      </c>
      <c r="E33" s="163"/>
      <c r="F33" s="109">
        <v>3228.65</v>
      </c>
      <c r="G33" s="99">
        <f t="shared" si="0"/>
        <v>0</v>
      </c>
      <c r="H33" s="99">
        <f t="shared" si="1"/>
        <v>539119.97699999996</v>
      </c>
      <c r="I33" s="99">
        <f t="shared" si="2"/>
        <v>539119.97699999996</v>
      </c>
    </row>
    <row r="34" spans="1:9" x14ac:dyDescent="0.3">
      <c r="A34" s="23" t="s">
        <v>474</v>
      </c>
      <c r="B34" s="45" t="s">
        <v>475</v>
      </c>
      <c r="C34" s="30" t="s">
        <v>74</v>
      </c>
      <c r="D34" s="100">
        <f>1*2.44*0.75</f>
        <v>1.83</v>
      </c>
      <c r="E34" s="116"/>
      <c r="F34" s="109">
        <v>3162.43</v>
      </c>
      <c r="G34" s="99">
        <f t="shared" si="0"/>
        <v>0</v>
      </c>
      <c r="H34" s="99">
        <f t="shared" si="1"/>
        <v>5787.2469000000001</v>
      </c>
      <c r="I34" s="99">
        <f t="shared" si="2"/>
        <v>5787.2469000000001</v>
      </c>
    </row>
    <row r="35" spans="1:9" s="22" customFormat="1" x14ac:dyDescent="0.3">
      <c r="A35" s="39" t="s">
        <v>39</v>
      </c>
      <c r="B35" s="63" t="s">
        <v>476</v>
      </c>
      <c r="C35" s="42" t="s">
        <v>74</v>
      </c>
      <c r="D35" s="107">
        <f>3.26*1.56*1+0.92*1.56*2+3.26*1.52*69+1.12*1.52*161+6.08*1.52*23+6.26*1.52*23+5.645*1.52*23+1.07*1.52*23+0.92*1.52*23</f>
        <v>1322.2772</v>
      </c>
      <c r="E35" s="163">
        <v>380</v>
      </c>
      <c r="F35" s="108"/>
      <c r="G35" s="95">
        <f t="shared" si="0"/>
        <v>502465.33600000001</v>
      </c>
      <c r="H35" s="95">
        <f t="shared" si="1"/>
        <v>0</v>
      </c>
      <c r="I35" s="95">
        <f t="shared" si="2"/>
        <v>502465.33600000001</v>
      </c>
    </row>
    <row r="36" spans="1:9" x14ac:dyDescent="0.3">
      <c r="A36" s="23" t="s">
        <v>477</v>
      </c>
      <c r="B36" s="45" t="s">
        <v>478</v>
      </c>
      <c r="C36" s="30" t="s">
        <v>74</v>
      </c>
      <c r="D36" s="100">
        <f>1*3.26*1.56</f>
        <v>5.0855999999999995</v>
      </c>
      <c r="E36" s="116"/>
      <c r="F36" s="159">
        <v>2648.64</v>
      </c>
      <c r="G36" s="99">
        <f t="shared" si="0"/>
        <v>0</v>
      </c>
      <c r="H36" s="99">
        <f t="shared" si="1"/>
        <v>13469.923583999998</v>
      </c>
      <c r="I36" s="99">
        <f t="shared" si="2"/>
        <v>13469.923583999998</v>
      </c>
    </row>
    <row r="37" spans="1:9" x14ac:dyDescent="0.3">
      <c r="A37" s="23" t="s">
        <v>479</v>
      </c>
      <c r="B37" s="45" t="s">
        <v>480</v>
      </c>
      <c r="C37" s="30" t="s">
        <v>74</v>
      </c>
      <c r="D37" s="100">
        <f>2*0.92*1.56</f>
        <v>2.8704000000000001</v>
      </c>
      <c r="E37" s="116"/>
      <c r="F37" s="159">
        <v>2422.7199999999998</v>
      </c>
      <c r="G37" s="99">
        <f t="shared" si="0"/>
        <v>0</v>
      </c>
      <c r="H37" s="99">
        <f t="shared" si="1"/>
        <v>6954.1754879999999</v>
      </c>
      <c r="I37" s="99">
        <f t="shared" si="2"/>
        <v>6954.1754879999999</v>
      </c>
    </row>
    <row r="38" spans="1:9" x14ac:dyDescent="0.3">
      <c r="A38" s="23" t="s">
        <v>481</v>
      </c>
      <c r="B38" s="45" t="s">
        <v>482</v>
      </c>
      <c r="C38" s="30" t="s">
        <v>74</v>
      </c>
      <c r="D38" s="100">
        <f>69*3.26*1.52</f>
        <v>341.90879999999999</v>
      </c>
      <c r="E38" s="116"/>
      <c r="F38" s="159">
        <v>2688.62</v>
      </c>
      <c r="G38" s="99">
        <f t="shared" si="0"/>
        <v>0</v>
      </c>
      <c r="H38" s="99">
        <f t="shared" si="1"/>
        <v>919262.83785599994</v>
      </c>
      <c r="I38" s="99">
        <f t="shared" si="2"/>
        <v>919262.83785599994</v>
      </c>
    </row>
    <row r="39" spans="1:9" x14ac:dyDescent="0.3">
      <c r="A39" s="23" t="s">
        <v>483</v>
      </c>
      <c r="B39" s="45" t="s">
        <v>484</v>
      </c>
      <c r="C39" s="30" t="s">
        <v>74</v>
      </c>
      <c r="D39" s="100">
        <f>161*1.12*1.52</f>
        <v>274.08640000000003</v>
      </c>
      <c r="E39" s="109"/>
      <c r="F39" s="159">
        <v>2312.7199999999998</v>
      </c>
      <c r="G39" s="99">
        <f t="shared" si="0"/>
        <v>0</v>
      </c>
      <c r="H39" s="99">
        <f t="shared" si="1"/>
        <v>633885.09900799999</v>
      </c>
      <c r="I39" s="99">
        <f t="shared" si="2"/>
        <v>633885.09900799999</v>
      </c>
    </row>
    <row r="40" spans="1:9" x14ac:dyDescent="0.3">
      <c r="A40" s="23" t="s">
        <v>485</v>
      </c>
      <c r="B40" s="45" t="s">
        <v>486</v>
      </c>
      <c r="C40" s="30" t="s">
        <v>74</v>
      </c>
      <c r="D40" s="100">
        <f>23*6.08*1.52</f>
        <v>212.55680000000001</v>
      </c>
      <c r="E40" s="109"/>
      <c r="F40" s="159">
        <v>2397.61</v>
      </c>
      <c r="G40" s="99">
        <f t="shared" si="0"/>
        <v>0</v>
      </c>
      <c r="H40" s="99">
        <f t="shared" si="1"/>
        <v>509628.30924800003</v>
      </c>
      <c r="I40" s="99">
        <f t="shared" si="2"/>
        <v>509628.30924800003</v>
      </c>
    </row>
    <row r="41" spans="1:9" x14ac:dyDescent="0.3">
      <c r="A41" s="23" t="s">
        <v>487</v>
      </c>
      <c r="B41" s="45" t="s">
        <v>488</v>
      </c>
      <c r="C41" s="30" t="s">
        <v>74</v>
      </c>
      <c r="D41" s="100">
        <f>23*6.26*1.52</f>
        <v>218.84959999999998</v>
      </c>
      <c r="E41" s="109"/>
      <c r="F41" s="159">
        <v>2395.33</v>
      </c>
      <c r="G41" s="99">
        <f t="shared" si="0"/>
        <v>0</v>
      </c>
      <c r="H41" s="99">
        <f t="shared" si="1"/>
        <v>524217.01236799994</v>
      </c>
      <c r="I41" s="99">
        <f t="shared" si="2"/>
        <v>524217.01236799994</v>
      </c>
    </row>
    <row r="42" spans="1:9" x14ac:dyDescent="0.3">
      <c r="A42" s="23" t="s">
        <v>489</v>
      </c>
      <c r="B42" s="45" t="s">
        <v>490</v>
      </c>
      <c r="C42" s="30" t="s">
        <v>74</v>
      </c>
      <c r="D42" s="100">
        <f>23*5.645*1.52</f>
        <v>197.34919999999997</v>
      </c>
      <c r="E42" s="109"/>
      <c r="F42" s="159">
        <v>2466.8000000000002</v>
      </c>
      <c r="G42" s="99">
        <f t="shared" si="0"/>
        <v>0</v>
      </c>
      <c r="H42" s="99">
        <f t="shared" si="1"/>
        <v>486821.00655999995</v>
      </c>
      <c r="I42" s="99">
        <f t="shared" si="2"/>
        <v>486821.00655999995</v>
      </c>
    </row>
    <row r="43" spans="1:9" x14ac:dyDescent="0.3">
      <c r="A43" s="23" t="s">
        <v>491</v>
      </c>
      <c r="B43" s="45" t="s">
        <v>492</v>
      </c>
      <c r="C43" s="30" t="s">
        <v>74</v>
      </c>
      <c r="D43" s="100">
        <f>23*1.07*1.52</f>
        <v>37.407200000000003</v>
      </c>
      <c r="E43" s="109"/>
      <c r="F43" s="159">
        <v>2326.14</v>
      </c>
      <c r="G43" s="99">
        <f t="shared" si="0"/>
        <v>0</v>
      </c>
      <c r="H43" s="99">
        <f t="shared" si="1"/>
        <v>87014.384208000003</v>
      </c>
      <c r="I43" s="99">
        <f t="shared" si="2"/>
        <v>87014.384208000003</v>
      </c>
    </row>
    <row r="44" spans="1:9" x14ac:dyDescent="0.3">
      <c r="A44" s="23" t="s">
        <v>493</v>
      </c>
      <c r="B44" s="45" t="s">
        <v>494</v>
      </c>
      <c r="C44" s="30" t="s">
        <v>74</v>
      </c>
      <c r="D44" s="100">
        <f>23*0.92*1.52</f>
        <v>32.163200000000003</v>
      </c>
      <c r="E44" s="109"/>
      <c r="F44" s="159">
        <v>2488.0100000000002</v>
      </c>
      <c r="G44" s="99">
        <f t="shared" si="0"/>
        <v>0</v>
      </c>
      <c r="H44" s="99">
        <f t="shared" si="1"/>
        <v>80022.363232000018</v>
      </c>
      <c r="I44" s="99">
        <f t="shared" si="2"/>
        <v>80022.363232000018</v>
      </c>
    </row>
    <row r="45" spans="1:9" x14ac:dyDescent="0.3">
      <c r="A45" s="17" t="s">
        <v>41</v>
      </c>
      <c r="B45" s="18" t="s">
        <v>9</v>
      </c>
      <c r="C45" s="164"/>
      <c r="D45" s="113"/>
      <c r="E45" s="114"/>
      <c r="F45" s="114"/>
      <c r="G45" s="91"/>
      <c r="H45" s="91"/>
      <c r="I45" s="91"/>
    </row>
    <row r="46" spans="1:9" s="166" customFormat="1" x14ac:dyDescent="0.3">
      <c r="A46" s="23" t="s">
        <v>42</v>
      </c>
      <c r="B46" s="81" t="s">
        <v>496</v>
      </c>
      <c r="C46" s="55" t="s">
        <v>497</v>
      </c>
      <c r="D46" s="96">
        <v>1</v>
      </c>
      <c r="E46" s="109"/>
      <c r="F46" s="165">
        <v>45015</v>
      </c>
      <c r="G46" s="99">
        <f>D46*E46</f>
        <v>0</v>
      </c>
      <c r="H46" s="99">
        <f t="shared" ref="H46:H71" si="3">D46*F46</f>
        <v>45015</v>
      </c>
      <c r="I46" s="99">
        <f t="shared" ref="I46:I70" si="4">G46+H46</f>
        <v>45015</v>
      </c>
    </row>
    <row r="47" spans="1:9" s="166" customFormat="1" x14ac:dyDescent="0.3">
      <c r="A47" s="23" t="s">
        <v>45</v>
      </c>
      <c r="B47" s="81" t="s">
        <v>498</v>
      </c>
      <c r="C47" s="55" t="s">
        <v>497</v>
      </c>
      <c r="D47" s="96">
        <v>1</v>
      </c>
      <c r="E47" s="109"/>
      <c r="F47" s="165">
        <v>45015</v>
      </c>
      <c r="G47" s="99">
        <f>D47*E47</f>
        <v>0</v>
      </c>
      <c r="H47" s="99">
        <f t="shared" si="3"/>
        <v>45015</v>
      </c>
      <c r="I47" s="99">
        <f t="shared" si="4"/>
        <v>45015</v>
      </c>
    </row>
    <row r="48" spans="1:9" s="166" customFormat="1" x14ac:dyDescent="0.3">
      <c r="A48" s="23" t="s">
        <v>47</v>
      </c>
      <c r="B48" s="81" t="s">
        <v>499</v>
      </c>
      <c r="C48" s="55" t="s">
        <v>497</v>
      </c>
      <c r="D48" s="96">
        <v>2</v>
      </c>
      <c r="E48" s="109"/>
      <c r="F48" s="165">
        <v>29690</v>
      </c>
      <c r="G48" s="99">
        <f>D48*E48</f>
        <v>0</v>
      </c>
      <c r="H48" s="99">
        <f t="shared" si="3"/>
        <v>59380</v>
      </c>
      <c r="I48" s="99">
        <f t="shared" si="4"/>
        <v>59380</v>
      </c>
    </row>
    <row r="49" spans="1:9" s="166" customFormat="1" x14ac:dyDescent="0.3">
      <c r="A49" s="23" t="s">
        <v>500</v>
      </c>
      <c r="B49" s="81" t="s">
        <v>501</v>
      </c>
      <c r="C49" s="55" t="s">
        <v>497</v>
      </c>
      <c r="D49" s="96">
        <v>2</v>
      </c>
      <c r="E49" s="151"/>
      <c r="F49" s="167">
        <v>29690</v>
      </c>
      <c r="G49" s="99">
        <f>D49*E49</f>
        <v>0</v>
      </c>
      <c r="H49" s="99">
        <f t="shared" si="3"/>
        <v>59380</v>
      </c>
      <c r="I49" s="99">
        <f t="shared" si="4"/>
        <v>59380</v>
      </c>
    </row>
    <row r="50" spans="1:9" s="166" customFormat="1" x14ac:dyDescent="0.3">
      <c r="A50" s="23" t="s">
        <v>502</v>
      </c>
      <c r="B50" s="81" t="s">
        <v>503</v>
      </c>
      <c r="C50" s="55" t="s">
        <v>497</v>
      </c>
      <c r="D50" s="96">
        <v>1</v>
      </c>
      <c r="E50" s="126"/>
      <c r="F50" s="167">
        <v>11800</v>
      </c>
      <c r="G50" s="99">
        <f>D50*E50</f>
        <v>0</v>
      </c>
      <c r="H50" s="99">
        <f t="shared" si="3"/>
        <v>11800</v>
      </c>
      <c r="I50" s="99">
        <f t="shared" si="4"/>
        <v>11800</v>
      </c>
    </row>
    <row r="51" spans="1:9" s="166" customFormat="1" x14ac:dyDescent="0.3">
      <c r="A51" s="404" t="s">
        <v>504</v>
      </c>
      <c r="B51" s="405" t="s">
        <v>505</v>
      </c>
      <c r="C51" s="406" t="s">
        <v>497</v>
      </c>
      <c r="D51" s="407">
        <v>1</v>
      </c>
      <c r="E51" s="408" t="s">
        <v>506</v>
      </c>
      <c r="F51" s="409">
        <v>2300</v>
      </c>
      <c r="G51" s="410"/>
      <c r="H51" s="410">
        <f t="shared" si="3"/>
        <v>2300</v>
      </c>
      <c r="I51" s="410">
        <f t="shared" si="4"/>
        <v>2300</v>
      </c>
    </row>
    <row r="52" spans="1:9" s="166" customFormat="1" x14ac:dyDescent="0.3">
      <c r="A52" s="404" t="s">
        <v>507</v>
      </c>
      <c r="B52" s="405" t="s">
        <v>508</v>
      </c>
      <c r="C52" s="406" t="s">
        <v>497</v>
      </c>
      <c r="D52" s="407">
        <v>23</v>
      </c>
      <c r="E52" s="408"/>
      <c r="F52" s="409">
        <v>2300</v>
      </c>
      <c r="G52" s="410">
        <f t="shared" ref="G52:G70" si="5">D52*E52</f>
        <v>0</v>
      </c>
      <c r="H52" s="410">
        <f t="shared" si="3"/>
        <v>52900</v>
      </c>
      <c r="I52" s="410">
        <f t="shared" si="4"/>
        <v>52900</v>
      </c>
    </row>
    <row r="53" spans="1:9" s="166" customFormat="1" x14ac:dyDescent="0.3">
      <c r="A53" s="404" t="s">
        <v>509</v>
      </c>
      <c r="B53" s="405" t="s">
        <v>510</v>
      </c>
      <c r="C53" s="406" t="s">
        <v>497</v>
      </c>
      <c r="D53" s="407">
        <v>23</v>
      </c>
      <c r="E53" s="408"/>
      <c r="F53" s="409">
        <v>2300</v>
      </c>
      <c r="G53" s="410">
        <f t="shared" si="5"/>
        <v>0</v>
      </c>
      <c r="H53" s="410">
        <f t="shared" si="3"/>
        <v>52900</v>
      </c>
      <c r="I53" s="410">
        <f t="shared" si="4"/>
        <v>52900</v>
      </c>
    </row>
    <row r="54" spans="1:9" s="166" customFormat="1" x14ac:dyDescent="0.3">
      <c r="A54" s="23" t="s">
        <v>511</v>
      </c>
      <c r="B54" s="81" t="s">
        <v>512</v>
      </c>
      <c r="C54" s="55" t="s">
        <v>497</v>
      </c>
      <c r="D54" s="96">
        <v>1</v>
      </c>
      <c r="E54" s="133"/>
      <c r="F54" s="168">
        <v>8740</v>
      </c>
      <c r="G54" s="99">
        <f t="shared" si="5"/>
        <v>0</v>
      </c>
      <c r="H54" s="99">
        <f t="shared" si="3"/>
        <v>8740</v>
      </c>
      <c r="I54" s="99">
        <f t="shared" si="4"/>
        <v>8740</v>
      </c>
    </row>
    <row r="55" spans="1:9" s="166" customFormat="1" x14ac:dyDescent="0.3">
      <c r="A55" s="23" t="s">
        <v>513</v>
      </c>
      <c r="B55" s="81" t="s">
        <v>514</v>
      </c>
      <c r="C55" s="55" t="s">
        <v>497</v>
      </c>
      <c r="D55" s="96">
        <v>1</v>
      </c>
      <c r="E55" s="126"/>
      <c r="F55" s="167">
        <v>13800</v>
      </c>
      <c r="G55" s="99">
        <f t="shared" si="5"/>
        <v>0</v>
      </c>
      <c r="H55" s="99">
        <f t="shared" si="3"/>
        <v>13800</v>
      </c>
      <c r="I55" s="99">
        <f t="shared" si="4"/>
        <v>13800</v>
      </c>
    </row>
    <row r="56" spans="1:9" s="166" customFormat="1" x14ac:dyDescent="0.3">
      <c r="A56" s="23" t="s">
        <v>515</v>
      </c>
      <c r="B56" s="81" t="s">
        <v>516</v>
      </c>
      <c r="C56" s="55" t="s">
        <v>497</v>
      </c>
      <c r="D56" s="96">
        <v>2</v>
      </c>
      <c r="E56" s="126"/>
      <c r="F56" s="167">
        <v>11800</v>
      </c>
      <c r="G56" s="99">
        <f t="shared" si="5"/>
        <v>0</v>
      </c>
      <c r="H56" s="99">
        <f t="shared" si="3"/>
        <v>23600</v>
      </c>
      <c r="I56" s="99">
        <f t="shared" si="4"/>
        <v>23600</v>
      </c>
    </row>
    <row r="57" spans="1:9" s="166" customFormat="1" x14ac:dyDescent="0.3">
      <c r="A57" s="23" t="s">
        <v>517</v>
      </c>
      <c r="B57" s="81" t="s">
        <v>518</v>
      </c>
      <c r="C57" s="55" t="s">
        <v>497</v>
      </c>
      <c r="D57" s="96">
        <v>1</v>
      </c>
      <c r="E57" s="126"/>
      <c r="F57" s="167">
        <v>11800</v>
      </c>
      <c r="G57" s="99">
        <f t="shared" si="5"/>
        <v>0</v>
      </c>
      <c r="H57" s="99">
        <f t="shared" si="3"/>
        <v>11800</v>
      </c>
      <c r="I57" s="99">
        <f t="shared" si="4"/>
        <v>11800</v>
      </c>
    </row>
    <row r="58" spans="1:9" s="166" customFormat="1" x14ac:dyDescent="0.3">
      <c r="A58" s="23" t="s">
        <v>519</v>
      </c>
      <c r="B58" s="81" t="s">
        <v>520</v>
      </c>
      <c r="C58" s="55" t="s">
        <v>497</v>
      </c>
      <c r="D58" s="96">
        <f>4-2</f>
        <v>2</v>
      </c>
      <c r="E58" s="126"/>
      <c r="F58" s="167">
        <v>11800</v>
      </c>
      <c r="G58" s="99">
        <f t="shared" si="5"/>
        <v>0</v>
      </c>
      <c r="H58" s="99">
        <f t="shared" si="3"/>
        <v>23600</v>
      </c>
      <c r="I58" s="99">
        <f t="shared" si="4"/>
        <v>23600</v>
      </c>
    </row>
    <row r="59" spans="1:9" s="166" customFormat="1" x14ac:dyDescent="0.3">
      <c r="A59" s="23" t="s">
        <v>521</v>
      </c>
      <c r="B59" s="81" t="s">
        <v>522</v>
      </c>
      <c r="C59" s="55" t="s">
        <v>497</v>
      </c>
      <c r="D59" s="96">
        <v>46</v>
      </c>
      <c r="E59" s="115"/>
      <c r="F59" s="169">
        <v>19500</v>
      </c>
      <c r="G59" s="99">
        <f t="shared" si="5"/>
        <v>0</v>
      </c>
      <c r="H59" s="99">
        <f t="shared" si="3"/>
        <v>897000</v>
      </c>
      <c r="I59" s="99">
        <f t="shared" si="4"/>
        <v>897000</v>
      </c>
    </row>
    <row r="60" spans="1:9" s="166" customFormat="1" x14ac:dyDescent="0.3">
      <c r="A60" s="404" t="s">
        <v>523</v>
      </c>
      <c r="B60" s="405" t="s">
        <v>524</v>
      </c>
      <c r="C60" s="406" t="s">
        <v>497</v>
      </c>
      <c r="D60" s="407">
        <f>24-1</f>
        <v>23</v>
      </c>
      <c r="E60" s="411"/>
      <c r="F60" s="412">
        <v>2300</v>
      </c>
      <c r="G60" s="413">
        <f t="shared" si="5"/>
        <v>0</v>
      </c>
      <c r="H60" s="413">
        <f t="shared" si="3"/>
        <v>52900</v>
      </c>
      <c r="I60" s="413">
        <f t="shared" si="4"/>
        <v>52900</v>
      </c>
    </row>
    <row r="61" spans="1:9" s="166" customFormat="1" x14ac:dyDescent="0.3">
      <c r="A61" s="404" t="s">
        <v>525</v>
      </c>
      <c r="B61" s="405" t="s">
        <v>526</v>
      </c>
      <c r="C61" s="406" t="s">
        <v>497</v>
      </c>
      <c r="D61" s="407">
        <v>23</v>
      </c>
      <c r="E61" s="411"/>
      <c r="F61" s="412">
        <v>2000</v>
      </c>
      <c r="G61" s="413">
        <f t="shared" si="5"/>
        <v>0</v>
      </c>
      <c r="H61" s="413">
        <f t="shared" si="3"/>
        <v>46000</v>
      </c>
      <c r="I61" s="413">
        <f t="shared" si="4"/>
        <v>46000</v>
      </c>
    </row>
    <row r="62" spans="1:9" s="166" customFormat="1" x14ac:dyDescent="0.3">
      <c r="A62" s="23" t="s">
        <v>527</v>
      </c>
      <c r="B62" s="81" t="s">
        <v>528</v>
      </c>
      <c r="C62" s="55" t="s">
        <v>497</v>
      </c>
      <c r="D62" s="96">
        <v>187</v>
      </c>
      <c r="E62" s="109"/>
      <c r="F62" s="165">
        <v>11950</v>
      </c>
      <c r="G62" s="99">
        <f t="shared" si="5"/>
        <v>0</v>
      </c>
      <c r="H62" s="99">
        <f t="shared" si="3"/>
        <v>2234650</v>
      </c>
      <c r="I62" s="99">
        <f t="shared" si="4"/>
        <v>2234650</v>
      </c>
    </row>
    <row r="63" spans="1:9" s="166" customFormat="1" x14ac:dyDescent="0.3">
      <c r="A63" s="23" t="s">
        <v>529</v>
      </c>
      <c r="B63" s="81" t="s">
        <v>530</v>
      </c>
      <c r="C63" s="55" t="s">
        <v>497</v>
      </c>
      <c r="D63" s="96">
        <v>90</v>
      </c>
      <c r="E63" s="109"/>
      <c r="F63" s="165">
        <v>11950</v>
      </c>
      <c r="G63" s="99">
        <f t="shared" si="5"/>
        <v>0</v>
      </c>
      <c r="H63" s="99">
        <f t="shared" si="3"/>
        <v>1075500</v>
      </c>
      <c r="I63" s="99">
        <f t="shared" si="4"/>
        <v>1075500</v>
      </c>
    </row>
    <row r="64" spans="1:9" s="166" customFormat="1" x14ac:dyDescent="0.3">
      <c r="A64" s="404" t="s">
        <v>531</v>
      </c>
      <c r="B64" s="405" t="s">
        <v>532</v>
      </c>
      <c r="C64" s="406" t="s">
        <v>497</v>
      </c>
      <c r="D64" s="407">
        <v>7</v>
      </c>
      <c r="E64" s="411"/>
      <c r="F64" s="412">
        <v>1500</v>
      </c>
      <c r="G64" s="413">
        <f t="shared" si="5"/>
        <v>0</v>
      </c>
      <c r="H64" s="413">
        <f t="shared" si="3"/>
        <v>10500</v>
      </c>
      <c r="I64" s="413">
        <f t="shared" si="4"/>
        <v>10500</v>
      </c>
    </row>
    <row r="65" spans="1:9" s="166" customFormat="1" x14ac:dyDescent="0.3">
      <c r="A65" s="23" t="s">
        <v>533</v>
      </c>
      <c r="B65" s="81" t="s">
        <v>534</v>
      </c>
      <c r="C65" s="55" t="s">
        <v>497</v>
      </c>
      <c r="D65" s="96">
        <v>1</v>
      </c>
      <c r="E65" s="109"/>
      <c r="F65" s="165">
        <v>11800</v>
      </c>
      <c r="G65" s="99">
        <f t="shared" si="5"/>
        <v>0</v>
      </c>
      <c r="H65" s="99">
        <f t="shared" si="3"/>
        <v>11800</v>
      </c>
      <c r="I65" s="99">
        <f t="shared" si="4"/>
        <v>11800</v>
      </c>
    </row>
    <row r="66" spans="1:9" s="166" customFormat="1" x14ac:dyDescent="0.3">
      <c r="A66" s="23" t="s">
        <v>535</v>
      </c>
      <c r="B66" s="81" t="s">
        <v>536</v>
      </c>
      <c r="C66" s="55" t="s">
        <v>497</v>
      </c>
      <c r="D66" s="96">
        <v>1</v>
      </c>
      <c r="E66" s="109"/>
      <c r="F66" s="165">
        <v>11000</v>
      </c>
      <c r="G66" s="99">
        <f t="shared" si="5"/>
        <v>0</v>
      </c>
      <c r="H66" s="99">
        <f t="shared" si="3"/>
        <v>11000</v>
      </c>
      <c r="I66" s="99">
        <f t="shared" si="4"/>
        <v>11000</v>
      </c>
    </row>
    <row r="67" spans="1:9" s="166" customFormat="1" x14ac:dyDescent="0.3">
      <c r="A67" s="23" t="s">
        <v>537</v>
      </c>
      <c r="B67" s="81" t="s">
        <v>538</v>
      </c>
      <c r="C67" s="55" t="s">
        <v>497</v>
      </c>
      <c r="D67" s="96">
        <v>2</v>
      </c>
      <c r="E67" s="109"/>
      <c r="F67" s="165">
        <v>50570</v>
      </c>
      <c r="G67" s="99">
        <f t="shared" si="5"/>
        <v>0</v>
      </c>
      <c r="H67" s="99">
        <f t="shared" si="3"/>
        <v>101140</v>
      </c>
      <c r="I67" s="99">
        <f t="shared" si="4"/>
        <v>101140</v>
      </c>
    </row>
    <row r="68" spans="1:9" x14ac:dyDescent="0.3">
      <c r="A68" s="23" t="s">
        <v>539</v>
      </c>
      <c r="B68" s="81" t="s">
        <v>538</v>
      </c>
      <c r="C68" s="55" t="s">
        <v>497</v>
      </c>
      <c r="D68" s="96">
        <v>5</v>
      </c>
      <c r="E68" s="109"/>
      <c r="F68" s="165">
        <v>50570</v>
      </c>
      <c r="G68" s="99">
        <f t="shared" si="5"/>
        <v>0</v>
      </c>
      <c r="H68" s="99">
        <f t="shared" si="3"/>
        <v>252850</v>
      </c>
      <c r="I68" s="99">
        <f t="shared" si="4"/>
        <v>252850</v>
      </c>
    </row>
    <row r="69" spans="1:9" x14ac:dyDescent="0.3">
      <c r="A69" s="23" t="s">
        <v>540</v>
      </c>
      <c r="B69" s="81" t="s">
        <v>541</v>
      </c>
      <c r="C69" s="55" t="s">
        <v>497</v>
      </c>
      <c r="D69" s="96">
        <v>1</v>
      </c>
      <c r="E69" s="109"/>
      <c r="F69" s="165">
        <v>11800</v>
      </c>
      <c r="G69" s="99">
        <f t="shared" si="5"/>
        <v>0</v>
      </c>
      <c r="H69" s="99">
        <f t="shared" si="3"/>
        <v>11800</v>
      </c>
      <c r="I69" s="99">
        <f t="shared" si="4"/>
        <v>11800</v>
      </c>
    </row>
    <row r="70" spans="1:9" x14ac:dyDescent="0.3">
      <c r="A70" s="23" t="s">
        <v>542</v>
      </c>
      <c r="B70" s="81" t="s">
        <v>543</v>
      </c>
      <c r="C70" s="55" t="s">
        <v>497</v>
      </c>
      <c r="D70" s="96">
        <v>1</v>
      </c>
      <c r="E70" s="109"/>
      <c r="F70" s="165">
        <v>11800</v>
      </c>
      <c r="G70" s="99">
        <f t="shared" si="5"/>
        <v>0</v>
      </c>
      <c r="H70" s="99">
        <f t="shared" si="3"/>
        <v>11800</v>
      </c>
      <c r="I70" s="99">
        <f t="shared" si="4"/>
        <v>11800</v>
      </c>
    </row>
    <row r="71" spans="1:9" x14ac:dyDescent="0.3">
      <c r="A71" s="23" t="s">
        <v>544</v>
      </c>
      <c r="B71" s="81" t="s">
        <v>545</v>
      </c>
      <c r="C71" s="55" t="s">
        <v>497</v>
      </c>
      <c r="D71" s="96">
        <v>2</v>
      </c>
      <c r="E71" s="109"/>
      <c r="F71" s="165">
        <v>11800</v>
      </c>
      <c r="G71" s="99"/>
      <c r="H71" s="99">
        <f t="shared" si="3"/>
        <v>23600</v>
      </c>
      <c r="I71" s="99"/>
    </row>
    <row r="72" spans="1:9" x14ac:dyDescent="0.3">
      <c r="A72" s="23" t="s">
        <v>544</v>
      </c>
      <c r="B72" s="45" t="s">
        <v>546</v>
      </c>
      <c r="C72" s="55" t="s">
        <v>44</v>
      </c>
      <c r="D72" s="96">
        <f>1+1+23+23+1+1+4+2+2+23</f>
        <v>81</v>
      </c>
      <c r="E72" s="115">
        <v>100</v>
      </c>
      <c r="F72" s="169">
        <v>1200</v>
      </c>
      <c r="G72" s="99">
        <f>D72*E72</f>
        <v>8100</v>
      </c>
      <c r="H72" s="99">
        <f>D72*F72</f>
        <v>97200</v>
      </c>
      <c r="I72" s="99">
        <f>G72+H72</f>
        <v>105300</v>
      </c>
    </row>
    <row r="73" spans="1:9" x14ac:dyDescent="0.3">
      <c r="A73" s="17" t="s">
        <v>296</v>
      </c>
      <c r="B73" s="18" t="s">
        <v>553</v>
      </c>
      <c r="C73" s="101"/>
      <c r="D73" s="113"/>
      <c r="E73" s="114"/>
      <c r="F73" s="114"/>
      <c r="G73" s="91"/>
      <c r="H73" s="91"/>
      <c r="I73" s="91"/>
    </row>
    <row r="75" spans="1:9" x14ac:dyDescent="0.3">
      <c r="A75" s="343"/>
      <c r="B75" s="344"/>
      <c r="C75" s="345"/>
      <c r="D75" s="346"/>
      <c r="E75" s="347"/>
      <c r="F75" s="347"/>
      <c r="G75" s="348"/>
      <c r="H75" s="348"/>
      <c r="I75" s="348"/>
    </row>
    <row r="76" spans="1:9" x14ac:dyDescent="0.3">
      <c r="A76" s="343"/>
      <c r="B76" s="344"/>
      <c r="C76" s="345"/>
      <c r="D76" s="346"/>
      <c r="E76" s="347"/>
      <c r="F76" s="347"/>
      <c r="G76" s="348"/>
      <c r="H76" s="348"/>
      <c r="I76" s="348"/>
    </row>
    <row r="77" spans="1:9" x14ac:dyDescent="0.3">
      <c r="A77" s="39" t="s">
        <v>168</v>
      </c>
      <c r="B77" s="45" t="s">
        <v>554</v>
      </c>
      <c r="C77" s="30" t="s">
        <v>44</v>
      </c>
      <c r="D77" s="96">
        <v>26</v>
      </c>
      <c r="E77" s="109">
        <v>100</v>
      </c>
      <c r="F77" s="109">
        <v>7480</v>
      </c>
      <c r="G77" s="99">
        <f>D77*E77</f>
        <v>2600</v>
      </c>
      <c r="H77" s="99">
        <f>D77*F77</f>
        <v>194480</v>
      </c>
      <c r="I77" s="99">
        <f>G77+H77</f>
        <v>197080</v>
      </c>
    </row>
    <row r="79" spans="1:9" x14ac:dyDescent="0.3">
      <c r="A79" s="173" t="s">
        <v>736</v>
      </c>
      <c r="B79" s="18" t="s">
        <v>737</v>
      </c>
      <c r="C79" s="171"/>
      <c r="D79" s="171"/>
      <c r="E79" s="174"/>
      <c r="F79" s="40"/>
      <c r="G79" s="91"/>
      <c r="H79" s="91"/>
      <c r="I79" s="91"/>
    </row>
    <row r="80" spans="1:9" x14ac:dyDescent="0.3">
      <c r="A80" s="39" t="s">
        <v>738</v>
      </c>
      <c r="B80" s="175" t="s">
        <v>1155</v>
      </c>
      <c r="C80" s="176" t="s">
        <v>44</v>
      </c>
      <c r="D80" s="92">
        <v>246</v>
      </c>
      <c r="E80" s="76">
        <v>290</v>
      </c>
      <c r="F80" s="44"/>
      <c r="G80" s="95">
        <f>D80*E80</f>
        <v>71340</v>
      </c>
      <c r="H80" s="95">
        <f t="shared" ref="H80:H83" si="6">D80*F80</f>
        <v>0</v>
      </c>
      <c r="I80" s="95">
        <f t="shared" ref="I80:I83" si="7">G80+H80</f>
        <v>71340</v>
      </c>
    </row>
    <row r="81" spans="1:9" x14ac:dyDescent="0.3">
      <c r="A81" s="23" t="s">
        <v>742</v>
      </c>
      <c r="B81" s="178" t="s">
        <v>739</v>
      </c>
      <c r="C81" s="25" t="s">
        <v>62</v>
      </c>
      <c r="D81" s="30">
        <f>1.61*2*123/1000</f>
        <v>0.39606000000000002</v>
      </c>
      <c r="E81" s="71"/>
      <c r="F81" s="342">
        <v>106477.049</v>
      </c>
      <c r="G81" s="99"/>
      <c r="H81" s="99">
        <f t="shared" si="6"/>
        <v>42171.30002694</v>
      </c>
      <c r="I81" s="99">
        <f t="shared" si="7"/>
        <v>42171.30002694</v>
      </c>
    </row>
    <row r="82" spans="1:9" x14ac:dyDescent="0.3">
      <c r="A82" s="23" t="s">
        <v>1152</v>
      </c>
      <c r="B82" s="178" t="s">
        <v>740</v>
      </c>
      <c r="C82" s="25" t="s">
        <v>62</v>
      </c>
      <c r="D82" s="30">
        <f>2.81*2*123/1000</f>
        <v>0.69125999999999999</v>
      </c>
      <c r="E82" s="71"/>
      <c r="F82" s="342">
        <v>106477.049</v>
      </c>
      <c r="G82" s="99"/>
      <c r="H82" s="99">
        <f t="shared" si="6"/>
        <v>73603.324891739991</v>
      </c>
      <c r="I82" s="99">
        <f t="shared" si="7"/>
        <v>73603.324891739991</v>
      </c>
    </row>
    <row r="83" spans="1:9" x14ac:dyDescent="0.3">
      <c r="A83" s="23" t="s">
        <v>1153</v>
      </c>
      <c r="B83" s="178" t="s">
        <v>741</v>
      </c>
      <c r="C83" s="25" t="s">
        <v>62</v>
      </c>
      <c r="D83" s="30">
        <f>0.38*2*123/1000</f>
        <v>9.3480000000000008E-2</v>
      </c>
      <c r="E83" s="71"/>
      <c r="F83" s="342">
        <v>106477.049</v>
      </c>
      <c r="G83" s="99"/>
      <c r="H83" s="99">
        <f t="shared" si="6"/>
        <v>9953.474540520001</v>
      </c>
      <c r="I83" s="99">
        <f t="shared" si="7"/>
        <v>9953.474540520001</v>
      </c>
    </row>
    <row r="84" spans="1:9" x14ac:dyDescent="0.3">
      <c r="A84" s="23" t="s">
        <v>1154</v>
      </c>
      <c r="B84" s="178" t="s">
        <v>749</v>
      </c>
      <c r="C84" s="25" t="s">
        <v>44</v>
      </c>
      <c r="D84" s="96">
        <f>8*123</f>
        <v>984</v>
      </c>
      <c r="E84" s="71"/>
      <c r="F84" s="28">
        <v>11.9</v>
      </c>
      <c r="G84" s="99"/>
      <c r="H84" s="99">
        <f>D84*F84</f>
        <v>11709.6</v>
      </c>
      <c r="I84" s="99">
        <f>G84+H84</f>
        <v>11709.6</v>
      </c>
    </row>
    <row r="85" spans="1:9" x14ac:dyDescent="0.3">
      <c r="A85" s="39" t="s">
        <v>750</v>
      </c>
      <c r="B85" s="175" t="s">
        <v>1139</v>
      </c>
      <c r="C85" s="176" t="s">
        <v>44</v>
      </c>
      <c r="D85" s="92">
        <f>8+9+9*22</f>
        <v>215</v>
      </c>
      <c r="E85" s="76">
        <v>500</v>
      </c>
      <c r="F85" s="44"/>
      <c r="G85" s="95"/>
      <c r="H85" s="95">
        <f>D85*E85</f>
        <v>107500</v>
      </c>
      <c r="I85" s="95">
        <f t="shared" ref="I85" si="8">G85+H85</f>
        <v>107500</v>
      </c>
    </row>
    <row r="86" spans="1:9" x14ac:dyDescent="0.3">
      <c r="A86" s="23" t="s">
        <v>1149</v>
      </c>
      <c r="B86" s="178" t="s">
        <v>748</v>
      </c>
      <c r="C86" s="25" t="s">
        <v>44</v>
      </c>
      <c r="D86" s="96">
        <f>8*215</f>
        <v>1720</v>
      </c>
      <c r="E86" s="71"/>
      <c r="F86" s="28">
        <v>11.327999999999999</v>
      </c>
      <c r="G86" s="99"/>
      <c r="H86" s="99">
        <f>D86*F86</f>
        <v>19484.16</v>
      </c>
      <c r="I86" s="99">
        <f>G86+H86</f>
        <v>19484.16</v>
      </c>
    </row>
    <row r="87" spans="1:9" x14ac:dyDescent="0.3">
      <c r="A87" s="39" t="s">
        <v>1142</v>
      </c>
      <c r="B87" s="175" t="s">
        <v>1141</v>
      </c>
      <c r="C87" s="176" t="s">
        <v>44</v>
      </c>
      <c r="D87" s="92">
        <f>215</f>
        <v>215</v>
      </c>
      <c r="E87" s="76">
        <f>SUM(-F87,3000)</f>
        <v>1506.9607790697676</v>
      </c>
      <c r="F87" s="44">
        <f>PRODUCT(H87,1/D87)</f>
        <v>1493.0392209302324</v>
      </c>
      <c r="G87" s="95">
        <f>PRODUCT(D87:E87)</f>
        <v>323996.5675</v>
      </c>
      <c r="H87" s="95">
        <f>SUM(H88:H93)</f>
        <v>321003.4325</v>
      </c>
      <c r="I87" s="95">
        <f>SUM(G87:H87)</f>
        <v>645000</v>
      </c>
    </row>
    <row r="88" spans="1:9" x14ac:dyDescent="0.3">
      <c r="A88" s="23" t="s">
        <v>1143</v>
      </c>
      <c r="B88" s="178" t="s">
        <v>743</v>
      </c>
      <c r="C88" s="25" t="s">
        <v>62</v>
      </c>
      <c r="D88" s="30">
        <f>1.82*215/1000</f>
        <v>0.39130000000000004</v>
      </c>
      <c r="E88" s="71"/>
      <c r="F88" s="28">
        <v>50575</v>
      </c>
      <c r="G88" s="99"/>
      <c r="H88" s="99">
        <f t="shared" ref="H88:H93" si="9">D88*F88</f>
        <v>19789.997500000001</v>
      </c>
      <c r="I88" s="99">
        <f t="shared" ref="I88:I98" si="10">G88+H88</f>
        <v>19789.997500000001</v>
      </c>
    </row>
    <row r="89" spans="1:9" x14ac:dyDescent="0.3">
      <c r="A89" s="23" t="s">
        <v>1144</v>
      </c>
      <c r="B89" s="178" t="s">
        <v>290</v>
      </c>
      <c r="C89" s="25" t="s">
        <v>62</v>
      </c>
      <c r="D89" s="30">
        <f>5.92*215/1000</f>
        <v>1.2727999999999999</v>
      </c>
      <c r="E89" s="71"/>
      <c r="F89" s="28">
        <v>46200</v>
      </c>
      <c r="G89" s="99"/>
      <c r="H89" s="99">
        <f t="shared" si="9"/>
        <v>58803.359999999993</v>
      </c>
      <c r="I89" s="99">
        <f t="shared" si="10"/>
        <v>58803.359999999993</v>
      </c>
    </row>
    <row r="90" spans="1:9" x14ac:dyDescent="0.3">
      <c r="A90" s="23" t="s">
        <v>1145</v>
      </c>
      <c r="B90" s="178" t="s">
        <v>744</v>
      </c>
      <c r="C90" s="25" t="s">
        <v>62</v>
      </c>
      <c r="D90" s="30">
        <f>(1.73+1.73)*215/1000</f>
        <v>0.74390000000000001</v>
      </c>
      <c r="E90" s="71"/>
      <c r="F90" s="28">
        <v>43200</v>
      </c>
      <c r="G90" s="99"/>
      <c r="H90" s="99">
        <f t="shared" si="9"/>
        <v>32136.48</v>
      </c>
      <c r="I90" s="99">
        <f t="shared" si="10"/>
        <v>32136.48</v>
      </c>
    </row>
    <row r="91" spans="1:9" x14ac:dyDescent="0.3">
      <c r="A91" s="23" t="s">
        <v>1146</v>
      </c>
      <c r="B91" s="178" t="s">
        <v>745</v>
      </c>
      <c r="C91" s="25" t="s">
        <v>62</v>
      </c>
      <c r="D91" s="30">
        <f>(1.9+1.9+1.14+1.38+3.99)*215/1000</f>
        <v>2.2166499999999996</v>
      </c>
      <c r="E91" s="71"/>
      <c r="F91" s="28">
        <v>47500</v>
      </c>
      <c r="G91" s="99"/>
      <c r="H91" s="99">
        <f t="shared" si="9"/>
        <v>105290.87499999999</v>
      </c>
      <c r="I91" s="99">
        <f t="shared" si="10"/>
        <v>105290.87499999999</v>
      </c>
    </row>
    <row r="92" spans="1:9" x14ac:dyDescent="0.3">
      <c r="A92" s="23" t="s">
        <v>1147</v>
      </c>
      <c r="B92" s="178" t="s">
        <v>746</v>
      </c>
      <c r="C92" s="25" t="s">
        <v>74</v>
      </c>
      <c r="D92" s="30">
        <f>1.6*7.85</f>
        <v>12.56</v>
      </c>
      <c r="E92" s="71"/>
      <c r="F92" s="28">
        <v>5962</v>
      </c>
      <c r="G92" s="99"/>
      <c r="H92" s="99">
        <f t="shared" si="9"/>
        <v>74882.720000000001</v>
      </c>
      <c r="I92" s="99">
        <f t="shared" si="10"/>
        <v>74882.720000000001</v>
      </c>
    </row>
    <row r="93" spans="1:9" x14ac:dyDescent="0.3">
      <c r="A93" s="23" t="s">
        <v>1148</v>
      </c>
      <c r="B93" s="178" t="s">
        <v>747</v>
      </c>
      <c r="C93" s="25" t="s">
        <v>44</v>
      </c>
      <c r="D93" s="96">
        <f>2*215</f>
        <v>430</v>
      </c>
      <c r="E93" s="71"/>
      <c r="F93" s="28">
        <v>70</v>
      </c>
      <c r="G93" s="99"/>
      <c r="H93" s="99">
        <f t="shared" si="9"/>
        <v>30100</v>
      </c>
      <c r="I93" s="99">
        <f t="shared" si="10"/>
        <v>30100</v>
      </c>
    </row>
    <row r="94" spans="1:9" x14ac:dyDescent="0.3">
      <c r="A94" s="39" t="s">
        <v>750</v>
      </c>
      <c r="B94" s="175" t="s">
        <v>752</v>
      </c>
      <c r="C94" s="176" t="s">
        <v>44</v>
      </c>
      <c r="D94" s="92">
        <f>2*D85</f>
        <v>430</v>
      </c>
      <c r="E94" s="76">
        <v>290</v>
      </c>
      <c r="F94" s="44"/>
      <c r="G94" s="95">
        <f>D94*E94</f>
        <v>124700</v>
      </c>
      <c r="H94" s="95">
        <f>SUM(H95:H98)</f>
        <v>309372.17705170001</v>
      </c>
      <c r="I94" s="95">
        <f t="shared" si="10"/>
        <v>434072.17705170001</v>
      </c>
    </row>
    <row r="95" spans="1:9" x14ac:dyDescent="0.3">
      <c r="A95" s="23" t="s">
        <v>751</v>
      </c>
      <c r="B95" s="178" t="s">
        <v>739</v>
      </c>
      <c r="C95" s="25" t="s">
        <v>62</v>
      </c>
      <c r="D95" s="30">
        <f>1.61*2*215/1000</f>
        <v>0.69230000000000003</v>
      </c>
      <c r="E95" s="71"/>
      <c r="F95" s="342">
        <v>106477.049</v>
      </c>
      <c r="G95" s="99"/>
      <c r="H95" s="99">
        <f>D95*F95</f>
        <v>73714.0610227</v>
      </c>
      <c r="I95" s="99">
        <f t="shared" si="10"/>
        <v>73714.0610227</v>
      </c>
    </row>
    <row r="96" spans="1:9" x14ac:dyDescent="0.3">
      <c r="A96" s="23" t="s">
        <v>754</v>
      </c>
      <c r="B96" s="178" t="s">
        <v>753</v>
      </c>
      <c r="C96" s="25" t="s">
        <v>62</v>
      </c>
      <c r="D96" s="30">
        <f>4.32*2*215/1000</f>
        <v>1.8576000000000001</v>
      </c>
      <c r="E96" s="71"/>
      <c r="F96" s="342">
        <v>106477.049</v>
      </c>
      <c r="G96" s="99"/>
      <c r="H96" s="99">
        <f>D96*F96</f>
        <v>197791.76622240001</v>
      </c>
      <c r="I96" s="99">
        <f t="shared" si="10"/>
        <v>197791.76622240001</v>
      </c>
    </row>
    <row r="97" spans="1:9" x14ac:dyDescent="0.3">
      <c r="A97" s="23" t="s">
        <v>1150</v>
      </c>
      <c r="B97" s="178" t="s">
        <v>741</v>
      </c>
      <c r="C97" s="25" t="s">
        <v>62</v>
      </c>
      <c r="D97" s="30">
        <f>0.38*2*215/1000</f>
        <v>0.16340000000000002</v>
      </c>
      <c r="E97" s="71"/>
      <c r="F97" s="342">
        <v>106477.049</v>
      </c>
      <c r="G97" s="99"/>
      <c r="H97" s="99">
        <f>D97*F97</f>
        <v>17398.349806600003</v>
      </c>
      <c r="I97" s="99">
        <f t="shared" si="10"/>
        <v>17398.349806600003</v>
      </c>
    </row>
    <row r="98" spans="1:9" x14ac:dyDescent="0.3">
      <c r="A98" s="23" t="s">
        <v>1151</v>
      </c>
      <c r="B98" s="178" t="s">
        <v>749</v>
      </c>
      <c r="C98" s="25" t="s">
        <v>44</v>
      </c>
      <c r="D98" s="96">
        <f>8*215</f>
        <v>1720</v>
      </c>
      <c r="E98" s="71"/>
      <c r="F98" s="28">
        <v>11.9</v>
      </c>
      <c r="G98" s="99"/>
      <c r="H98" s="99">
        <f>D98*F98</f>
        <v>20468</v>
      </c>
      <c r="I98" s="99">
        <f t="shared" si="10"/>
        <v>20468</v>
      </c>
    </row>
    <row r="100" spans="1:9" ht="15.65" x14ac:dyDescent="0.3">
      <c r="A100" s="17" t="s">
        <v>122</v>
      </c>
      <c r="B100" s="239" t="s">
        <v>547</v>
      </c>
      <c r="C100" s="171" t="s">
        <v>74</v>
      </c>
      <c r="D100" s="171">
        <f>2.8*1.37+2.8*2.8*24+5.48*76.33+5.77*76.33+1.58*74.15+0.93*74.15+1.83*74.15</f>
        <v>1372.5194999999999</v>
      </c>
      <c r="E100" s="240">
        <v>200</v>
      </c>
      <c r="F100" s="241"/>
      <c r="G100" s="91">
        <f>D100*E100</f>
        <v>274503.89999999997</v>
      </c>
      <c r="H100" s="91">
        <f>D100*F100</f>
        <v>0</v>
      </c>
      <c r="I100" s="91">
        <f>G100+H100</f>
        <v>274503.89999999997</v>
      </c>
    </row>
    <row r="101" spans="1:9" ht="28.8" x14ac:dyDescent="0.3">
      <c r="A101" s="173" t="s">
        <v>124</v>
      </c>
      <c r="B101" s="242" t="s">
        <v>548</v>
      </c>
      <c r="C101" s="243" t="s">
        <v>34</v>
      </c>
      <c r="D101" s="243">
        <f>(2.8*1.37+2.8*2.8*24+5.48*76.33+5.77*76.33)*0.1*1.3</f>
        <v>136.592105</v>
      </c>
      <c r="E101" s="244"/>
      <c r="F101" s="245">
        <v>3892.35</v>
      </c>
      <c r="G101" s="91">
        <f>D101*E101</f>
        <v>0</v>
      </c>
      <c r="H101" s="91">
        <f>D101*F101</f>
        <v>531664.27989675</v>
      </c>
      <c r="I101" s="91">
        <f>G101+H101</f>
        <v>531664.27989675</v>
      </c>
    </row>
    <row r="102" spans="1:9" ht="28.8" x14ac:dyDescent="0.3">
      <c r="A102" s="173" t="s">
        <v>125</v>
      </c>
      <c r="B102" s="242" t="s">
        <v>549</v>
      </c>
      <c r="C102" s="243" t="s">
        <v>34</v>
      </c>
      <c r="D102" s="243">
        <f>1.58*74.15*0.14*1.3</f>
        <v>21.322574000000003</v>
      </c>
      <c r="E102" s="244"/>
      <c r="F102" s="245">
        <v>3892.35</v>
      </c>
      <c r="G102" s="91">
        <f>D102*E102</f>
        <v>0</v>
      </c>
      <c r="H102" s="91">
        <f>D102*F102</f>
        <v>82994.920908900007</v>
      </c>
      <c r="I102" s="91">
        <f>G102+H102</f>
        <v>82994.920908900007</v>
      </c>
    </row>
    <row r="103" spans="1:9" ht="28.8" x14ac:dyDescent="0.3">
      <c r="A103" s="173" t="s">
        <v>130</v>
      </c>
      <c r="B103" s="242" t="s">
        <v>550</v>
      </c>
      <c r="C103" s="243" t="s">
        <v>34</v>
      </c>
      <c r="D103" s="243">
        <f>(0.93*74.15+1.83*74.15)*0.07*1.3</f>
        <v>18.623514000000004</v>
      </c>
      <c r="E103" s="244"/>
      <c r="F103" s="245">
        <v>3892.35</v>
      </c>
      <c r="G103" s="91">
        <f>D103*E103</f>
        <v>0</v>
      </c>
      <c r="H103" s="91">
        <f>D103*F103</f>
        <v>72489.234717900006</v>
      </c>
      <c r="I103" s="91">
        <f>G103+H103</f>
        <v>72489.234717900006</v>
      </c>
    </row>
    <row r="104" spans="1:9" x14ac:dyDescent="0.3">
      <c r="A104" s="173" t="s">
        <v>551</v>
      </c>
      <c r="B104" s="246" t="s">
        <v>106</v>
      </c>
      <c r="C104" s="171" t="s">
        <v>79</v>
      </c>
      <c r="D104" s="171">
        <f>D100*0.08</f>
        <v>109.80155999999999</v>
      </c>
      <c r="E104" s="244"/>
      <c r="F104" s="245">
        <v>305</v>
      </c>
      <c r="G104" s="91">
        <f>D104*E104</f>
        <v>0</v>
      </c>
      <c r="H104" s="91">
        <f>D104*F104</f>
        <v>33489.4758</v>
      </c>
      <c r="I104" s="91">
        <f>G104+H104</f>
        <v>33489.4758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90" zoomScaleNormal="90" workbookViewId="0">
      <selection activeCell="E38" sqref="E38"/>
    </sheetView>
  </sheetViews>
  <sheetFormatPr defaultColWidth="127.44140625" defaultRowHeight="15.05" x14ac:dyDescent="0.3"/>
  <cols>
    <col min="1" max="1" width="6.88671875" bestFit="1" customWidth="1"/>
    <col min="2" max="2" width="69.5546875" bestFit="1" customWidth="1"/>
    <col min="3" max="3" width="8.88671875" bestFit="1" customWidth="1"/>
    <col min="4" max="4" width="7.5546875" bestFit="1" customWidth="1"/>
    <col min="5" max="5" width="11.109375" bestFit="1" customWidth="1"/>
    <col min="6" max="7" width="12.109375" bestFit="1" customWidth="1"/>
    <col min="8" max="9" width="14.88671875" bestFit="1" customWidth="1"/>
    <col min="10" max="10" width="13.33203125" customWidth="1"/>
  </cols>
  <sheetData>
    <row r="1" spans="1:9" x14ac:dyDescent="0.3">
      <c r="A1" s="1462" t="s">
        <v>22</v>
      </c>
      <c r="B1" s="1422" t="s">
        <v>1</v>
      </c>
      <c r="C1" s="1463" t="s">
        <v>23</v>
      </c>
      <c r="D1" s="1464" t="s">
        <v>24</v>
      </c>
      <c r="E1" s="1465" t="s">
        <v>25</v>
      </c>
      <c r="F1" s="1465"/>
      <c r="G1" s="1466" t="s">
        <v>26</v>
      </c>
      <c r="H1" s="1466"/>
      <c r="I1" s="1460" t="s">
        <v>27</v>
      </c>
    </row>
    <row r="2" spans="1:9" x14ac:dyDescent="0.3">
      <c r="A2" s="1462"/>
      <c r="B2" s="1422"/>
      <c r="C2" s="1463"/>
      <c r="D2" s="1464"/>
      <c r="E2" s="606" t="s">
        <v>28</v>
      </c>
      <c r="F2" s="607" t="s">
        <v>29</v>
      </c>
      <c r="G2" s="608" t="s">
        <v>28</v>
      </c>
      <c r="H2" s="608" t="s">
        <v>30</v>
      </c>
      <c r="I2" s="1461"/>
    </row>
    <row r="3" spans="1:9" ht="15.85" customHeight="1" x14ac:dyDescent="0.3">
      <c r="A3" s="599" t="s">
        <v>860</v>
      </c>
      <c r="B3" s="324" t="s">
        <v>9</v>
      </c>
      <c r="C3" s="600"/>
      <c r="D3" s="601"/>
      <c r="E3" s="602"/>
      <c r="F3" s="114"/>
      <c r="G3" s="603"/>
      <c r="H3" s="603"/>
      <c r="I3" s="603">
        <f>SUM(I4:I30)</f>
        <v>3285362.932</v>
      </c>
    </row>
    <row r="4" spans="1:9" x14ac:dyDescent="0.3">
      <c r="A4" s="689" t="s">
        <v>1741</v>
      </c>
      <c r="B4" s="692" t="s">
        <v>496</v>
      </c>
      <c r="C4" s="690" t="s">
        <v>497</v>
      </c>
      <c r="D4" s="691">
        <v>1</v>
      </c>
      <c r="E4" s="697">
        <v>0</v>
      </c>
      <c r="F4" s="693">
        <v>0</v>
      </c>
      <c r="G4" s="693">
        <v>0</v>
      </c>
      <c r="H4" s="693">
        <v>0</v>
      </c>
      <c r="I4" s="693">
        <v>0</v>
      </c>
    </row>
    <row r="5" spans="1:9" x14ac:dyDescent="0.3">
      <c r="A5" s="689" t="s">
        <v>1742</v>
      </c>
      <c r="B5" s="692" t="s">
        <v>498</v>
      </c>
      <c r="C5" s="690" t="s">
        <v>497</v>
      </c>
      <c r="D5" s="691">
        <v>1</v>
      </c>
      <c r="E5" s="697">
        <v>0</v>
      </c>
      <c r="F5" s="693">
        <v>0</v>
      </c>
      <c r="G5" s="693">
        <v>0</v>
      </c>
      <c r="H5" s="693">
        <v>0</v>
      </c>
      <c r="I5" s="693">
        <v>0</v>
      </c>
    </row>
    <row r="6" spans="1:9" x14ac:dyDescent="0.3">
      <c r="A6" s="689" t="s">
        <v>1743</v>
      </c>
      <c r="B6" s="692" t="s">
        <v>499</v>
      </c>
      <c r="C6" s="690" t="s">
        <v>497</v>
      </c>
      <c r="D6" s="691">
        <v>2</v>
      </c>
      <c r="E6" s="697">
        <v>0</v>
      </c>
      <c r="F6" s="693">
        <v>0</v>
      </c>
      <c r="G6" s="693">
        <v>0</v>
      </c>
      <c r="H6" s="693">
        <v>0</v>
      </c>
      <c r="I6" s="693">
        <v>0</v>
      </c>
    </row>
    <row r="7" spans="1:9" x14ac:dyDescent="0.3">
      <c r="A7" s="689" t="s">
        <v>1744</v>
      </c>
      <c r="B7" s="692" t="s">
        <v>501</v>
      </c>
      <c r="C7" s="690" t="s">
        <v>497</v>
      </c>
      <c r="D7" s="691">
        <v>2</v>
      </c>
      <c r="E7" s="697">
        <v>0</v>
      </c>
      <c r="F7" s="695">
        <v>0</v>
      </c>
      <c r="G7" s="693">
        <v>0</v>
      </c>
      <c r="H7" s="693">
        <v>0</v>
      </c>
      <c r="I7" s="693">
        <v>0</v>
      </c>
    </row>
    <row r="8" spans="1:9" x14ac:dyDescent="0.3">
      <c r="A8" s="689" t="s">
        <v>1745</v>
      </c>
      <c r="B8" s="692" t="s">
        <v>1769</v>
      </c>
      <c r="C8" s="690" t="s">
        <v>497</v>
      </c>
      <c r="D8" s="691">
        <v>1</v>
      </c>
      <c r="E8" s="696">
        <v>2300</v>
      </c>
      <c r="F8" s="695">
        <v>13600</v>
      </c>
      <c r="G8" s="693">
        <v>2300</v>
      </c>
      <c r="H8" s="693">
        <v>13600</v>
      </c>
      <c r="I8" s="693">
        <v>15900</v>
      </c>
    </row>
    <row r="9" spans="1:9" x14ac:dyDescent="0.3">
      <c r="A9" s="703" t="s">
        <v>1746</v>
      </c>
      <c r="B9" s="692" t="s">
        <v>1770</v>
      </c>
      <c r="C9" s="690" t="s">
        <v>497</v>
      </c>
      <c r="D9" s="691">
        <v>1</v>
      </c>
      <c r="E9" s="696">
        <v>3766.5</v>
      </c>
      <c r="F9" s="699">
        <v>29220</v>
      </c>
      <c r="G9" s="693">
        <v>3766.5</v>
      </c>
      <c r="H9" s="693">
        <v>29220</v>
      </c>
      <c r="I9" s="693">
        <v>32986.5</v>
      </c>
    </row>
    <row r="10" spans="1:9" ht="28.8" x14ac:dyDescent="0.3">
      <c r="A10" s="703" t="s">
        <v>1747</v>
      </c>
      <c r="B10" s="692" t="s">
        <v>1771</v>
      </c>
      <c r="C10" s="690" t="s">
        <v>497</v>
      </c>
      <c r="D10" s="691">
        <v>23</v>
      </c>
      <c r="E10" s="696">
        <v>750</v>
      </c>
      <c r="F10" s="699">
        <v>9837</v>
      </c>
      <c r="G10" s="693">
        <v>17250</v>
      </c>
      <c r="H10" s="693">
        <v>226251</v>
      </c>
      <c r="I10" s="693">
        <v>243501</v>
      </c>
    </row>
    <row r="11" spans="1:9" ht="28.8" x14ac:dyDescent="0.3">
      <c r="A11" s="703" t="s">
        <v>1748</v>
      </c>
      <c r="B11" s="692" t="s">
        <v>1771</v>
      </c>
      <c r="C11" s="690" t="s">
        <v>497</v>
      </c>
      <c r="D11" s="691">
        <v>23</v>
      </c>
      <c r="E11" s="696">
        <v>750</v>
      </c>
      <c r="F11" s="699">
        <v>9880</v>
      </c>
      <c r="G11" s="693">
        <v>17250</v>
      </c>
      <c r="H11" s="693">
        <v>227240</v>
      </c>
      <c r="I11" s="693">
        <v>244490</v>
      </c>
    </row>
    <row r="12" spans="1:9" x14ac:dyDescent="0.3">
      <c r="A12" s="703" t="s">
        <v>1749</v>
      </c>
      <c r="B12" s="692" t="s">
        <v>1772</v>
      </c>
      <c r="C12" s="690" t="s">
        <v>497</v>
      </c>
      <c r="D12" s="691">
        <v>1</v>
      </c>
      <c r="E12" s="704">
        <v>2300</v>
      </c>
      <c r="F12" s="701">
        <v>10700</v>
      </c>
      <c r="G12" s="693">
        <v>2300</v>
      </c>
      <c r="H12" s="693">
        <v>10700</v>
      </c>
      <c r="I12" s="693">
        <v>13000</v>
      </c>
    </row>
    <row r="13" spans="1:9" x14ac:dyDescent="0.3">
      <c r="A13" s="689" t="s">
        <v>1750</v>
      </c>
      <c r="B13" s="692" t="s">
        <v>1773</v>
      </c>
      <c r="C13" s="690" t="s">
        <v>497</v>
      </c>
      <c r="D13" s="691">
        <v>1</v>
      </c>
      <c r="E13" s="696">
        <v>2300</v>
      </c>
      <c r="F13" s="695">
        <v>13250</v>
      </c>
      <c r="G13" s="693">
        <v>2300</v>
      </c>
      <c r="H13" s="693">
        <v>13250</v>
      </c>
      <c r="I13" s="693">
        <v>15550</v>
      </c>
    </row>
    <row r="14" spans="1:9" x14ac:dyDescent="0.3">
      <c r="A14" s="689" t="s">
        <v>1751</v>
      </c>
      <c r="B14" s="692" t="s">
        <v>1774</v>
      </c>
      <c r="C14" s="690" t="s">
        <v>497</v>
      </c>
      <c r="D14" s="691">
        <v>2</v>
      </c>
      <c r="E14" s="696">
        <v>2300</v>
      </c>
      <c r="F14" s="695">
        <v>10120</v>
      </c>
      <c r="G14" s="693">
        <v>4600</v>
      </c>
      <c r="H14" s="693">
        <v>20240</v>
      </c>
      <c r="I14" s="693">
        <v>24840</v>
      </c>
    </row>
    <row r="15" spans="1:9" x14ac:dyDescent="0.3">
      <c r="A15" s="689" t="s">
        <v>1752</v>
      </c>
      <c r="B15" s="692" t="s">
        <v>1775</v>
      </c>
      <c r="C15" s="690" t="s">
        <v>497</v>
      </c>
      <c r="D15" s="691">
        <v>1</v>
      </c>
      <c r="E15" s="696">
        <v>2300</v>
      </c>
      <c r="F15" s="695">
        <v>10300</v>
      </c>
      <c r="G15" s="693">
        <v>2300</v>
      </c>
      <c r="H15" s="693">
        <v>10300</v>
      </c>
      <c r="I15" s="693">
        <v>12600</v>
      </c>
    </row>
    <row r="16" spans="1:9" x14ac:dyDescent="0.3">
      <c r="A16" s="689" t="s">
        <v>1753</v>
      </c>
      <c r="B16" s="692" t="s">
        <v>1776</v>
      </c>
      <c r="C16" s="690" t="s">
        <v>497</v>
      </c>
      <c r="D16" s="691">
        <v>2</v>
      </c>
      <c r="E16" s="696">
        <v>2300</v>
      </c>
      <c r="F16" s="695">
        <v>9895</v>
      </c>
      <c r="G16" s="693">
        <v>4600</v>
      </c>
      <c r="H16" s="693">
        <v>19790</v>
      </c>
      <c r="I16" s="693">
        <v>24390</v>
      </c>
    </row>
    <row r="17" spans="1:10" x14ac:dyDescent="0.3">
      <c r="A17" s="689" t="s">
        <v>1754</v>
      </c>
      <c r="B17" s="692" t="s">
        <v>1777</v>
      </c>
      <c r="C17" s="690" t="s">
        <v>497</v>
      </c>
      <c r="D17" s="691">
        <v>46</v>
      </c>
      <c r="E17" s="704">
        <v>3400</v>
      </c>
      <c r="F17" s="701">
        <v>16105</v>
      </c>
      <c r="G17" s="693">
        <v>156400</v>
      </c>
      <c r="H17" s="693">
        <v>740830</v>
      </c>
      <c r="I17" s="693">
        <v>897230</v>
      </c>
    </row>
    <row r="18" spans="1:10" x14ac:dyDescent="0.3">
      <c r="A18" s="689" t="s">
        <v>1755</v>
      </c>
      <c r="B18" s="692" t="s">
        <v>1778</v>
      </c>
      <c r="C18" s="690" t="s">
        <v>497</v>
      </c>
      <c r="D18" s="691">
        <v>23</v>
      </c>
      <c r="E18" s="698">
        <v>3400</v>
      </c>
      <c r="F18" s="699">
        <v>9895</v>
      </c>
      <c r="G18" s="693">
        <v>78200</v>
      </c>
      <c r="H18" s="693">
        <v>227585</v>
      </c>
      <c r="I18" s="693">
        <v>305785</v>
      </c>
      <c r="J18" t="s">
        <v>1768</v>
      </c>
    </row>
    <row r="19" spans="1:10" x14ac:dyDescent="0.3">
      <c r="A19" s="689" t="s">
        <v>1756</v>
      </c>
      <c r="B19" s="692" t="s">
        <v>1779</v>
      </c>
      <c r="C19" s="690" t="s">
        <v>497</v>
      </c>
      <c r="D19" s="691">
        <v>23</v>
      </c>
      <c r="E19" s="698">
        <v>2300</v>
      </c>
      <c r="F19" s="694">
        <v>9895</v>
      </c>
      <c r="G19" s="693">
        <v>52900</v>
      </c>
      <c r="H19" s="693">
        <v>227585</v>
      </c>
      <c r="I19" s="693">
        <v>280485</v>
      </c>
    </row>
    <row r="20" spans="1:10" x14ac:dyDescent="0.3">
      <c r="A20" s="689" t="s">
        <v>1757</v>
      </c>
      <c r="B20" s="692" t="s">
        <v>1780</v>
      </c>
      <c r="C20" s="690" t="s">
        <v>497</v>
      </c>
      <c r="D20" s="691">
        <v>187</v>
      </c>
      <c r="E20" s="698">
        <v>500</v>
      </c>
      <c r="F20" s="693">
        <v>2738</v>
      </c>
      <c r="G20" s="693">
        <v>93500</v>
      </c>
      <c r="H20" s="693">
        <v>512006</v>
      </c>
      <c r="I20" s="693">
        <v>605506</v>
      </c>
    </row>
    <row r="21" spans="1:10" x14ac:dyDescent="0.3">
      <c r="A21" s="689" t="s">
        <v>1758</v>
      </c>
      <c r="B21" s="692" t="s">
        <v>530</v>
      </c>
      <c r="C21" s="690" t="s">
        <v>497</v>
      </c>
      <c r="D21" s="691">
        <v>90</v>
      </c>
      <c r="E21" s="698">
        <v>500</v>
      </c>
      <c r="F21" s="693">
        <v>2738</v>
      </c>
      <c r="G21" s="693">
        <v>45000</v>
      </c>
      <c r="H21" s="693">
        <v>246420</v>
      </c>
      <c r="I21" s="693">
        <v>291420</v>
      </c>
    </row>
    <row r="22" spans="1:10" x14ac:dyDescent="0.3">
      <c r="A22" s="689" t="s">
        <v>1759</v>
      </c>
      <c r="B22" s="692" t="s">
        <v>1781</v>
      </c>
      <c r="C22" s="690" t="s">
        <v>497</v>
      </c>
      <c r="D22" s="691">
        <v>7</v>
      </c>
      <c r="E22" s="698">
        <v>0</v>
      </c>
      <c r="F22" s="700">
        <v>0</v>
      </c>
      <c r="G22" s="693">
        <v>0</v>
      </c>
      <c r="H22" s="693">
        <v>0</v>
      </c>
      <c r="I22" s="693">
        <v>0</v>
      </c>
      <c r="J22" t="s">
        <v>1789</v>
      </c>
    </row>
    <row r="23" spans="1:10" x14ac:dyDescent="0.3">
      <c r="A23" s="689" t="s">
        <v>1760</v>
      </c>
      <c r="B23" s="692" t="s">
        <v>1782</v>
      </c>
      <c r="C23" s="690" t="s">
        <v>497</v>
      </c>
      <c r="D23" s="691">
        <v>1</v>
      </c>
      <c r="E23" s="698">
        <v>2300</v>
      </c>
      <c r="F23" s="693">
        <v>9895</v>
      </c>
      <c r="G23" s="693">
        <v>2300</v>
      </c>
      <c r="H23" s="693">
        <v>9895</v>
      </c>
      <c r="I23" s="693">
        <v>12195</v>
      </c>
    </row>
    <row r="24" spans="1:10" x14ac:dyDescent="0.3">
      <c r="A24" s="689" t="s">
        <v>1761</v>
      </c>
      <c r="B24" s="692" t="s">
        <v>536</v>
      </c>
      <c r="C24" s="690" t="s">
        <v>497</v>
      </c>
      <c r="D24" s="691">
        <v>1</v>
      </c>
      <c r="E24" s="698">
        <v>1500</v>
      </c>
      <c r="F24" s="693">
        <v>8625</v>
      </c>
      <c r="G24" s="693">
        <v>1500</v>
      </c>
      <c r="H24" s="693">
        <v>8625</v>
      </c>
      <c r="I24" s="693">
        <v>10125</v>
      </c>
    </row>
    <row r="25" spans="1:10" x14ac:dyDescent="0.3">
      <c r="A25" s="703" t="s">
        <v>1762</v>
      </c>
      <c r="B25" s="702" t="s">
        <v>1783</v>
      </c>
      <c r="C25" s="690" t="s">
        <v>497</v>
      </c>
      <c r="D25" s="691">
        <v>2</v>
      </c>
      <c r="E25" s="698">
        <v>2000</v>
      </c>
      <c r="F25" s="693">
        <v>24122.576000000005</v>
      </c>
      <c r="G25" s="693">
        <v>4000</v>
      </c>
      <c r="H25" s="693">
        <v>48245.152000000009</v>
      </c>
      <c r="I25" s="693">
        <v>52245.152000000009</v>
      </c>
      <c r="J25" t="s">
        <v>1768</v>
      </c>
    </row>
    <row r="26" spans="1:10" x14ac:dyDescent="0.3">
      <c r="A26" s="703" t="s">
        <v>1763</v>
      </c>
      <c r="B26" s="702" t="s">
        <v>1784</v>
      </c>
      <c r="C26" s="690" t="s">
        <v>497</v>
      </c>
      <c r="D26" s="691">
        <v>5</v>
      </c>
      <c r="E26" s="698">
        <v>2000</v>
      </c>
      <c r="F26" s="693">
        <v>21601.856</v>
      </c>
      <c r="G26" s="693">
        <v>10000</v>
      </c>
      <c r="H26" s="693">
        <v>108009.28</v>
      </c>
      <c r="I26" s="693">
        <v>118009.28</v>
      </c>
      <c r="J26" t="s">
        <v>1768</v>
      </c>
    </row>
    <row r="27" spans="1:10" x14ac:dyDescent="0.3">
      <c r="A27" s="689" t="s">
        <v>1764</v>
      </c>
      <c r="B27" s="692" t="s">
        <v>1785</v>
      </c>
      <c r="C27" s="690" t="s">
        <v>497</v>
      </c>
      <c r="D27" s="691">
        <v>1</v>
      </c>
      <c r="E27" s="698">
        <v>3400</v>
      </c>
      <c r="F27" s="693">
        <v>15120</v>
      </c>
      <c r="G27" s="693">
        <v>3400</v>
      </c>
      <c r="H27" s="693">
        <v>15120</v>
      </c>
      <c r="I27" s="693">
        <v>18520</v>
      </c>
    </row>
    <row r="28" spans="1:10" x14ac:dyDescent="0.3">
      <c r="A28" s="689" t="s">
        <v>1765</v>
      </c>
      <c r="B28" s="692" t="s">
        <v>1786</v>
      </c>
      <c r="C28" s="690" t="s">
        <v>497</v>
      </c>
      <c r="D28" s="691">
        <v>1</v>
      </c>
      <c r="E28" s="698">
        <v>2300</v>
      </c>
      <c r="F28" s="693">
        <v>9895</v>
      </c>
      <c r="G28" s="693">
        <v>2300</v>
      </c>
      <c r="H28" s="693">
        <v>9895</v>
      </c>
      <c r="I28" s="693">
        <v>12195</v>
      </c>
    </row>
    <row r="29" spans="1:10" x14ac:dyDescent="0.3">
      <c r="A29" s="689" t="s">
        <v>1766</v>
      </c>
      <c r="B29" s="692" t="s">
        <v>1787</v>
      </c>
      <c r="C29" s="690" t="s">
        <v>497</v>
      </c>
      <c r="D29" s="691">
        <v>2</v>
      </c>
      <c r="E29" s="698">
        <v>2300</v>
      </c>
      <c r="F29" s="693">
        <v>9895</v>
      </c>
      <c r="G29" s="693">
        <v>4600</v>
      </c>
      <c r="H29" s="693">
        <v>19790</v>
      </c>
      <c r="I29" s="693">
        <v>24390</v>
      </c>
    </row>
    <row r="30" spans="1:10" x14ac:dyDescent="0.3">
      <c r="A30" s="689"/>
      <c r="B30" s="692" t="s">
        <v>1788</v>
      </c>
      <c r="C30" s="690"/>
      <c r="D30" s="691"/>
      <c r="E30" s="698"/>
      <c r="F30" s="693"/>
      <c r="G30" s="693"/>
      <c r="H30" s="693"/>
      <c r="I30" s="693">
        <v>30000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zoomScale="80" zoomScaleNormal="80" workbookViewId="0">
      <selection activeCell="A3" sqref="A3:XFD127"/>
    </sheetView>
  </sheetViews>
  <sheetFormatPr defaultRowHeight="13.15" x14ac:dyDescent="0.25"/>
  <cols>
    <col min="1" max="1" width="6.33203125" style="396" bestFit="1" customWidth="1"/>
    <col min="2" max="2" width="100.6640625" style="349" bestFit="1" customWidth="1"/>
    <col min="3" max="3" width="8" style="397" bestFit="1" customWidth="1"/>
    <col min="4" max="4" width="8.109375" style="397" bestFit="1" customWidth="1"/>
    <col min="5" max="5" width="12.88671875" style="154" bestFit="1" customWidth="1"/>
    <col min="6" max="6" width="13.88671875" style="154" bestFit="1" customWidth="1"/>
    <col min="7" max="7" width="13.109375" style="349" bestFit="1" customWidth="1"/>
    <col min="8" max="8" width="14" style="349" customWidth="1"/>
    <col min="9" max="9" width="12.5546875" style="349" bestFit="1" customWidth="1"/>
    <col min="10" max="10" width="10.44140625" style="349" bestFit="1" customWidth="1"/>
    <col min="11" max="11" width="11.44140625" style="349" bestFit="1" customWidth="1"/>
    <col min="12" max="257" width="9.109375" style="349"/>
    <col min="258" max="258" width="63.109375" style="349" customWidth="1"/>
    <col min="259" max="259" width="9.109375" style="349"/>
    <col min="260" max="260" width="14.109375" style="349" customWidth="1"/>
    <col min="261" max="261" width="11.44140625" style="349" customWidth="1"/>
    <col min="262" max="262" width="12.6640625" style="349" customWidth="1"/>
    <col min="263" max="263" width="15.88671875" style="349" customWidth="1"/>
    <col min="264" max="264" width="18.6640625" style="349" customWidth="1"/>
    <col min="265" max="265" width="16.6640625" style="349" customWidth="1"/>
    <col min="266" max="513" width="9.109375" style="349"/>
    <col min="514" max="514" width="63.109375" style="349" customWidth="1"/>
    <col min="515" max="515" width="9.109375" style="349"/>
    <col min="516" max="516" width="14.109375" style="349" customWidth="1"/>
    <col min="517" max="517" width="11.44140625" style="349" customWidth="1"/>
    <col min="518" max="518" width="12.6640625" style="349" customWidth="1"/>
    <col min="519" max="519" width="15.88671875" style="349" customWidth="1"/>
    <col min="520" max="520" width="18.6640625" style="349" customWidth="1"/>
    <col min="521" max="521" width="16.6640625" style="349" customWidth="1"/>
    <col min="522" max="769" width="9.109375" style="349"/>
    <col min="770" max="770" width="63.109375" style="349" customWidth="1"/>
    <col min="771" max="771" width="9.109375" style="349"/>
    <col min="772" max="772" width="14.109375" style="349" customWidth="1"/>
    <col min="773" max="773" width="11.44140625" style="349" customWidth="1"/>
    <col min="774" max="774" width="12.6640625" style="349" customWidth="1"/>
    <col min="775" max="775" width="15.88671875" style="349" customWidth="1"/>
    <col min="776" max="776" width="18.6640625" style="349" customWidth="1"/>
    <col min="777" max="777" width="16.6640625" style="349" customWidth="1"/>
    <col min="778" max="1025" width="9.109375" style="349"/>
    <col min="1026" max="1026" width="63.109375" style="349" customWidth="1"/>
    <col min="1027" max="1027" width="9.109375" style="349"/>
    <col min="1028" max="1028" width="14.109375" style="349" customWidth="1"/>
    <col min="1029" max="1029" width="11.44140625" style="349" customWidth="1"/>
    <col min="1030" max="1030" width="12.6640625" style="349" customWidth="1"/>
    <col min="1031" max="1031" width="15.88671875" style="349" customWidth="1"/>
    <col min="1032" max="1032" width="18.6640625" style="349" customWidth="1"/>
    <col min="1033" max="1033" width="16.6640625" style="349" customWidth="1"/>
    <col min="1034" max="1281" width="9.109375" style="349"/>
    <col min="1282" max="1282" width="63.109375" style="349" customWidth="1"/>
    <col min="1283" max="1283" width="9.109375" style="349"/>
    <col min="1284" max="1284" width="14.109375" style="349" customWidth="1"/>
    <col min="1285" max="1285" width="11.44140625" style="349" customWidth="1"/>
    <col min="1286" max="1286" width="12.6640625" style="349" customWidth="1"/>
    <col min="1287" max="1287" width="15.88671875" style="349" customWidth="1"/>
    <col min="1288" max="1288" width="18.6640625" style="349" customWidth="1"/>
    <col min="1289" max="1289" width="16.6640625" style="349" customWidth="1"/>
    <col min="1290" max="1537" width="9.109375" style="349"/>
    <col min="1538" max="1538" width="63.109375" style="349" customWidth="1"/>
    <col min="1539" max="1539" width="9.109375" style="349"/>
    <col min="1540" max="1540" width="14.109375" style="349" customWidth="1"/>
    <col min="1541" max="1541" width="11.44140625" style="349" customWidth="1"/>
    <col min="1542" max="1542" width="12.6640625" style="349" customWidth="1"/>
    <col min="1543" max="1543" width="15.88671875" style="349" customWidth="1"/>
    <col min="1544" max="1544" width="18.6640625" style="349" customWidth="1"/>
    <col min="1545" max="1545" width="16.6640625" style="349" customWidth="1"/>
    <col min="1546" max="1793" width="9.109375" style="349"/>
    <col min="1794" max="1794" width="63.109375" style="349" customWidth="1"/>
    <col min="1795" max="1795" width="9.109375" style="349"/>
    <col min="1796" max="1796" width="14.109375" style="349" customWidth="1"/>
    <col min="1797" max="1797" width="11.44140625" style="349" customWidth="1"/>
    <col min="1798" max="1798" width="12.6640625" style="349" customWidth="1"/>
    <col min="1799" max="1799" width="15.88671875" style="349" customWidth="1"/>
    <col min="1800" max="1800" width="18.6640625" style="349" customWidth="1"/>
    <col min="1801" max="1801" width="16.6640625" style="349" customWidth="1"/>
    <col min="1802" max="2049" width="9.109375" style="349"/>
    <col min="2050" max="2050" width="63.109375" style="349" customWidth="1"/>
    <col min="2051" max="2051" width="9.109375" style="349"/>
    <col min="2052" max="2052" width="14.109375" style="349" customWidth="1"/>
    <col min="2053" max="2053" width="11.44140625" style="349" customWidth="1"/>
    <col min="2054" max="2054" width="12.6640625" style="349" customWidth="1"/>
    <col min="2055" max="2055" width="15.88671875" style="349" customWidth="1"/>
    <col min="2056" max="2056" width="18.6640625" style="349" customWidth="1"/>
    <col min="2057" max="2057" width="16.6640625" style="349" customWidth="1"/>
    <col min="2058" max="2305" width="9.109375" style="349"/>
    <col min="2306" max="2306" width="63.109375" style="349" customWidth="1"/>
    <col min="2307" max="2307" width="9.109375" style="349"/>
    <col min="2308" max="2308" width="14.109375" style="349" customWidth="1"/>
    <col min="2309" max="2309" width="11.44140625" style="349" customWidth="1"/>
    <col min="2310" max="2310" width="12.6640625" style="349" customWidth="1"/>
    <col min="2311" max="2311" width="15.88671875" style="349" customWidth="1"/>
    <col min="2312" max="2312" width="18.6640625" style="349" customWidth="1"/>
    <col min="2313" max="2313" width="16.6640625" style="349" customWidth="1"/>
    <col min="2314" max="2561" width="9.109375" style="349"/>
    <col min="2562" max="2562" width="63.109375" style="349" customWidth="1"/>
    <col min="2563" max="2563" width="9.109375" style="349"/>
    <col min="2564" max="2564" width="14.109375" style="349" customWidth="1"/>
    <col min="2565" max="2565" width="11.44140625" style="349" customWidth="1"/>
    <col min="2566" max="2566" width="12.6640625" style="349" customWidth="1"/>
    <col min="2567" max="2567" width="15.88671875" style="349" customWidth="1"/>
    <col min="2568" max="2568" width="18.6640625" style="349" customWidth="1"/>
    <col min="2569" max="2569" width="16.6640625" style="349" customWidth="1"/>
    <col min="2570" max="2817" width="9.109375" style="349"/>
    <col min="2818" max="2818" width="63.109375" style="349" customWidth="1"/>
    <col min="2819" max="2819" width="9.109375" style="349"/>
    <col min="2820" max="2820" width="14.109375" style="349" customWidth="1"/>
    <col min="2821" max="2821" width="11.44140625" style="349" customWidth="1"/>
    <col min="2822" max="2822" width="12.6640625" style="349" customWidth="1"/>
    <col min="2823" max="2823" width="15.88671875" style="349" customWidth="1"/>
    <col min="2824" max="2824" width="18.6640625" style="349" customWidth="1"/>
    <col min="2825" max="2825" width="16.6640625" style="349" customWidth="1"/>
    <col min="2826" max="3073" width="9.109375" style="349"/>
    <col min="3074" max="3074" width="63.109375" style="349" customWidth="1"/>
    <col min="3075" max="3075" width="9.109375" style="349"/>
    <col min="3076" max="3076" width="14.109375" style="349" customWidth="1"/>
    <col min="3077" max="3077" width="11.44140625" style="349" customWidth="1"/>
    <col min="3078" max="3078" width="12.6640625" style="349" customWidth="1"/>
    <col min="3079" max="3079" width="15.88671875" style="349" customWidth="1"/>
    <col min="3080" max="3080" width="18.6640625" style="349" customWidth="1"/>
    <col min="3081" max="3081" width="16.6640625" style="349" customWidth="1"/>
    <col min="3082" max="3329" width="9.109375" style="349"/>
    <col min="3330" max="3330" width="63.109375" style="349" customWidth="1"/>
    <col min="3331" max="3331" width="9.109375" style="349"/>
    <col min="3332" max="3332" width="14.109375" style="349" customWidth="1"/>
    <col min="3333" max="3333" width="11.44140625" style="349" customWidth="1"/>
    <col min="3334" max="3334" width="12.6640625" style="349" customWidth="1"/>
    <col min="3335" max="3335" width="15.88671875" style="349" customWidth="1"/>
    <col min="3336" max="3336" width="18.6640625" style="349" customWidth="1"/>
    <col min="3337" max="3337" width="16.6640625" style="349" customWidth="1"/>
    <col min="3338" max="3585" width="9.109375" style="349"/>
    <col min="3586" max="3586" width="63.109375" style="349" customWidth="1"/>
    <col min="3587" max="3587" width="9.109375" style="349"/>
    <col min="3588" max="3588" width="14.109375" style="349" customWidth="1"/>
    <col min="3589" max="3589" width="11.44140625" style="349" customWidth="1"/>
    <col min="3590" max="3590" width="12.6640625" style="349" customWidth="1"/>
    <col min="3591" max="3591" width="15.88671875" style="349" customWidth="1"/>
    <col min="3592" max="3592" width="18.6640625" style="349" customWidth="1"/>
    <col min="3593" max="3593" width="16.6640625" style="349" customWidth="1"/>
    <col min="3594" max="3841" width="9.109375" style="349"/>
    <col min="3842" max="3842" width="63.109375" style="349" customWidth="1"/>
    <col min="3843" max="3843" width="9.109375" style="349"/>
    <col min="3844" max="3844" width="14.109375" style="349" customWidth="1"/>
    <col min="3845" max="3845" width="11.44140625" style="349" customWidth="1"/>
    <col min="3846" max="3846" width="12.6640625" style="349" customWidth="1"/>
    <col min="3847" max="3847" width="15.88671875" style="349" customWidth="1"/>
    <col min="3848" max="3848" width="18.6640625" style="349" customWidth="1"/>
    <col min="3849" max="3849" width="16.6640625" style="349" customWidth="1"/>
    <col min="3850" max="4097" width="9.109375" style="349"/>
    <col min="4098" max="4098" width="63.109375" style="349" customWidth="1"/>
    <col min="4099" max="4099" width="9.109375" style="349"/>
    <col min="4100" max="4100" width="14.109375" style="349" customWidth="1"/>
    <col min="4101" max="4101" width="11.44140625" style="349" customWidth="1"/>
    <col min="4102" max="4102" width="12.6640625" style="349" customWidth="1"/>
    <col min="4103" max="4103" width="15.88671875" style="349" customWidth="1"/>
    <col min="4104" max="4104" width="18.6640625" style="349" customWidth="1"/>
    <col min="4105" max="4105" width="16.6640625" style="349" customWidth="1"/>
    <col min="4106" max="4353" width="9.109375" style="349"/>
    <col min="4354" max="4354" width="63.109375" style="349" customWidth="1"/>
    <col min="4355" max="4355" width="9.109375" style="349"/>
    <col min="4356" max="4356" width="14.109375" style="349" customWidth="1"/>
    <col min="4357" max="4357" width="11.44140625" style="349" customWidth="1"/>
    <col min="4358" max="4358" width="12.6640625" style="349" customWidth="1"/>
    <col min="4359" max="4359" width="15.88671875" style="349" customWidth="1"/>
    <col min="4360" max="4360" width="18.6640625" style="349" customWidth="1"/>
    <col min="4361" max="4361" width="16.6640625" style="349" customWidth="1"/>
    <col min="4362" max="4609" width="9.109375" style="349"/>
    <col min="4610" max="4610" width="63.109375" style="349" customWidth="1"/>
    <col min="4611" max="4611" width="9.109375" style="349"/>
    <col min="4612" max="4612" width="14.109375" style="349" customWidth="1"/>
    <col min="4613" max="4613" width="11.44140625" style="349" customWidth="1"/>
    <col min="4614" max="4614" width="12.6640625" style="349" customWidth="1"/>
    <col min="4615" max="4615" width="15.88671875" style="349" customWidth="1"/>
    <col min="4616" max="4616" width="18.6640625" style="349" customWidth="1"/>
    <col min="4617" max="4617" width="16.6640625" style="349" customWidth="1"/>
    <col min="4618" max="4865" width="9.109375" style="349"/>
    <col min="4866" max="4866" width="63.109375" style="349" customWidth="1"/>
    <col min="4867" max="4867" width="9.109375" style="349"/>
    <col min="4868" max="4868" width="14.109375" style="349" customWidth="1"/>
    <col min="4869" max="4869" width="11.44140625" style="349" customWidth="1"/>
    <col min="4870" max="4870" width="12.6640625" style="349" customWidth="1"/>
    <col min="4871" max="4871" width="15.88671875" style="349" customWidth="1"/>
    <col min="4872" max="4872" width="18.6640625" style="349" customWidth="1"/>
    <col min="4873" max="4873" width="16.6640625" style="349" customWidth="1"/>
    <col min="4874" max="5121" width="9.109375" style="349"/>
    <col min="5122" max="5122" width="63.109375" style="349" customWidth="1"/>
    <col min="5123" max="5123" width="9.109375" style="349"/>
    <col min="5124" max="5124" width="14.109375" style="349" customWidth="1"/>
    <col min="5125" max="5125" width="11.44140625" style="349" customWidth="1"/>
    <col min="5126" max="5126" width="12.6640625" style="349" customWidth="1"/>
    <col min="5127" max="5127" width="15.88671875" style="349" customWidth="1"/>
    <col min="5128" max="5128" width="18.6640625" style="349" customWidth="1"/>
    <col min="5129" max="5129" width="16.6640625" style="349" customWidth="1"/>
    <col min="5130" max="5377" width="9.109375" style="349"/>
    <col min="5378" max="5378" width="63.109375" style="349" customWidth="1"/>
    <col min="5379" max="5379" width="9.109375" style="349"/>
    <col min="5380" max="5380" width="14.109375" style="349" customWidth="1"/>
    <col min="5381" max="5381" width="11.44140625" style="349" customWidth="1"/>
    <col min="5382" max="5382" width="12.6640625" style="349" customWidth="1"/>
    <col min="5383" max="5383" width="15.88671875" style="349" customWidth="1"/>
    <col min="5384" max="5384" width="18.6640625" style="349" customWidth="1"/>
    <col min="5385" max="5385" width="16.6640625" style="349" customWidth="1"/>
    <col min="5386" max="5633" width="9.109375" style="349"/>
    <col min="5634" max="5634" width="63.109375" style="349" customWidth="1"/>
    <col min="5635" max="5635" width="9.109375" style="349"/>
    <col min="5636" max="5636" width="14.109375" style="349" customWidth="1"/>
    <col min="5637" max="5637" width="11.44140625" style="349" customWidth="1"/>
    <col min="5638" max="5638" width="12.6640625" style="349" customWidth="1"/>
    <col min="5639" max="5639" width="15.88671875" style="349" customWidth="1"/>
    <col min="5640" max="5640" width="18.6640625" style="349" customWidth="1"/>
    <col min="5641" max="5641" width="16.6640625" style="349" customWidth="1"/>
    <col min="5642" max="5889" width="9.109375" style="349"/>
    <col min="5890" max="5890" width="63.109375" style="349" customWidth="1"/>
    <col min="5891" max="5891" width="9.109375" style="349"/>
    <col min="5892" max="5892" width="14.109375" style="349" customWidth="1"/>
    <col min="5893" max="5893" width="11.44140625" style="349" customWidth="1"/>
    <col min="5894" max="5894" width="12.6640625" style="349" customWidth="1"/>
    <col min="5895" max="5895" width="15.88671875" style="349" customWidth="1"/>
    <col min="5896" max="5896" width="18.6640625" style="349" customWidth="1"/>
    <col min="5897" max="5897" width="16.6640625" style="349" customWidth="1"/>
    <col min="5898" max="6145" width="9.109375" style="349"/>
    <col min="6146" max="6146" width="63.109375" style="349" customWidth="1"/>
    <col min="6147" max="6147" width="9.109375" style="349"/>
    <col min="6148" max="6148" width="14.109375" style="349" customWidth="1"/>
    <col min="6149" max="6149" width="11.44140625" style="349" customWidth="1"/>
    <col min="6150" max="6150" width="12.6640625" style="349" customWidth="1"/>
    <col min="6151" max="6151" width="15.88671875" style="349" customWidth="1"/>
    <col min="6152" max="6152" width="18.6640625" style="349" customWidth="1"/>
    <col min="6153" max="6153" width="16.6640625" style="349" customWidth="1"/>
    <col min="6154" max="6401" width="9.109375" style="349"/>
    <col min="6402" max="6402" width="63.109375" style="349" customWidth="1"/>
    <col min="6403" max="6403" width="9.109375" style="349"/>
    <col min="6404" max="6404" width="14.109375" style="349" customWidth="1"/>
    <col min="6405" max="6405" width="11.44140625" style="349" customWidth="1"/>
    <col min="6406" max="6406" width="12.6640625" style="349" customWidth="1"/>
    <col min="6407" max="6407" width="15.88671875" style="349" customWidth="1"/>
    <col min="6408" max="6408" width="18.6640625" style="349" customWidth="1"/>
    <col min="6409" max="6409" width="16.6640625" style="349" customWidth="1"/>
    <col min="6410" max="6657" width="9.109375" style="349"/>
    <col min="6658" max="6658" width="63.109375" style="349" customWidth="1"/>
    <col min="6659" max="6659" width="9.109375" style="349"/>
    <col min="6660" max="6660" width="14.109375" style="349" customWidth="1"/>
    <col min="6661" max="6661" width="11.44140625" style="349" customWidth="1"/>
    <col min="6662" max="6662" width="12.6640625" style="349" customWidth="1"/>
    <col min="6663" max="6663" width="15.88671875" style="349" customWidth="1"/>
    <col min="6664" max="6664" width="18.6640625" style="349" customWidth="1"/>
    <col min="6665" max="6665" width="16.6640625" style="349" customWidth="1"/>
    <col min="6666" max="6913" width="9.109375" style="349"/>
    <col min="6914" max="6914" width="63.109375" style="349" customWidth="1"/>
    <col min="6915" max="6915" width="9.109375" style="349"/>
    <col min="6916" max="6916" width="14.109375" style="349" customWidth="1"/>
    <col min="6917" max="6917" width="11.44140625" style="349" customWidth="1"/>
    <col min="6918" max="6918" width="12.6640625" style="349" customWidth="1"/>
    <col min="6919" max="6919" width="15.88671875" style="349" customWidth="1"/>
    <col min="6920" max="6920" width="18.6640625" style="349" customWidth="1"/>
    <col min="6921" max="6921" width="16.6640625" style="349" customWidth="1"/>
    <col min="6922" max="7169" width="9.109375" style="349"/>
    <col min="7170" max="7170" width="63.109375" style="349" customWidth="1"/>
    <col min="7171" max="7171" width="9.109375" style="349"/>
    <col min="7172" max="7172" width="14.109375" style="349" customWidth="1"/>
    <col min="7173" max="7173" width="11.44140625" style="349" customWidth="1"/>
    <col min="7174" max="7174" width="12.6640625" style="349" customWidth="1"/>
    <col min="7175" max="7175" width="15.88671875" style="349" customWidth="1"/>
    <col min="7176" max="7176" width="18.6640625" style="349" customWidth="1"/>
    <col min="7177" max="7177" width="16.6640625" style="349" customWidth="1"/>
    <col min="7178" max="7425" width="9.109375" style="349"/>
    <col min="7426" max="7426" width="63.109375" style="349" customWidth="1"/>
    <col min="7427" max="7427" width="9.109375" style="349"/>
    <col min="7428" max="7428" width="14.109375" style="349" customWidth="1"/>
    <col min="7429" max="7429" width="11.44140625" style="349" customWidth="1"/>
    <col min="7430" max="7430" width="12.6640625" style="349" customWidth="1"/>
    <col min="7431" max="7431" width="15.88671875" style="349" customWidth="1"/>
    <col min="7432" max="7432" width="18.6640625" style="349" customWidth="1"/>
    <col min="7433" max="7433" width="16.6640625" style="349" customWidth="1"/>
    <col min="7434" max="7681" width="9.109375" style="349"/>
    <col min="7682" max="7682" width="63.109375" style="349" customWidth="1"/>
    <col min="7683" max="7683" width="9.109375" style="349"/>
    <col min="7684" max="7684" width="14.109375" style="349" customWidth="1"/>
    <col min="7685" max="7685" width="11.44140625" style="349" customWidth="1"/>
    <col min="7686" max="7686" width="12.6640625" style="349" customWidth="1"/>
    <col min="7687" max="7687" width="15.88671875" style="349" customWidth="1"/>
    <col min="7688" max="7688" width="18.6640625" style="349" customWidth="1"/>
    <col min="7689" max="7689" width="16.6640625" style="349" customWidth="1"/>
    <col min="7690" max="7937" width="9.109375" style="349"/>
    <col min="7938" max="7938" width="63.109375" style="349" customWidth="1"/>
    <col min="7939" max="7939" width="9.109375" style="349"/>
    <col min="7940" max="7940" width="14.109375" style="349" customWidth="1"/>
    <col min="7941" max="7941" width="11.44140625" style="349" customWidth="1"/>
    <col min="7942" max="7942" width="12.6640625" style="349" customWidth="1"/>
    <col min="7943" max="7943" width="15.88671875" style="349" customWidth="1"/>
    <col min="7944" max="7944" width="18.6640625" style="349" customWidth="1"/>
    <col min="7945" max="7945" width="16.6640625" style="349" customWidth="1"/>
    <col min="7946" max="8193" width="9.109375" style="349"/>
    <col min="8194" max="8194" width="63.109375" style="349" customWidth="1"/>
    <col min="8195" max="8195" width="9.109375" style="349"/>
    <col min="8196" max="8196" width="14.109375" style="349" customWidth="1"/>
    <col min="8197" max="8197" width="11.44140625" style="349" customWidth="1"/>
    <col min="8198" max="8198" width="12.6640625" style="349" customWidth="1"/>
    <col min="8199" max="8199" width="15.88671875" style="349" customWidth="1"/>
    <col min="8200" max="8200" width="18.6640625" style="349" customWidth="1"/>
    <col min="8201" max="8201" width="16.6640625" style="349" customWidth="1"/>
    <col min="8202" max="8449" width="9.109375" style="349"/>
    <col min="8450" max="8450" width="63.109375" style="349" customWidth="1"/>
    <col min="8451" max="8451" width="9.109375" style="349"/>
    <col min="8452" max="8452" width="14.109375" style="349" customWidth="1"/>
    <col min="8453" max="8453" width="11.44140625" style="349" customWidth="1"/>
    <col min="8454" max="8454" width="12.6640625" style="349" customWidth="1"/>
    <col min="8455" max="8455" width="15.88671875" style="349" customWidth="1"/>
    <col min="8456" max="8456" width="18.6640625" style="349" customWidth="1"/>
    <col min="8457" max="8457" width="16.6640625" style="349" customWidth="1"/>
    <col min="8458" max="8705" width="9.109375" style="349"/>
    <col min="8706" max="8706" width="63.109375" style="349" customWidth="1"/>
    <col min="8707" max="8707" width="9.109375" style="349"/>
    <col min="8708" max="8708" width="14.109375" style="349" customWidth="1"/>
    <col min="8709" max="8709" width="11.44140625" style="349" customWidth="1"/>
    <col min="8710" max="8710" width="12.6640625" style="349" customWidth="1"/>
    <col min="8711" max="8711" width="15.88671875" style="349" customWidth="1"/>
    <col min="8712" max="8712" width="18.6640625" style="349" customWidth="1"/>
    <col min="8713" max="8713" width="16.6640625" style="349" customWidth="1"/>
    <col min="8714" max="8961" width="9.109375" style="349"/>
    <col min="8962" max="8962" width="63.109375" style="349" customWidth="1"/>
    <col min="8963" max="8963" width="9.109375" style="349"/>
    <col min="8964" max="8964" width="14.109375" style="349" customWidth="1"/>
    <col min="8965" max="8965" width="11.44140625" style="349" customWidth="1"/>
    <col min="8966" max="8966" width="12.6640625" style="349" customWidth="1"/>
    <col min="8967" max="8967" width="15.88671875" style="349" customWidth="1"/>
    <col min="8968" max="8968" width="18.6640625" style="349" customWidth="1"/>
    <col min="8969" max="8969" width="16.6640625" style="349" customWidth="1"/>
    <col min="8970" max="9217" width="9.109375" style="349"/>
    <col min="9218" max="9218" width="63.109375" style="349" customWidth="1"/>
    <col min="9219" max="9219" width="9.109375" style="349"/>
    <col min="9220" max="9220" width="14.109375" style="349" customWidth="1"/>
    <col min="9221" max="9221" width="11.44140625" style="349" customWidth="1"/>
    <col min="9222" max="9222" width="12.6640625" style="349" customWidth="1"/>
    <col min="9223" max="9223" width="15.88671875" style="349" customWidth="1"/>
    <col min="9224" max="9224" width="18.6640625" style="349" customWidth="1"/>
    <col min="9225" max="9225" width="16.6640625" style="349" customWidth="1"/>
    <col min="9226" max="9473" width="9.109375" style="349"/>
    <col min="9474" max="9474" width="63.109375" style="349" customWidth="1"/>
    <col min="9475" max="9475" width="9.109375" style="349"/>
    <col min="9476" max="9476" width="14.109375" style="349" customWidth="1"/>
    <col min="9477" max="9477" width="11.44140625" style="349" customWidth="1"/>
    <col min="9478" max="9478" width="12.6640625" style="349" customWidth="1"/>
    <col min="9479" max="9479" width="15.88671875" style="349" customWidth="1"/>
    <col min="9480" max="9480" width="18.6640625" style="349" customWidth="1"/>
    <col min="9481" max="9481" width="16.6640625" style="349" customWidth="1"/>
    <col min="9482" max="9729" width="9.109375" style="349"/>
    <col min="9730" max="9730" width="63.109375" style="349" customWidth="1"/>
    <col min="9731" max="9731" width="9.109375" style="349"/>
    <col min="9732" max="9732" width="14.109375" style="349" customWidth="1"/>
    <col min="9733" max="9733" width="11.44140625" style="349" customWidth="1"/>
    <col min="9734" max="9734" width="12.6640625" style="349" customWidth="1"/>
    <col min="9735" max="9735" width="15.88671875" style="349" customWidth="1"/>
    <col min="9736" max="9736" width="18.6640625" style="349" customWidth="1"/>
    <col min="9737" max="9737" width="16.6640625" style="349" customWidth="1"/>
    <col min="9738" max="9985" width="9.109375" style="349"/>
    <col min="9986" max="9986" width="63.109375" style="349" customWidth="1"/>
    <col min="9987" max="9987" width="9.109375" style="349"/>
    <col min="9988" max="9988" width="14.109375" style="349" customWidth="1"/>
    <col min="9989" max="9989" width="11.44140625" style="349" customWidth="1"/>
    <col min="9990" max="9990" width="12.6640625" style="349" customWidth="1"/>
    <col min="9991" max="9991" width="15.88671875" style="349" customWidth="1"/>
    <col min="9992" max="9992" width="18.6640625" style="349" customWidth="1"/>
    <col min="9993" max="9993" width="16.6640625" style="349" customWidth="1"/>
    <col min="9994" max="10241" width="9.109375" style="349"/>
    <col min="10242" max="10242" width="63.109375" style="349" customWidth="1"/>
    <col min="10243" max="10243" width="9.109375" style="349"/>
    <col min="10244" max="10244" width="14.109375" style="349" customWidth="1"/>
    <col min="10245" max="10245" width="11.44140625" style="349" customWidth="1"/>
    <col min="10246" max="10246" width="12.6640625" style="349" customWidth="1"/>
    <col min="10247" max="10247" width="15.88671875" style="349" customWidth="1"/>
    <col min="10248" max="10248" width="18.6640625" style="349" customWidth="1"/>
    <col min="10249" max="10249" width="16.6640625" style="349" customWidth="1"/>
    <col min="10250" max="10497" width="9.109375" style="349"/>
    <col min="10498" max="10498" width="63.109375" style="349" customWidth="1"/>
    <col min="10499" max="10499" width="9.109375" style="349"/>
    <col min="10500" max="10500" width="14.109375" style="349" customWidth="1"/>
    <col min="10501" max="10501" width="11.44140625" style="349" customWidth="1"/>
    <col min="10502" max="10502" width="12.6640625" style="349" customWidth="1"/>
    <col min="10503" max="10503" width="15.88671875" style="349" customWidth="1"/>
    <col min="10504" max="10504" width="18.6640625" style="349" customWidth="1"/>
    <col min="10505" max="10505" width="16.6640625" style="349" customWidth="1"/>
    <col min="10506" max="10753" width="9.109375" style="349"/>
    <col min="10754" max="10754" width="63.109375" style="349" customWidth="1"/>
    <col min="10755" max="10755" width="9.109375" style="349"/>
    <col min="10756" max="10756" width="14.109375" style="349" customWidth="1"/>
    <col min="10757" max="10757" width="11.44140625" style="349" customWidth="1"/>
    <col min="10758" max="10758" width="12.6640625" style="349" customWidth="1"/>
    <col min="10759" max="10759" width="15.88671875" style="349" customWidth="1"/>
    <col min="10760" max="10760" width="18.6640625" style="349" customWidth="1"/>
    <col min="10761" max="10761" width="16.6640625" style="349" customWidth="1"/>
    <col min="10762" max="11009" width="9.109375" style="349"/>
    <col min="11010" max="11010" width="63.109375" style="349" customWidth="1"/>
    <col min="11011" max="11011" width="9.109375" style="349"/>
    <col min="11012" max="11012" width="14.109375" style="349" customWidth="1"/>
    <col min="11013" max="11013" width="11.44140625" style="349" customWidth="1"/>
    <col min="11014" max="11014" width="12.6640625" style="349" customWidth="1"/>
    <col min="11015" max="11015" width="15.88671875" style="349" customWidth="1"/>
    <col min="11016" max="11016" width="18.6640625" style="349" customWidth="1"/>
    <col min="11017" max="11017" width="16.6640625" style="349" customWidth="1"/>
    <col min="11018" max="11265" width="9.109375" style="349"/>
    <col min="11266" max="11266" width="63.109375" style="349" customWidth="1"/>
    <col min="11267" max="11267" width="9.109375" style="349"/>
    <col min="11268" max="11268" width="14.109375" style="349" customWidth="1"/>
    <col min="11269" max="11269" width="11.44140625" style="349" customWidth="1"/>
    <col min="11270" max="11270" width="12.6640625" style="349" customWidth="1"/>
    <col min="11271" max="11271" width="15.88671875" style="349" customWidth="1"/>
    <col min="11272" max="11272" width="18.6640625" style="349" customWidth="1"/>
    <col min="11273" max="11273" width="16.6640625" style="349" customWidth="1"/>
    <col min="11274" max="11521" width="9.109375" style="349"/>
    <col min="11522" max="11522" width="63.109375" style="349" customWidth="1"/>
    <col min="11523" max="11523" width="9.109375" style="349"/>
    <col min="11524" max="11524" width="14.109375" style="349" customWidth="1"/>
    <col min="11525" max="11525" width="11.44140625" style="349" customWidth="1"/>
    <col min="11526" max="11526" width="12.6640625" style="349" customWidth="1"/>
    <col min="11527" max="11527" width="15.88671875" style="349" customWidth="1"/>
    <col min="11528" max="11528" width="18.6640625" style="349" customWidth="1"/>
    <col min="11529" max="11529" width="16.6640625" style="349" customWidth="1"/>
    <col min="11530" max="11777" width="9.109375" style="349"/>
    <col min="11778" max="11778" width="63.109375" style="349" customWidth="1"/>
    <col min="11779" max="11779" width="9.109375" style="349"/>
    <col min="11780" max="11780" width="14.109375" style="349" customWidth="1"/>
    <col min="11781" max="11781" width="11.44140625" style="349" customWidth="1"/>
    <col min="11782" max="11782" width="12.6640625" style="349" customWidth="1"/>
    <col min="11783" max="11783" width="15.88671875" style="349" customWidth="1"/>
    <col min="11784" max="11784" width="18.6640625" style="349" customWidth="1"/>
    <col min="11785" max="11785" width="16.6640625" style="349" customWidth="1"/>
    <col min="11786" max="12033" width="9.109375" style="349"/>
    <col min="12034" max="12034" width="63.109375" style="349" customWidth="1"/>
    <col min="12035" max="12035" width="9.109375" style="349"/>
    <col min="12036" max="12036" width="14.109375" style="349" customWidth="1"/>
    <col min="12037" max="12037" width="11.44140625" style="349" customWidth="1"/>
    <col min="12038" max="12038" width="12.6640625" style="349" customWidth="1"/>
    <col min="12039" max="12039" width="15.88671875" style="349" customWidth="1"/>
    <col min="12040" max="12040" width="18.6640625" style="349" customWidth="1"/>
    <col min="12041" max="12041" width="16.6640625" style="349" customWidth="1"/>
    <col min="12042" max="12289" width="9.109375" style="349"/>
    <col min="12290" max="12290" width="63.109375" style="349" customWidth="1"/>
    <col min="12291" max="12291" width="9.109375" style="349"/>
    <col min="12292" max="12292" width="14.109375" style="349" customWidth="1"/>
    <col min="12293" max="12293" width="11.44140625" style="349" customWidth="1"/>
    <col min="12294" max="12294" width="12.6640625" style="349" customWidth="1"/>
    <col min="12295" max="12295" width="15.88671875" style="349" customWidth="1"/>
    <col min="12296" max="12296" width="18.6640625" style="349" customWidth="1"/>
    <col min="12297" max="12297" width="16.6640625" style="349" customWidth="1"/>
    <col min="12298" max="12545" width="9.109375" style="349"/>
    <col min="12546" max="12546" width="63.109375" style="349" customWidth="1"/>
    <col min="12547" max="12547" width="9.109375" style="349"/>
    <col min="12548" max="12548" width="14.109375" style="349" customWidth="1"/>
    <col min="12549" max="12549" width="11.44140625" style="349" customWidth="1"/>
    <col min="12550" max="12550" width="12.6640625" style="349" customWidth="1"/>
    <col min="12551" max="12551" width="15.88671875" style="349" customWidth="1"/>
    <col min="12552" max="12552" width="18.6640625" style="349" customWidth="1"/>
    <col min="12553" max="12553" width="16.6640625" style="349" customWidth="1"/>
    <col min="12554" max="12801" width="9.109375" style="349"/>
    <col min="12802" max="12802" width="63.109375" style="349" customWidth="1"/>
    <col min="12803" max="12803" width="9.109375" style="349"/>
    <col min="12804" max="12804" width="14.109375" style="349" customWidth="1"/>
    <col min="12805" max="12805" width="11.44140625" style="349" customWidth="1"/>
    <col min="12806" max="12806" width="12.6640625" style="349" customWidth="1"/>
    <col min="12807" max="12807" width="15.88671875" style="349" customWidth="1"/>
    <col min="12808" max="12808" width="18.6640625" style="349" customWidth="1"/>
    <col min="12809" max="12809" width="16.6640625" style="349" customWidth="1"/>
    <col min="12810" max="13057" width="9.109375" style="349"/>
    <col min="13058" max="13058" width="63.109375" style="349" customWidth="1"/>
    <col min="13059" max="13059" width="9.109375" style="349"/>
    <col min="13060" max="13060" width="14.109375" style="349" customWidth="1"/>
    <col min="13061" max="13061" width="11.44140625" style="349" customWidth="1"/>
    <col min="13062" max="13062" width="12.6640625" style="349" customWidth="1"/>
    <col min="13063" max="13063" width="15.88671875" style="349" customWidth="1"/>
    <col min="13064" max="13064" width="18.6640625" style="349" customWidth="1"/>
    <col min="13065" max="13065" width="16.6640625" style="349" customWidth="1"/>
    <col min="13066" max="13313" width="9.109375" style="349"/>
    <col min="13314" max="13314" width="63.109375" style="349" customWidth="1"/>
    <col min="13315" max="13315" width="9.109375" style="349"/>
    <col min="13316" max="13316" width="14.109375" style="349" customWidth="1"/>
    <col min="13317" max="13317" width="11.44140625" style="349" customWidth="1"/>
    <col min="13318" max="13318" width="12.6640625" style="349" customWidth="1"/>
    <col min="13319" max="13319" width="15.88671875" style="349" customWidth="1"/>
    <col min="13320" max="13320" width="18.6640625" style="349" customWidth="1"/>
    <col min="13321" max="13321" width="16.6640625" style="349" customWidth="1"/>
    <col min="13322" max="13569" width="9.109375" style="349"/>
    <col min="13570" max="13570" width="63.109375" style="349" customWidth="1"/>
    <col min="13571" max="13571" width="9.109375" style="349"/>
    <col min="13572" max="13572" width="14.109375" style="349" customWidth="1"/>
    <col min="13573" max="13573" width="11.44140625" style="349" customWidth="1"/>
    <col min="13574" max="13574" width="12.6640625" style="349" customWidth="1"/>
    <col min="13575" max="13575" width="15.88671875" style="349" customWidth="1"/>
    <col min="13576" max="13576" width="18.6640625" style="349" customWidth="1"/>
    <col min="13577" max="13577" width="16.6640625" style="349" customWidth="1"/>
    <col min="13578" max="13825" width="9.109375" style="349"/>
    <col min="13826" max="13826" width="63.109375" style="349" customWidth="1"/>
    <col min="13827" max="13827" width="9.109375" style="349"/>
    <col min="13828" max="13828" width="14.109375" style="349" customWidth="1"/>
    <col min="13829" max="13829" width="11.44140625" style="349" customWidth="1"/>
    <col min="13830" max="13830" width="12.6640625" style="349" customWidth="1"/>
    <col min="13831" max="13831" width="15.88671875" style="349" customWidth="1"/>
    <col min="13832" max="13832" width="18.6640625" style="349" customWidth="1"/>
    <col min="13833" max="13833" width="16.6640625" style="349" customWidth="1"/>
    <col min="13834" max="14081" width="9.109375" style="349"/>
    <col min="14082" max="14082" width="63.109375" style="349" customWidth="1"/>
    <col min="14083" max="14083" width="9.109375" style="349"/>
    <col min="14084" max="14084" width="14.109375" style="349" customWidth="1"/>
    <col min="14085" max="14085" width="11.44140625" style="349" customWidth="1"/>
    <col min="14086" max="14086" width="12.6640625" style="349" customWidth="1"/>
    <col min="14087" max="14087" width="15.88671875" style="349" customWidth="1"/>
    <col min="14088" max="14088" width="18.6640625" style="349" customWidth="1"/>
    <col min="14089" max="14089" width="16.6640625" style="349" customWidth="1"/>
    <col min="14090" max="14337" width="9.109375" style="349"/>
    <col min="14338" max="14338" width="63.109375" style="349" customWidth="1"/>
    <col min="14339" max="14339" width="9.109375" style="349"/>
    <col min="14340" max="14340" width="14.109375" style="349" customWidth="1"/>
    <col min="14341" max="14341" width="11.44140625" style="349" customWidth="1"/>
    <col min="14342" max="14342" width="12.6640625" style="349" customWidth="1"/>
    <col min="14343" max="14343" width="15.88671875" style="349" customWidth="1"/>
    <col min="14344" max="14344" width="18.6640625" style="349" customWidth="1"/>
    <col min="14345" max="14345" width="16.6640625" style="349" customWidth="1"/>
    <col min="14346" max="14593" width="9.109375" style="349"/>
    <col min="14594" max="14594" width="63.109375" style="349" customWidth="1"/>
    <col min="14595" max="14595" width="9.109375" style="349"/>
    <col min="14596" max="14596" width="14.109375" style="349" customWidth="1"/>
    <col min="14597" max="14597" width="11.44140625" style="349" customWidth="1"/>
    <col min="14598" max="14598" width="12.6640625" style="349" customWidth="1"/>
    <col min="14599" max="14599" width="15.88671875" style="349" customWidth="1"/>
    <col min="14600" max="14600" width="18.6640625" style="349" customWidth="1"/>
    <col min="14601" max="14601" width="16.6640625" style="349" customWidth="1"/>
    <col min="14602" max="14849" width="9.109375" style="349"/>
    <col min="14850" max="14850" width="63.109375" style="349" customWidth="1"/>
    <col min="14851" max="14851" width="9.109375" style="349"/>
    <col min="14852" max="14852" width="14.109375" style="349" customWidth="1"/>
    <col min="14853" max="14853" width="11.44140625" style="349" customWidth="1"/>
    <col min="14854" max="14854" width="12.6640625" style="349" customWidth="1"/>
    <col min="14855" max="14855" width="15.88671875" style="349" customWidth="1"/>
    <col min="14856" max="14856" width="18.6640625" style="349" customWidth="1"/>
    <col min="14857" max="14857" width="16.6640625" style="349" customWidth="1"/>
    <col min="14858" max="15105" width="9.109375" style="349"/>
    <col min="15106" max="15106" width="63.109375" style="349" customWidth="1"/>
    <col min="15107" max="15107" width="9.109375" style="349"/>
    <col min="15108" max="15108" width="14.109375" style="349" customWidth="1"/>
    <col min="15109" max="15109" width="11.44140625" style="349" customWidth="1"/>
    <col min="15110" max="15110" width="12.6640625" style="349" customWidth="1"/>
    <col min="15111" max="15111" width="15.88671875" style="349" customWidth="1"/>
    <col min="15112" max="15112" width="18.6640625" style="349" customWidth="1"/>
    <col min="15113" max="15113" width="16.6640625" style="349" customWidth="1"/>
    <col min="15114" max="15361" width="9.109375" style="349"/>
    <col min="15362" max="15362" width="63.109375" style="349" customWidth="1"/>
    <col min="15363" max="15363" width="9.109375" style="349"/>
    <col min="15364" max="15364" width="14.109375" style="349" customWidth="1"/>
    <col min="15365" max="15365" width="11.44140625" style="349" customWidth="1"/>
    <col min="15366" max="15366" width="12.6640625" style="349" customWidth="1"/>
    <col min="15367" max="15367" width="15.88671875" style="349" customWidth="1"/>
    <col min="15368" max="15368" width="18.6640625" style="349" customWidth="1"/>
    <col min="15369" max="15369" width="16.6640625" style="349" customWidth="1"/>
    <col min="15370" max="15617" width="9.109375" style="349"/>
    <col min="15618" max="15618" width="63.109375" style="349" customWidth="1"/>
    <col min="15619" max="15619" width="9.109375" style="349"/>
    <col min="15620" max="15620" width="14.109375" style="349" customWidth="1"/>
    <col min="15621" max="15621" width="11.44140625" style="349" customWidth="1"/>
    <col min="15622" max="15622" width="12.6640625" style="349" customWidth="1"/>
    <col min="15623" max="15623" width="15.88671875" style="349" customWidth="1"/>
    <col min="15624" max="15624" width="18.6640625" style="349" customWidth="1"/>
    <col min="15625" max="15625" width="16.6640625" style="349" customWidth="1"/>
    <col min="15626" max="15873" width="9.109375" style="349"/>
    <col min="15874" max="15874" width="63.109375" style="349" customWidth="1"/>
    <col min="15875" max="15875" width="9.109375" style="349"/>
    <col min="15876" max="15876" width="14.109375" style="349" customWidth="1"/>
    <col min="15877" max="15877" width="11.44140625" style="349" customWidth="1"/>
    <col min="15878" max="15878" width="12.6640625" style="349" customWidth="1"/>
    <col min="15879" max="15879" width="15.88671875" style="349" customWidth="1"/>
    <col min="15880" max="15880" width="18.6640625" style="349" customWidth="1"/>
    <col min="15881" max="15881" width="16.6640625" style="349" customWidth="1"/>
    <col min="15882" max="16129" width="9.109375" style="349"/>
    <col min="16130" max="16130" width="63.109375" style="349" customWidth="1"/>
    <col min="16131" max="16131" width="9.109375" style="349"/>
    <col min="16132" max="16132" width="14.109375" style="349" customWidth="1"/>
    <col min="16133" max="16133" width="11.44140625" style="349" customWidth="1"/>
    <col min="16134" max="16134" width="12.6640625" style="349" customWidth="1"/>
    <col min="16135" max="16135" width="15.88671875" style="349" customWidth="1"/>
    <col min="16136" max="16136" width="18.6640625" style="349" customWidth="1"/>
    <col min="16137" max="16137" width="16.6640625" style="349" customWidth="1"/>
    <col min="16138" max="16384" width="9.109375" style="349"/>
  </cols>
  <sheetData>
    <row r="1" spans="1:11" x14ac:dyDescent="0.25">
      <c r="A1" s="1467" t="s">
        <v>22</v>
      </c>
      <c r="B1" s="1468" t="s">
        <v>1</v>
      </c>
      <c r="C1" s="1469" t="s">
        <v>23</v>
      </c>
      <c r="D1" s="1470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11" x14ac:dyDescent="0.25">
      <c r="A2" s="1467"/>
      <c r="B2" s="1468"/>
      <c r="C2" s="1469"/>
      <c r="D2" s="1470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11" x14ac:dyDescent="0.25">
      <c r="A3" s="350" t="s">
        <v>555</v>
      </c>
      <c r="B3" s="351" t="s">
        <v>10</v>
      </c>
      <c r="C3" s="352" t="s">
        <v>74</v>
      </c>
      <c r="D3" s="353">
        <f>SUM(D4,D21,D35,D43,D73)</f>
        <v>688.49</v>
      </c>
      <c r="E3" s="90"/>
      <c r="F3" s="90"/>
      <c r="G3" s="354">
        <f>SUM(G4:G127)</f>
        <v>834261.5942307692</v>
      </c>
      <c r="H3" s="354">
        <f>SUM(H4:H127)</f>
        <v>2484263.4882814093</v>
      </c>
      <c r="I3" s="354">
        <f>SUM(I4:I127)</f>
        <v>3318525.0825121775</v>
      </c>
      <c r="J3" s="355"/>
    </row>
    <row r="4" spans="1:11" s="363" customFormat="1" x14ac:dyDescent="0.25">
      <c r="A4" s="356" t="s">
        <v>556</v>
      </c>
      <c r="B4" s="357" t="s">
        <v>557</v>
      </c>
      <c r="C4" s="358" t="s">
        <v>74</v>
      </c>
      <c r="D4" s="358">
        <v>556</v>
      </c>
      <c r="E4" s="94">
        <v>600</v>
      </c>
      <c r="F4" s="94"/>
      <c r="G4" s="359">
        <f>D4*E4</f>
        <v>333600</v>
      </c>
      <c r="H4" s="359">
        <f>D4*F4</f>
        <v>0</v>
      </c>
      <c r="I4" s="360">
        <f>G4+H4</f>
        <v>333600</v>
      </c>
      <c r="J4" s="361"/>
      <c r="K4" s="362"/>
    </row>
    <row r="5" spans="1:11" x14ac:dyDescent="0.25">
      <c r="A5" s="364" t="s">
        <v>558</v>
      </c>
      <c r="B5" s="365" t="s">
        <v>552</v>
      </c>
      <c r="C5" s="366" t="s">
        <v>74</v>
      </c>
      <c r="D5" s="366">
        <f>D4*1.2</f>
        <v>667.19999999999993</v>
      </c>
      <c r="E5" s="98"/>
      <c r="F5" s="98">
        <v>48</v>
      </c>
      <c r="G5" s="359">
        <f t="shared" ref="G5:G68" si="0">D5*E5</f>
        <v>0</v>
      </c>
      <c r="H5" s="359">
        <f t="shared" ref="H5:H68" si="1">D5*F5</f>
        <v>32025.599999999999</v>
      </c>
      <c r="I5" s="360">
        <f t="shared" ref="I5:I68" si="2">G5+H5</f>
        <v>32025.599999999999</v>
      </c>
      <c r="J5" s="361"/>
    </row>
    <row r="6" spans="1:11" x14ac:dyDescent="0.25">
      <c r="A6" s="364" t="s">
        <v>559</v>
      </c>
      <c r="B6" s="365" t="s">
        <v>560</v>
      </c>
      <c r="C6" s="366" t="s">
        <v>34</v>
      </c>
      <c r="D6" s="366">
        <f>D4*0.1*1.04</f>
        <v>57.824000000000005</v>
      </c>
      <c r="E6" s="98"/>
      <c r="F6" s="98">
        <v>4867.88</v>
      </c>
      <c r="G6" s="359">
        <f t="shared" si="0"/>
        <v>0</v>
      </c>
      <c r="H6" s="359">
        <f t="shared" si="1"/>
        <v>281480.29312000005</v>
      </c>
      <c r="I6" s="360">
        <f t="shared" si="2"/>
        <v>281480.29312000005</v>
      </c>
      <c r="J6" s="361"/>
    </row>
    <row r="7" spans="1:11" x14ac:dyDescent="0.25">
      <c r="A7" s="364" t="s">
        <v>561</v>
      </c>
      <c r="B7" s="365" t="s">
        <v>562</v>
      </c>
      <c r="C7" s="366" t="s">
        <v>34</v>
      </c>
      <c r="D7" s="366">
        <f>D4*1.04*0.05</f>
        <v>28.912000000000003</v>
      </c>
      <c r="E7" s="98"/>
      <c r="F7" s="98">
        <v>4476.7700000000004</v>
      </c>
      <c r="G7" s="359">
        <f t="shared" si="0"/>
        <v>0</v>
      </c>
      <c r="H7" s="359">
        <f t="shared" si="1"/>
        <v>129432.37424000002</v>
      </c>
      <c r="I7" s="360">
        <f t="shared" si="2"/>
        <v>129432.37424000002</v>
      </c>
      <c r="J7" s="361"/>
    </row>
    <row r="8" spans="1:11" x14ac:dyDescent="0.25">
      <c r="A8" s="364" t="s">
        <v>563</v>
      </c>
      <c r="B8" s="365" t="s">
        <v>564</v>
      </c>
      <c r="C8" s="366" t="s">
        <v>34</v>
      </c>
      <c r="D8" s="366">
        <f>D4*1.04*0.05</f>
        <v>28.912000000000003</v>
      </c>
      <c r="E8" s="98"/>
      <c r="F8" s="98">
        <v>6500</v>
      </c>
      <c r="G8" s="359">
        <f t="shared" si="0"/>
        <v>0</v>
      </c>
      <c r="H8" s="359">
        <f t="shared" si="1"/>
        <v>187928.00000000003</v>
      </c>
      <c r="I8" s="360">
        <f t="shared" si="2"/>
        <v>187928.00000000003</v>
      </c>
      <c r="J8" s="361"/>
    </row>
    <row r="9" spans="1:11" x14ac:dyDescent="0.25">
      <c r="A9" s="364" t="s">
        <v>565</v>
      </c>
      <c r="B9" s="365" t="s">
        <v>566</v>
      </c>
      <c r="C9" s="366" t="s">
        <v>74</v>
      </c>
      <c r="D9" s="366">
        <f>D4*2*1.1</f>
        <v>1223.2</v>
      </c>
      <c r="E9" s="98"/>
      <c r="F9" s="98">
        <v>283.5</v>
      </c>
      <c r="G9" s="359">
        <f t="shared" si="0"/>
        <v>0</v>
      </c>
      <c r="H9" s="359">
        <f t="shared" si="1"/>
        <v>346777.2</v>
      </c>
      <c r="I9" s="360">
        <f t="shared" si="2"/>
        <v>346777.2</v>
      </c>
      <c r="J9" s="361"/>
    </row>
    <row r="10" spans="1:11" x14ac:dyDescent="0.25">
      <c r="A10" s="364" t="s">
        <v>567</v>
      </c>
      <c r="B10" s="365" t="s">
        <v>568</v>
      </c>
      <c r="C10" s="366" t="s">
        <v>311</v>
      </c>
      <c r="D10" s="366">
        <f>D9*2/3.3</f>
        <v>741.33333333333337</v>
      </c>
      <c r="E10" s="98"/>
      <c r="F10" s="98">
        <v>108.35</v>
      </c>
      <c r="G10" s="359">
        <f t="shared" si="0"/>
        <v>0</v>
      </c>
      <c r="H10" s="359">
        <f t="shared" si="1"/>
        <v>80323.46666666666</v>
      </c>
      <c r="I10" s="360">
        <f t="shared" si="2"/>
        <v>80323.46666666666</v>
      </c>
      <c r="J10" s="361"/>
    </row>
    <row r="11" spans="1:11" x14ac:dyDescent="0.25">
      <c r="A11" s="364" t="s">
        <v>569</v>
      </c>
      <c r="B11" s="365" t="s">
        <v>570</v>
      </c>
      <c r="C11" s="366" t="s">
        <v>74</v>
      </c>
      <c r="D11" s="366">
        <f>D4*1.2</f>
        <v>667.19999999999993</v>
      </c>
      <c r="E11" s="98"/>
      <c r="F11" s="98">
        <v>209.96</v>
      </c>
      <c r="G11" s="359">
        <f t="shared" si="0"/>
        <v>0</v>
      </c>
      <c r="H11" s="359">
        <f t="shared" si="1"/>
        <v>140085.31200000001</v>
      </c>
      <c r="I11" s="360">
        <f t="shared" si="2"/>
        <v>140085.31200000001</v>
      </c>
      <c r="J11" s="361"/>
    </row>
    <row r="12" spans="1:11" x14ac:dyDescent="0.25">
      <c r="A12" s="364" t="s">
        <v>571</v>
      </c>
      <c r="B12" s="365" t="s">
        <v>572</v>
      </c>
      <c r="C12" s="366" t="s">
        <v>74</v>
      </c>
      <c r="D12" s="366">
        <f>D4*1.18</f>
        <v>656.07999999999993</v>
      </c>
      <c r="E12" s="98"/>
      <c r="F12" s="98">
        <v>224.25</v>
      </c>
      <c r="G12" s="359">
        <f t="shared" si="0"/>
        <v>0</v>
      </c>
      <c r="H12" s="359">
        <f t="shared" si="1"/>
        <v>147125.93999999997</v>
      </c>
      <c r="I12" s="360">
        <f t="shared" si="2"/>
        <v>147125.93999999997</v>
      </c>
      <c r="J12" s="361"/>
    </row>
    <row r="13" spans="1:11" s="363" customFormat="1" x14ac:dyDescent="0.25">
      <c r="A13" s="356" t="s">
        <v>573</v>
      </c>
      <c r="B13" s="357" t="s">
        <v>574</v>
      </c>
      <c r="C13" s="358" t="s">
        <v>318</v>
      </c>
      <c r="D13" s="358">
        <v>117</v>
      </c>
      <c r="E13" s="94">
        <v>450</v>
      </c>
      <c r="F13" s="94"/>
      <c r="G13" s="359">
        <f t="shared" si="0"/>
        <v>52650</v>
      </c>
      <c r="H13" s="359">
        <f t="shared" si="1"/>
        <v>0</v>
      </c>
      <c r="I13" s="360">
        <f t="shared" si="2"/>
        <v>52650</v>
      </c>
      <c r="J13" s="361"/>
    </row>
    <row r="14" spans="1:11" x14ac:dyDescent="0.25">
      <c r="A14" s="364" t="s">
        <v>575</v>
      </c>
      <c r="B14" s="365" t="s">
        <v>576</v>
      </c>
      <c r="C14" s="366" t="s">
        <v>34</v>
      </c>
      <c r="D14" s="366">
        <f>D13*1*1.04*0.1</f>
        <v>12.168000000000001</v>
      </c>
      <c r="E14" s="97"/>
      <c r="F14" s="97">
        <v>3650</v>
      </c>
      <c r="G14" s="359">
        <f t="shared" si="0"/>
        <v>0</v>
      </c>
      <c r="H14" s="359">
        <f t="shared" si="1"/>
        <v>44413.200000000004</v>
      </c>
      <c r="I14" s="360">
        <f t="shared" si="2"/>
        <v>44413.200000000004</v>
      </c>
      <c r="J14" s="361"/>
    </row>
    <row r="15" spans="1:11" x14ac:dyDescent="0.25">
      <c r="A15" s="364" t="s">
        <v>577</v>
      </c>
      <c r="B15" s="365" t="s">
        <v>578</v>
      </c>
      <c r="C15" s="366" t="s">
        <v>74</v>
      </c>
      <c r="D15" s="366">
        <f>D13*1.1*1.8</f>
        <v>231.66000000000003</v>
      </c>
      <c r="E15" s="97">
        <v>70</v>
      </c>
      <c r="F15" s="97">
        <v>248.61</v>
      </c>
      <c r="G15" s="359">
        <f t="shared" si="0"/>
        <v>16216.200000000003</v>
      </c>
      <c r="H15" s="359">
        <f t="shared" si="1"/>
        <v>57592.992600000012</v>
      </c>
      <c r="I15" s="360">
        <f t="shared" si="2"/>
        <v>73809.192600000009</v>
      </c>
      <c r="J15" s="361"/>
    </row>
    <row r="16" spans="1:11" x14ac:dyDescent="0.25">
      <c r="A16" s="364" t="s">
        <v>579</v>
      </c>
      <c r="B16" s="365" t="s">
        <v>580</v>
      </c>
      <c r="C16" s="366" t="s">
        <v>311</v>
      </c>
      <c r="D16" s="366">
        <f>D15/3.3</f>
        <v>70.200000000000017</v>
      </c>
      <c r="E16" s="97"/>
      <c r="F16" s="97">
        <v>108.35</v>
      </c>
      <c r="G16" s="359">
        <f t="shared" si="0"/>
        <v>0</v>
      </c>
      <c r="H16" s="359">
        <f t="shared" si="1"/>
        <v>7606.1700000000019</v>
      </c>
      <c r="I16" s="360">
        <f t="shared" si="2"/>
        <v>7606.1700000000019</v>
      </c>
      <c r="J16" s="361"/>
    </row>
    <row r="17" spans="1:10" x14ac:dyDescent="0.25">
      <c r="A17" s="364" t="s">
        <v>581</v>
      </c>
      <c r="B17" s="365" t="s">
        <v>582</v>
      </c>
      <c r="C17" s="366" t="s">
        <v>74</v>
      </c>
      <c r="D17" s="366">
        <f>D13*1.1*1.15</f>
        <v>148.005</v>
      </c>
      <c r="E17" s="97">
        <v>150</v>
      </c>
      <c r="F17" s="97">
        <v>470</v>
      </c>
      <c r="G17" s="359">
        <f t="shared" si="0"/>
        <v>22200.75</v>
      </c>
      <c r="H17" s="359">
        <f t="shared" si="1"/>
        <v>69562.349999999991</v>
      </c>
      <c r="I17" s="360">
        <f t="shared" si="2"/>
        <v>91763.099999999991</v>
      </c>
      <c r="J17" s="361"/>
    </row>
    <row r="18" spans="1:10" x14ac:dyDescent="0.25">
      <c r="A18" s="364" t="s">
        <v>583</v>
      </c>
      <c r="B18" s="365" t="s">
        <v>584</v>
      </c>
      <c r="C18" s="366" t="s">
        <v>44</v>
      </c>
      <c r="D18" s="367">
        <f>D13/0.6+1</f>
        <v>196</v>
      </c>
      <c r="E18" s="97"/>
      <c r="F18" s="97">
        <v>50</v>
      </c>
      <c r="G18" s="359">
        <f t="shared" si="0"/>
        <v>0</v>
      </c>
      <c r="H18" s="359">
        <f t="shared" si="1"/>
        <v>9800</v>
      </c>
      <c r="I18" s="360">
        <f t="shared" si="2"/>
        <v>9800</v>
      </c>
      <c r="J18" s="361"/>
    </row>
    <row r="19" spans="1:10" x14ac:dyDescent="0.25">
      <c r="A19" s="364" t="s">
        <v>585</v>
      </c>
      <c r="B19" s="365" t="s">
        <v>570</v>
      </c>
      <c r="C19" s="366" t="s">
        <v>74</v>
      </c>
      <c r="D19" s="366">
        <f>1.9*D13*1.15</f>
        <v>255.64499999999995</v>
      </c>
      <c r="E19" s="97"/>
      <c r="F19" s="97">
        <v>151.63999999999999</v>
      </c>
      <c r="G19" s="359">
        <f t="shared" si="0"/>
        <v>0</v>
      </c>
      <c r="H19" s="359">
        <f t="shared" si="1"/>
        <v>38766.007799999992</v>
      </c>
      <c r="I19" s="360">
        <f t="shared" si="2"/>
        <v>38766.007799999992</v>
      </c>
      <c r="J19" s="361"/>
    </row>
    <row r="20" spans="1:10" x14ac:dyDescent="0.25">
      <c r="A20" s="364" t="s">
        <v>586</v>
      </c>
      <c r="B20" s="365" t="s">
        <v>572</v>
      </c>
      <c r="C20" s="366" t="s">
        <v>74</v>
      </c>
      <c r="D20" s="366">
        <f>1.9*D13*1.15+0.2*D13*1.15</f>
        <v>282.55499999999995</v>
      </c>
      <c r="E20" s="97"/>
      <c r="F20" s="97">
        <v>224.25</v>
      </c>
      <c r="G20" s="359">
        <f t="shared" si="0"/>
        <v>0</v>
      </c>
      <c r="H20" s="359">
        <f t="shared" si="1"/>
        <v>63362.958749999991</v>
      </c>
      <c r="I20" s="360">
        <f t="shared" si="2"/>
        <v>63362.958749999991</v>
      </c>
      <c r="J20" s="361"/>
    </row>
    <row r="21" spans="1:10" s="363" customFormat="1" x14ac:dyDescent="0.25">
      <c r="A21" s="356" t="s">
        <v>587</v>
      </c>
      <c r="B21" s="357" t="s">
        <v>588</v>
      </c>
      <c r="C21" s="358" t="s">
        <v>74</v>
      </c>
      <c r="D21" s="368">
        <v>18</v>
      </c>
      <c r="E21" s="93">
        <v>1500</v>
      </c>
      <c r="F21" s="93"/>
      <c r="G21" s="359">
        <f t="shared" si="0"/>
        <v>27000</v>
      </c>
      <c r="H21" s="359">
        <f t="shared" si="1"/>
        <v>0</v>
      </c>
      <c r="I21" s="360">
        <f t="shared" si="2"/>
        <v>27000</v>
      </c>
      <c r="J21" s="361"/>
    </row>
    <row r="22" spans="1:10" x14ac:dyDescent="0.25">
      <c r="A22" s="364" t="s">
        <v>589</v>
      </c>
      <c r="B22" s="365" t="s">
        <v>552</v>
      </c>
      <c r="C22" s="366" t="s">
        <v>74</v>
      </c>
      <c r="D22" s="366">
        <f>D21*1.15</f>
        <v>20.7</v>
      </c>
      <c r="E22" s="97"/>
      <c r="F22" s="97">
        <v>48</v>
      </c>
      <c r="G22" s="359">
        <f t="shared" si="0"/>
        <v>0</v>
      </c>
      <c r="H22" s="359">
        <f t="shared" si="1"/>
        <v>993.59999999999991</v>
      </c>
      <c r="I22" s="360">
        <f t="shared" si="2"/>
        <v>993.59999999999991</v>
      </c>
      <c r="J22" s="361"/>
    </row>
    <row r="23" spans="1:10" x14ac:dyDescent="0.25">
      <c r="A23" s="364" t="s">
        <v>590</v>
      </c>
      <c r="B23" s="365" t="s">
        <v>591</v>
      </c>
      <c r="C23" s="366" t="s">
        <v>34</v>
      </c>
      <c r="D23" s="366">
        <f>D21*0.02</f>
        <v>0.36</v>
      </c>
      <c r="E23" s="97"/>
      <c r="F23" s="97">
        <v>3255</v>
      </c>
      <c r="G23" s="359">
        <f t="shared" si="0"/>
        <v>0</v>
      </c>
      <c r="H23" s="359">
        <f t="shared" si="1"/>
        <v>1171.8</v>
      </c>
      <c r="I23" s="360">
        <f t="shared" si="2"/>
        <v>1171.8</v>
      </c>
      <c r="J23" s="361"/>
    </row>
    <row r="24" spans="1:10" x14ac:dyDescent="0.25">
      <c r="A24" s="364" t="s">
        <v>592</v>
      </c>
      <c r="B24" s="365" t="s">
        <v>593</v>
      </c>
      <c r="C24" s="366" t="s">
        <v>34</v>
      </c>
      <c r="D24" s="366">
        <f>D21*1.6*0.2</f>
        <v>5.7600000000000007</v>
      </c>
      <c r="E24" s="98"/>
      <c r="F24" s="98">
        <v>4990</v>
      </c>
      <c r="G24" s="359">
        <f t="shared" si="0"/>
        <v>0</v>
      </c>
      <c r="H24" s="359">
        <f t="shared" si="1"/>
        <v>28742.400000000005</v>
      </c>
      <c r="I24" s="360">
        <f t="shared" si="2"/>
        <v>28742.400000000005</v>
      </c>
      <c r="J24" s="361"/>
    </row>
    <row r="25" spans="1:10" x14ac:dyDescent="0.25">
      <c r="A25" s="364" t="s">
        <v>594</v>
      </c>
      <c r="B25" s="365" t="s">
        <v>566</v>
      </c>
      <c r="C25" s="366" t="s">
        <v>74</v>
      </c>
      <c r="D25" s="366">
        <f>D21*2*1.1</f>
        <v>39.6</v>
      </c>
      <c r="E25" s="98">
        <v>70</v>
      </c>
      <c r="F25" s="98">
        <v>283.5</v>
      </c>
      <c r="G25" s="359">
        <f t="shared" si="0"/>
        <v>2772</v>
      </c>
      <c r="H25" s="359">
        <f t="shared" si="1"/>
        <v>11226.6</v>
      </c>
      <c r="I25" s="360">
        <f t="shared" si="2"/>
        <v>13998.6</v>
      </c>
      <c r="J25" s="361"/>
    </row>
    <row r="26" spans="1:10" x14ac:dyDescent="0.25">
      <c r="A26" s="364" t="s">
        <v>595</v>
      </c>
      <c r="B26" s="365" t="s">
        <v>568</v>
      </c>
      <c r="C26" s="366" t="s">
        <v>311</v>
      </c>
      <c r="D26" s="366">
        <f>D25*2/3.3</f>
        <v>24.000000000000004</v>
      </c>
      <c r="E26" s="98"/>
      <c r="F26" s="98">
        <v>108.35</v>
      </c>
      <c r="G26" s="359">
        <f t="shared" si="0"/>
        <v>0</v>
      </c>
      <c r="H26" s="359">
        <f t="shared" si="1"/>
        <v>2600.4</v>
      </c>
      <c r="I26" s="360">
        <f t="shared" si="2"/>
        <v>2600.4</v>
      </c>
      <c r="J26" s="361"/>
    </row>
    <row r="27" spans="1:10" x14ac:dyDescent="0.25">
      <c r="A27" s="364" t="s">
        <v>596</v>
      </c>
      <c r="B27" s="365" t="s">
        <v>597</v>
      </c>
      <c r="C27" s="366" t="s">
        <v>74</v>
      </c>
      <c r="D27" s="366">
        <f>D21*1.4</f>
        <v>25.2</v>
      </c>
      <c r="E27" s="98"/>
      <c r="F27" s="98">
        <v>151.63999999999999</v>
      </c>
      <c r="G27" s="359">
        <f t="shared" si="0"/>
        <v>0</v>
      </c>
      <c r="H27" s="359">
        <f t="shared" si="1"/>
        <v>3821.3279999999995</v>
      </c>
      <c r="I27" s="360">
        <f t="shared" si="2"/>
        <v>3821.3279999999995</v>
      </c>
      <c r="J27" s="361"/>
    </row>
    <row r="28" spans="1:10" x14ac:dyDescent="0.25">
      <c r="A28" s="364" t="s">
        <v>598</v>
      </c>
      <c r="B28" s="365" t="s">
        <v>599</v>
      </c>
      <c r="C28" s="366" t="s">
        <v>74</v>
      </c>
      <c r="D28" s="366">
        <f>D21*1.4</f>
        <v>25.2</v>
      </c>
      <c r="E28" s="98"/>
      <c r="F28" s="98">
        <v>223.12</v>
      </c>
      <c r="G28" s="359">
        <f t="shared" si="0"/>
        <v>0</v>
      </c>
      <c r="H28" s="359">
        <f t="shared" si="1"/>
        <v>5622.6239999999998</v>
      </c>
      <c r="I28" s="360">
        <f t="shared" si="2"/>
        <v>5622.6239999999998</v>
      </c>
      <c r="J28" s="361"/>
    </row>
    <row r="29" spans="1:10" x14ac:dyDescent="0.25">
      <c r="A29" s="364" t="s">
        <v>600</v>
      </c>
      <c r="B29" s="365" t="s">
        <v>572</v>
      </c>
      <c r="C29" s="366" t="s">
        <v>74</v>
      </c>
      <c r="D29" s="366">
        <f>D21*1.5</f>
        <v>27</v>
      </c>
      <c r="E29" s="98"/>
      <c r="F29" s="98">
        <v>224.25</v>
      </c>
      <c r="G29" s="359">
        <f t="shared" si="0"/>
        <v>0</v>
      </c>
      <c r="H29" s="359">
        <f t="shared" si="1"/>
        <v>6054.75</v>
      </c>
      <c r="I29" s="360">
        <f t="shared" si="2"/>
        <v>6054.75</v>
      </c>
      <c r="J29" s="361"/>
    </row>
    <row r="30" spans="1:10" x14ac:dyDescent="0.25">
      <c r="A30" s="364" t="s">
        <v>601</v>
      </c>
      <c r="B30" s="365" t="s">
        <v>602</v>
      </c>
      <c r="C30" s="366" t="s">
        <v>44</v>
      </c>
      <c r="D30" s="367">
        <f>D29/0.6+1</f>
        <v>46</v>
      </c>
      <c r="E30" s="98"/>
      <c r="F30" s="98">
        <v>125</v>
      </c>
      <c r="G30" s="359">
        <f t="shared" si="0"/>
        <v>0</v>
      </c>
      <c r="H30" s="359">
        <f t="shared" si="1"/>
        <v>5750</v>
      </c>
      <c r="I30" s="360">
        <f t="shared" si="2"/>
        <v>5750</v>
      </c>
      <c r="J30" s="361"/>
    </row>
    <row r="31" spans="1:10" x14ac:dyDescent="0.25">
      <c r="A31" s="364" t="s">
        <v>603</v>
      </c>
      <c r="B31" s="365" t="s">
        <v>1125</v>
      </c>
      <c r="C31" s="366" t="s">
        <v>44</v>
      </c>
      <c r="D31" s="369">
        <v>140</v>
      </c>
      <c r="E31" s="98"/>
      <c r="F31" s="98">
        <v>13.8</v>
      </c>
      <c r="G31" s="359">
        <f t="shared" si="0"/>
        <v>0</v>
      </c>
      <c r="H31" s="359">
        <f t="shared" si="1"/>
        <v>1932</v>
      </c>
      <c r="I31" s="360">
        <f t="shared" si="2"/>
        <v>1932</v>
      </c>
      <c r="J31" s="361"/>
    </row>
    <row r="32" spans="1:10" x14ac:dyDescent="0.25">
      <c r="A32" s="364" t="s">
        <v>604</v>
      </c>
      <c r="B32" s="365" t="s">
        <v>605</v>
      </c>
      <c r="C32" s="366" t="s">
        <v>606</v>
      </c>
      <c r="D32" s="369">
        <v>18</v>
      </c>
      <c r="E32" s="98">
        <v>100</v>
      </c>
      <c r="F32" s="98">
        <v>120</v>
      </c>
      <c r="G32" s="359">
        <f t="shared" si="0"/>
        <v>1800</v>
      </c>
      <c r="H32" s="359">
        <f t="shared" si="1"/>
        <v>2160</v>
      </c>
      <c r="I32" s="360">
        <f t="shared" si="2"/>
        <v>3960</v>
      </c>
      <c r="J32" s="361"/>
    </row>
    <row r="33" spans="1:10" x14ac:dyDescent="0.25">
      <c r="A33" s="364" t="s">
        <v>607</v>
      </c>
      <c r="B33" s="365" t="s">
        <v>608</v>
      </c>
      <c r="C33" s="366" t="s">
        <v>606</v>
      </c>
      <c r="D33" s="369">
        <f>D32*2</f>
        <v>36</v>
      </c>
      <c r="E33" s="98">
        <v>100</v>
      </c>
      <c r="F33" s="98">
        <v>47</v>
      </c>
      <c r="G33" s="359">
        <f t="shared" si="0"/>
        <v>3600</v>
      </c>
      <c r="H33" s="359">
        <f t="shared" si="1"/>
        <v>1692</v>
      </c>
      <c r="I33" s="360">
        <f t="shared" si="2"/>
        <v>5292</v>
      </c>
      <c r="J33" s="361"/>
    </row>
    <row r="34" spans="1:10" x14ac:dyDescent="0.25">
      <c r="A34" s="364" t="s">
        <v>609</v>
      </c>
      <c r="B34" s="365" t="s">
        <v>1140</v>
      </c>
      <c r="C34" s="366" t="s">
        <v>44</v>
      </c>
      <c r="D34" s="369">
        <v>15</v>
      </c>
      <c r="E34" s="98"/>
      <c r="F34" s="98">
        <v>350</v>
      </c>
      <c r="G34" s="359">
        <f t="shared" si="0"/>
        <v>0</v>
      </c>
      <c r="H34" s="359">
        <f t="shared" si="1"/>
        <v>5250</v>
      </c>
      <c r="I34" s="360">
        <f t="shared" si="2"/>
        <v>5250</v>
      </c>
      <c r="J34" s="361"/>
    </row>
    <row r="35" spans="1:10" s="363" customFormat="1" x14ac:dyDescent="0.25">
      <c r="A35" s="356" t="s">
        <v>611</v>
      </c>
      <c r="B35" s="357" t="s">
        <v>612</v>
      </c>
      <c r="C35" s="358" t="s">
        <v>74</v>
      </c>
      <c r="D35" s="358">
        <v>32</v>
      </c>
      <c r="E35" s="94">
        <v>1200</v>
      </c>
      <c r="F35" s="94"/>
      <c r="G35" s="359">
        <f t="shared" si="0"/>
        <v>38400</v>
      </c>
      <c r="H35" s="359">
        <f t="shared" si="1"/>
        <v>0</v>
      </c>
      <c r="I35" s="360">
        <f t="shared" si="2"/>
        <v>38400</v>
      </c>
      <c r="J35" s="361"/>
    </row>
    <row r="36" spans="1:10" x14ac:dyDescent="0.25">
      <c r="A36" s="364" t="s">
        <v>613</v>
      </c>
      <c r="B36" s="365" t="s">
        <v>552</v>
      </c>
      <c r="C36" s="366" t="s">
        <v>74</v>
      </c>
      <c r="D36" s="366">
        <f>D35*1.15</f>
        <v>36.799999999999997</v>
      </c>
      <c r="E36" s="98"/>
      <c r="F36" s="98">
        <v>48</v>
      </c>
      <c r="G36" s="359">
        <f t="shared" si="0"/>
        <v>0</v>
      </c>
      <c r="H36" s="359">
        <f t="shared" si="1"/>
        <v>1766.3999999999999</v>
      </c>
      <c r="I36" s="360">
        <f t="shared" si="2"/>
        <v>1766.3999999999999</v>
      </c>
      <c r="J36" s="361"/>
    </row>
    <row r="37" spans="1:10" x14ac:dyDescent="0.25">
      <c r="A37" s="364" t="s">
        <v>614</v>
      </c>
      <c r="B37" s="365" t="s">
        <v>615</v>
      </c>
      <c r="C37" s="366" t="s">
        <v>34</v>
      </c>
      <c r="D37" s="366">
        <f>D35*0.02</f>
        <v>0.64</v>
      </c>
      <c r="E37" s="98"/>
      <c r="F37" s="98">
        <v>3255</v>
      </c>
      <c r="G37" s="359">
        <f t="shared" si="0"/>
        <v>0</v>
      </c>
      <c r="H37" s="359">
        <f t="shared" si="1"/>
        <v>2083.1999999999998</v>
      </c>
      <c r="I37" s="360">
        <f t="shared" si="2"/>
        <v>2083.1999999999998</v>
      </c>
      <c r="J37" s="361"/>
    </row>
    <row r="38" spans="1:10" x14ac:dyDescent="0.25">
      <c r="A38" s="364" t="s">
        <v>616</v>
      </c>
      <c r="B38" s="365" t="s">
        <v>617</v>
      </c>
      <c r="C38" s="366" t="s">
        <v>74</v>
      </c>
      <c r="D38" s="366">
        <f>D35*1.4</f>
        <v>44.8</v>
      </c>
      <c r="E38" s="98"/>
      <c r="F38" s="98">
        <v>154</v>
      </c>
      <c r="G38" s="359">
        <f t="shared" si="0"/>
        <v>0</v>
      </c>
      <c r="H38" s="359">
        <f t="shared" si="1"/>
        <v>6899.2</v>
      </c>
      <c r="I38" s="360">
        <f t="shared" si="2"/>
        <v>6899.2</v>
      </c>
      <c r="J38" s="361"/>
    </row>
    <row r="39" spans="1:10" x14ac:dyDescent="0.25">
      <c r="A39" s="364" t="s">
        <v>618</v>
      </c>
      <c r="B39" s="365" t="s">
        <v>572</v>
      </c>
      <c r="C39" s="366" t="s">
        <v>74</v>
      </c>
      <c r="D39" s="366">
        <f>D35*1.5</f>
        <v>48</v>
      </c>
      <c r="E39" s="97"/>
      <c r="F39" s="97">
        <v>174.6</v>
      </c>
      <c r="G39" s="359">
        <f t="shared" si="0"/>
        <v>0</v>
      </c>
      <c r="H39" s="359">
        <f t="shared" si="1"/>
        <v>8380.7999999999993</v>
      </c>
      <c r="I39" s="360">
        <f t="shared" si="2"/>
        <v>8380.7999999999993</v>
      </c>
      <c r="J39" s="361"/>
    </row>
    <row r="40" spans="1:10" x14ac:dyDescent="0.25">
      <c r="A40" s="364" t="s">
        <v>619</v>
      </c>
      <c r="B40" s="365" t="s">
        <v>605</v>
      </c>
      <c r="C40" s="366" t="s">
        <v>606</v>
      </c>
      <c r="D40" s="369">
        <v>32</v>
      </c>
      <c r="E40" s="97">
        <v>100</v>
      </c>
      <c r="F40" s="97">
        <v>94</v>
      </c>
      <c r="G40" s="359">
        <f t="shared" si="0"/>
        <v>3200</v>
      </c>
      <c r="H40" s="359">
        <f t="shared" si="1"/>
        <v>3008</v>
      </c>
      <c r="I40" s="360">
        <f t="shared" si="2"/>
        <v>6208</v>
      </c>
      <c r="J40" s="361"/>
    </row>
    <row r="41" spans="1:10" x14ac:dyDescent="0.25">
      <c r="A41" s="364" t="s">
        <v>620</v>
      </c>
      <c r="B41" s="365" t="s">
        <v>610</v>
      </c>
      <c r="C41" s="366" t="s">
        <v>44</v>
      </c>
      <c r="D41" s="369">
        <v>20</v>
      </c>
      <c r="E41" s="97"/>
      <c r="F41" s="97">
        <v>350</v>
      </c>
      <c r="G41" s="359">
        <f t="shared" si="0"/>
        <v>0</v>
      </c>
      <c r="H41" s="359">
        <f t="shared" si="1"/>
        <v>7000</v>
      </c>
      <c r="I41" s="360">
        <f t="shared" si="2"/>
        <v>7000</v>
      </c>
      <c r="J41" s="361"/>
    </row>
    <row r="42" spans="1:10" x14ac:dyDescent="0.25">
      <c r="A42" s="364" t="s">
        <v>621</v>
      </c>
      <c r="B42" s="365" t="s">
        <v>622</v>
      </c>
      <c r="C42" s="366" t="s">
        <v>34</v>
      </c>
      <c r="D42" s="366">
        <f>D40*0.6*0.1</f>
        <v>1.92</v>
      </c>
      <c r="E42" s="97"/>
      <c r="F42" s="97">
        <v>4990</v>
      </c>
      <c r="G42" s="359">
        <f t="shared" si="0"/>
        <v>0</v>
      </c>
      <c r="H42" s="359">
        <f t="shared" si="1"/>
        <v>9580.7999999999993</v>
      </c>
      <c r="I42" s="360">
        <f t="shared" si="2"/>
        <v>9580.7999999999993</v>
      </c>
      <c r="J42" s="361"/>
    </row>
    <row r="43" spans="1:10" s="363" customFormat="1" x14ac:dyDescent="0.25">
      <c r="A43" s="356" t="s">
        <v>623</v>
      </c>
      <c r="B43" s="357" t="s">
        <v>624</v>
      </c>
      <c r="C43" s="358" t="s">
        <v>74</v>
      </c>
      <c r="D43" s="358">
        <f>16.95+49.89</f>
        <v>66.84</v>
      </c>
      <c r="E43" s="93">
        <v>600</v>
      </c>
      <c r="F43" s="93"/>
      <c r="G43" s="359">
        <f t="shared" si="0"/>
        <v>40104</v>
      </c>
      <c r="H43" s="359">
        <f t="shared" si="1"/>
        <v>0</v>
      </c>
      <c r="I43" s="360">
        <f t="shared" si="2"/>
        <v>40104</v>
      </c>
      <c r="J43" s="361"/>
    </row>
    <row r="44" spans="1:10" x14ac:dyDescent="0.25">
      <c r="A44" s="364" t="s">
        <v>625</v>
      </c>
      <c r="B44" s="365" t="s">
        <v>626</v>
      </c>
      <c r="C44" s="366" t="s">
        <v>74</v>
      </c>
      <c r="D44" s="366">
        <f>D43*1.2</f>
        <v>80.207999999999998</v>
      </c>
      <c r="E44" s="97"/>
      <c r="F44" s="97">
        <v>240</v>
      </c>
      <c r="G44" s="359">
        <f t="shared" si="0"/>
        <v>0</v>
      </c>
      <c r="H44" s="359">
        <f t="shared" si="1"/>
        <v>19249.919999999998</v>
      </c>
      <c r="I44" s="360">
        <f t="shared" si="2"/>
        <v>19249.919999999998</v>
      </c>
      <c r="J44" s="361"/>
    </row>
    <row r="45" spans="1:10" x14ac:dyDescent="0.25">
      <c r="A45" s="364" t="s">
        <v>627</v>
      </c>
      <c r="B45" s="365" t="s">
        <v>552</v>
      </c>
      <c r="C45" s="366" t="s">
        <v>74</v>
      </c>
      <c r="D45" s="366">
        <f>D43*1.15</f>
        <v>76.866</v>
      </c>
      <c r="E45" s="97"/>
      <c r="F45" s="97">
        <v>48</v>
      </c>
      <c r="G45" s="359">
        <f t="shared" si="0"/>
        <v>0</v>
      </c>
      <c r="H45" s="359">
        <f t="shared" si="1"/>
        <v>3689.5680000000002</v>
      </c>
      <c r="I45" s="360">
        <f t="shared" si="2"/>
        <v>3689.5680000000002</v>
      </c>
      <c r="J45" s="361"/>
    </row>
    <row r="46" spans="1:10" x14ac:dyDescent="0.25">
      <c r="A46" s="364" t="s">
        <v>628</v>
      </c>
      <c r="B46" s="365" t="s">
        <v>560</v>
      </c>
      <c r="C46" s="366" t="s">
        <v>34</v>
      </c>
      <c r="D46" s="366">
        <f>D43*0.1*1.04</f>
        <v>6.9513600000000011</v>
      </c>
      <c r="E46" s="97"/>
      <c r="F46" s="97">
        <v>4867.88</v>
      </c>
      <c r="G46" s="359">
        <f t="shared" si="0"/>
        <v>0</v>
      </c>
      <c r="H46" s="359">
        <f t="shared" si="1"/>
        <v>33838.386316800003</v>
      </c>
      <c r="I46" s="360">
        <f t="shared" si="2"/>
        <v>33838.386316800003</v>
      </c>
      <c r="J46" s="361"/>
    </row>
    <row r="47" spans="1:10" x14ac:dyDescent="0.25">
      <c r="A47" s="364" t="s">
        <v>629</v>
      </c>
      <c r="B47" s="365" t="s">
        <v>562</v>
      </c>
      <c r="C47" s="366" t="s">
        <v>34</v>
      </c>
      <c r="D47" s="366">
        <f>D43*1.04*0.05</f>
        <v>3.4756800000000005</v>
      </c>
      <c r="E47" s="97"/>
      <c r="F47" s="97">
        <v>4476.7700000000004</v>
      </c>
      <c r="G47" s="359">
        <f t="shared" si="0"/>
        <v>0</v>
      </c>
      <c r="H47" s="359">
        <f t="shared" si="1"/>
        <v>15559.819953600005</v>
      </c>
      <c r="I47" s="360">
        <f t="shared" si="2"/>
        <v>15559.819953600005</v>
      </c>
      <c r="J47" s="361"/>
    </row>
    <row r="48" spans="1:10" x14ac:dyDescent="0.25">
      <c r="A48" s="364" t="s">
        <v>630</v>
      </c>
      <c r="B48" s="365" t="s">
        <v>564</v>
      </c>
      <c r="C48" s="366" t="s">
        <v>34</v>
      </c>
      <c r="D48" s="366">
        <f>D43*1.04*0.05</f>
        <v>3.4756800000000005</v>
      </c>
      <c r="E48" s="97"/>
      <c r="F48" s="97">
        <v>6500</v>
      </c>
      <c r="G48" s="359">
        <f t="shared" si="0"/>
        <v>0</v>
      </c>
      <c r="H48" s="359">
        <f t="shared" si="1"/>
        <v>22591.920000000002</v>
      </c>
      <c r="I48" s="360">
        <f t="shared" si="2"/>
        <v>22591.920000000002</v>
      </c>
      <c r="J48" s="361"/>
    </row>
    <row r="49" spans="1:10" x14ac:dyDescent="0.25">
      <c r="A49" s="364" t="s">
        <v>631</v>
      </c>
      <c r="B49" s="365" t="s">
        <v>566</v>
      </c>
      <c r="C49" s="366" t="s">
        <v>74</v>
      </c>
      <c r="D49" s="366">
        <f>D43*2*1.1</f>
        <v>147.04800000000003</v>
      </c>
      <c r="E49" s="97"/>
      <c r="F49" s="97">
        <v>263</v>
      </c>
      <c r="G49" s="359">
        <f t="shared" si="0"/>
        <v>0</v>
      </c>
      <c r="H49" s="359">
        <f t="shared" si="1"/>
        <v>38673.624000000011</v>
      </c>
      <c r="I49" s="360">
        <f t="shared" si="2"/>
        <v>38673.624000000011</v>
      </c>
      <c r="J49" s="361"/>
    </row>
    <row r="50" spans="1:10" x14ac:dyDescent="0.25">
      <c r="A50" s="364" t="s">
        <v>632</v>
      </c>
      <c r="B50" s="365" t="s">
        <v>570</v>
      </c>
      <c r="C50" s="366" t="s">
        <v>74</v>
      </c>
      <c r="D50" s="366">
        <f>D43*1.2</f>
        <v>80.207999999999998</v>
      </c>
      <c r="E50" s="97"/>
      <c r="F50" s="97">
        <v>154</v>
      </c>
      <c r="G50" s="359">
        <f t="shared" si="0"/>
        <v>0</v>
      </c>
      <c r="H50" s="359">
        <f t="shared" si="1"/>
        <v>12352.031999999999</v>
      </c>
      <c r="I50" s="360">
        <f t="shared" si="2"/>
        <v>12352.031999999999</v>
      </c>
      <c r="J50" s="361"/>
    </row>
    <row r="51" spans="1:10" x14ac:dyDescent="0.25">
      <c r="A51" s="364" t="s">
        <v>633</v>
      </c>
      <c r="B51" s="365" t="s">
        <v>572</v>
      </c>
      <c r="C51" s="366" t="s">
        <v>74</v>
      </c>
      <c r="D51" s="366">
        <f>D43*1.18</f>
        <v>78.871200000000002</v>
      </c>
      <c r="E51" s="97"/>
      <c r="F51" s="97">
        <v>223.81</v>
      </c>
      <c r="G51" s="359">
        <f t="shared" si="0"/>
        <v>0</v>
      </c>
      <c r="H51" s="359">
        <f t="shared" si="1"/>
        <v>17652.163272000002</v>
      </c>
      <c r="I51" s="360">
        <f t="shared" si="2"/>
        <v>17652.163272000002</v>
      </c>
      <c r="J51" s="361"/>
    </row>
    <row r="52" spans="1:10" s="363" customFormat="1" x14ac:dyDescent="0.25">
      <c r="A52" s="356" t="s">
        <v>634</v>
      </c>
      <c r="B52" s="357" t="s">
        <v>635</v>
      </c>
      <c r="C52" s="358" t="s">
        <v>318</v>
      </c>
      <c r="D52" s="358">
        <v>44.9</v>
      </c>
      <c r="E52" s="93">
        <v>450</v>
      </c>
      <c r="F52" s="93"/>
      <c r="G52" s="359">
        <f t="shared" si="0"/>
        <v>20205</v>
      </c>
      <c r="H52" s="359">
        <f t="shared" si="1"/>
        <v>0</v>
      </c>
      <c r="I52" s="360">
        <f t="shared" si="2"/>
        <v>20205</v>
      </c>
      <c r="J52" s="361"/>
    </row>
    <row r="53" spans="1:10" x14ac:dyDescent="0.25">
      <c r="A53" s="364" t="s">
        <v>636</v>
      </c>
      <c r="B53" s="365" t="s">
        <v>570</v>
      </c>
      <c r="C53" s="366" t="s">
        <v>74</v>
      </c>
      <c r="D53" s="366">
        <f>1.5*1.2*D52</f>
        <v>80.819999999999993</v>
      </c>
      <c r="E53" s="97"/>
      <c r="F53" s="97">
        <v>154</v>
      </c>
      <c r="G53" s="359">
        <f t="shared" si="0"/>
        <v>0</v>
      </c>
      <c r="H53" s="359">
        <f t="shared" si="1"/>
        <v>12446.279999999999</v>
      </c>
      <c r="I53" s="360">
        <f t="shared" si="2"/>
        <v>12446.279999999999</v>
      </c>
      <c r="J53" s="361"/>
    </row>
    <row r="54" spans="1:10" x14ac:dyDescent="0.25">
      <c r="A54" s="364" t="s">
        <v>637</v>
      </c>
      <c r="B54" s="365" t="s">
        <v>572</v>
      </c>
      <c r="C54" s="366" t="s">
        <v>74</v>
      </c>
      <c r="D54" s="366">
        <f>D53</f>
        <v>80.819999999999993</v>
      </c>
      <c r="E54" s="97"/>
      <c r="F54" s="97">
        <v>223.81</v>
      </c>
      <c r="G54" s="359">
        <f t="shared" si="0"/>
        <v>0</v>
      </c>
      <c r="H54" s="359">
        <f t="shared" si="1"/>
        <v>18088.324199999999</v>
      </c>
      <c r="I54" s="360">
        <f t="shared" si="2"/>
        <v>18088.324199999999</v>
      </c>
      <c r="J54" s="361"/>
    </row>
    <row r="55" spans="1:10" x14ac:dyDescent="0.25">
      <c r="A55" s="364" t="s">
        <v>638</v>
      </c>
      <c r="B55" s="365" t="s">
        <v>639</v>
      </c>
      <c r="C55" s="366" t="s">
        <v>74</v>
      </c>
      <c r="D55" s="366">
        <f>D52*1.1*1.15</f>
        <v>56.798499999999997</v>
      </c>
      <c r="E55" s="97">
        <v>150</v>
      </c>
      <c r="F55" s="97">
        <v>470</v>
      </c>
      <c r="G55" s="359">
        <f t="shared" si="0"/>
        <v>8519.7749999999996</v>
      </c>
      <c r="H55" s="359">
        <f t="shared" si="1"/>
        <v>26695.294999999998</v>
      </c>
      <c r="I55" s="360">
        <f t="shared" si="2"/>
        <v>35215.07</v>
      </c>
      <c r="J55" s="361"/>
    </row>
    <row r="56" spans="1:10" x14ac:dyDescent="0.25">
      <c r="A56" s="364" t="s">
        <v>640</v>
      </c>
      <c r="B56" s="365" t="s">
        <v>584</v>
      </c>
      <c r="C56" s="366" t="s">
        <v>44</v>
      </c>
      <c r="D56" s="367">
        <f>D52/0.6+1</f>
        <v>75.833333333333329</v>
      </c>
      <c r="E56" s="97"/>
      <c r="F56" s="97">
        <v>50</v>
      </c>
      <c r="G56" s="359">
        <f t="shared" si="0"/>
        <v>0</v>
      </c>
      <c r="H56" s="359">
        <f t="shared" si="1"/>
        <v>3791.6666666666665</v>
      </c>
      <c r="I56" s="360">
        <f t="shared" si="2"/>
        <v>3791.6666666666665</v>
      </c>
      <c r="J56" s="361"/>
    </row>
    <row r="57" spans="1:10" s="363" customFormat="1" x14ac:dyDescent="0.25">
      <c r="A57" s="356" t="s">
        <v>641</v>
      </c>
      <c r="B57" s="357" t="s">
        <v>642</v>
      </c>
      <c r="C57" s="358" t="s">
        <v>318</v>
      </c>
      <c r="D57" s="358">
        <v>40</v>
      </c>
      <c r="E57" s="93">
        <v>450</v>
      </c>
      <c r="F57" s="93"/>
      <c r="G57" s="359">
        <f t="shared" si="0"/>
        <v>18000</v>
      </c>
      <c r="H57" s="359">
        <f t="shared" si="1"/>
        <v>0</v>
      </c>
      <c r="I57" s="360">
        <f t="shared" si="2"/>
        <v>18000</v>
      </c>
      <c r="J57" s="361"/>
    </row>
    <row r="58" spans="1:10" x14ac:dyDescent="0.25">
      <c r="A58" s="364" t="s">
        <v>643</v>
      </c>
      <c r="B58" s="365" t="s">
        <v>605</v>
      </c>
      <c r="C58" s="366" t="s">
        <v>606</v>
      </c>
      <c r="D58" s="367">
        <f>D57</f>
        <v>40</v>
      </c>
      <c r="E58" s="97"/>
      <c r="F58" s="97">
        <v>94</v>
      </c>
      <c r="G58" s="359">
        <f t="shared" si="0"/>
        <v>0</v>
      </c>
      <c r="H58" s="359">
        <f t="shared" si="1"/>
        <v>3760</v>
      </c>
      <c r="I58" s="360">
        <f t="shared" si="2"/>
        <v>3760</v>
      </c>
      <c r="J58" s="361"/>
    </row>
    <row r="59" spans="1:10" x14ac:dyDescent="0.25">
      <c r="A59" s="364" t="s">
        <v>644</v>
      </c>
      <c r="B59" s="365" t="s">
        <v>608</v>
      </c>
      <c r="C59" s="366" t="s">
        <v>606</v>
      </c>
      <c r="D59" s="366">
        <f>D57*2</f>
        <v>80</v>
      </c>
      <c r="E59" s="97"/>
      <c r="F59" s="97">
        <v>47</v>
      </c>
      <c r="G59" s="359">
        <f t="shared" si="0"/>
        <v>0</v>
      </c>
      <c r="H59" s="359">
        <f t="shared" si="1"/>
        <v>3760</v>
      </c>
      <c r="I59" s="360">
        <f t="shared" si="2"/>
        <v>3760</v>
      </c>
      <c r="J59" s="361"/>
    </row>
    <row r="60" spans="1:10" x14ac:dyDescent="0.25">
      <c r="A60" s="364" t="s">
        <v>645</v>
      </c>
      <c r="B60" s="365" t="s">
        <v>610</v>
      </c>
      <c r="C60" s="366" t="s">
        <v>44</v>
      </c>
      <c r="D60" s="366">
        <f>20</f>
        <v>20</v>
      </c>
      <c r="E60" s="97"/>
      <c r="F60" s="97">
        <v>350</v>
      </c>
      <c r="G60" s="359">
        <f t="shared" si="0"/>
        <v>0</v>
      </c>
      <c r="H60" s="359">
        <f t="shared" si="1"/>
        <v>7000</v>
      </c>
      <c r="I60" s="360">
        <f t="shared" si="2"/>
        <v>7000</v>
      </c>
      <c r="J60" s="361"/>
    </row>
    <row r="61" spans="1:10" x14ac:dyDescent="0.25">
      <c r="A61" s="364" t="s">
        <v>646</v>
      </c>
      <c r="B61" s="365" t="s">
        <v>566</v>
      </c>
      <c r="C61" s="366" t="s">
        <v>74</v>
      </c>
      <c r="D61" s="366">
        <f>D57*0.6*1.15</f>
        <v>27.599999999999998</v>
      </c>
      <c r="E61" s="97">
        <v>70</v>
      </c>
      <c r="F61" s="97">
        <v>263</v>
      </c>
      <c r="G61" s="359">
        <f t="shared" si="0"/>
        <v>1931.9999999999998</v>
      </c>
      <c r="H61" s="359">
        <f t="shared" si="1"/>
        <v>7258.7999999999993</v>
      </c>
      <c r="I61" s="360">
        <f t="shared" si="2"/>
        <v>9190.7999999999993</v>
      </c>
      <c r="J61" s="361"/>
    </row>
    <row r="62" spans="1:10" x14ac:dyDescent="0.25">
      <c r="A62" s="364" t="s">
        <v>647</v>
      </c>
      <c r="B62" s="365" t="s">
        <v>648</v>
      </c>
      <c r="C62" s="366" t="s">
        <v>34</v>
      </c>
      <c r="D62" s="366">
        <f>D57*0.15*1.1</f>
        <v>6.6000000000000005</v>
      </c>
      <c r="E62" s="97"/>
      <c r="F62" s="97">
        <v>4990</v>
      </c>
      <c r="G62" s="359">
        <f t="shared" si="0"/>
        <v>0</v>
      </c>
      <c r="H62" s="359">
        <f t="shared" si="1"/>
        <v>32934</v>
      </c>
      <c r="I62" s="360">
        <f t="shared" si="2"/>
        <v>32934</v>
      </c>
      <c r="J62" s="361"/>
    </row>
    <row r="63" spans="1:10" s="363" customFormat="1" x14ac:dyDescent="0.25">
      <c r="A63" s="356" t="s">
        <v>649</v>
      </c>
      <c r="B63" s="357" t="s">
        <v>650</v>
      </c>
      <c r="C63" s="358" t="s">
        <v>318</v>
      </c>
      <c r="D63" s="358">
        <v>29</v>
      </c>
      <c r="E63" s="94">
        <v>450</v>
      </c>
      <c r="F63" s="94"/>
      <c r="G63" s="359">
        <f t="shared" si="0"/>
        <v>13050</v>
      </c>
      <c r="H63" s="359">
        <f t="shared" si="1"/>
        <v>0</v>
      </c>
      <c r="I63" s="360">
        <f t="shared" si="2"/>
        <v>13050</v>
      </c>
      <c r="J63" s="361"/>
    </row>
    <row r="64" spans="1:10" x14ac:dyDescent="0.25">
      <c r="A64" s="364" t="s">
        <v>651</v>
      </c>
      <c r="B64" s="365" t="s">
        <v>605</v>
      </c>
      <c r="C64" s="366" t="s">
        <v>606</v>
      </c>
      <c r="D64" s="367">
        <f>D63</f>
        <v>29</v>
      </c>
      <c r="E64" s="98"/>
      <c r="F64" s="98">
        <v>0</v>
      </c>
      <c r="G64" s="359">
        <f t="shared" si="0"/>
        <v>0</v>
      </c>
      <c r="H64" s="359">
        <f t="shared" si="1"/>
        <v>0</v>
      </c>
      <c r="I64" s="360">
        <f t="shared" si="2"/>
        <v>0</v>
      </c>
      <c r="J64" s="361"/>
    </row>
    <row r="65" spans="1:10" x14ac:dyDescent="0.25">
      <c r="A65" s="364" t="s">
        <v>652</v>
      </c>
      <c r="B65" s="365" t="s">
        <v>608</v>
      </c>
      <c r="C65" s="366" t="s">
        <v>606</v>
      </c>
      <c r="D65" s="366">
        <f>D63</f>
        <v>29</v>
      </c>
      <c r="E65" s="98"/>
      <c r="F65" s="98">
        <v>0</v>
      </c>
      <c r="G65" s="359">
        <f t="shared" si="0"/>
        <v>0</v>
      </c>
      <c r="H65" s="359">
        <f t="shared" si="1"/>
        <v>0</v>
      </c>
      <c r="I65" s="360">
        <f t="shared" si="2"/>
        <v>0</v>
      </c>
      <c r="J65" s="361"/>
    </row>
    <row r="66" spans="1:10" x14ac:dyDescent="0.25">
      <c r="A66" s="364" t="s">
        <v>653</v>
      </c>
      <c r="B66" s="365" t="s">
        <v>610</v>
      </c>
      <c r="C66" s="366" t="s">
        <v>44</v>
      </c>
      <c r="D66" s="366">
        <f>20</f>
        <v>20</v>
      </c>
      <c r="E66" s="98"/>
      <c r="F66" s="98">
        <v>350</v>
      </c>
      <c r="G66" s="359">
        <f t="shared" si="0"/>
        <v>0</v>
      </c>
      <c r="H66" s="359">
        <f t="shared" si="1"/>
        <v>7000</v>
      </c>
      <c r="I66" s="360">
        <f t="shared" si="2"/>
        <v>7000</v>
      </c>
      <c r="J66" s="361"/>
    </row>
    <row r="67" spans="1:10" x14ac:dyDescent="0.25">
      <c r="A67" s="364" t="s">
        <v>654</v>
      </c>
      <c r="B67" s="365" t="s">
        <v>566</v>
      </c>
      <c r="C67" s="366" t="s">
        <v>74</v>
      </c>
      <c r="D67" s="366">
        <f>D63*0.6*1.15</f>
        <v>20.009999999999998</v>
      </c>
      <c r="E67" s="98">
        <v>70</v>
      </c>
      <c r="F67" s="98">
        <v>263</v>
      </c>
      <c r="G67" s="359">
        <f t="shared" si="0"/>
        <v>1400.6999999999998</v>
      </c>
      <c r="H67" s="359">
        <f t="shared" si="1"/>
        <v>5262.6299999999992</v>
      </c>
      <c r="I67" s="360">
        <f t="shared" si="2"/>
        <v>6663.329999999999</v>
      </c>
      <c r="J67" s="361"/>
    </row>
    <row r="68" spans="1:10" x14ac:dyDescent="0.25">
      <c r="A68" s="364" t="s">
        <v>655</v>
      </c>
      <c r="B68" s="365" t="s">
        <v>648</v>
      </c>
      <c r="C68" s="366" t="s">
        <v>34</v>
      </c>
      <c r="D68" s="366">
        <f>D63*0.15*1.1</f>
        <v>4.7850000000000001</v>
      </c>
      <c r="E68" s="98"/>
      <c r="F68" s="98">
        <v>4990</v>
      </c>
      <c r="G68" s="359">
        <f t="shared" si="0"/>
        <v>0</v>
      </c>
      <c r="H68" s="359">
        <f t="shared" si="1"/>
        <v>23877.15</v>
      </c>
      <c r="I68" s="360">
        <f t="shared" si="2"/>
        <v>23877.15</v>
      </c>
      <c r="J68" s="361"/>
    </row>
    <row r="69" spans="1:10" x14ac:dyDescent="0.25">
      <c r="A69" s="364" t="s">
        <v>656</v>
      </c>
      <c r="B69" s="365" t="s">
        <v>657</v>
      </c>
      <c r="C69" s="366" t="s">
        <v>318</v>
      </c>
      <c r="D69" s="366">
        <f>D63</f>
        <v>29</v>
      </c>
      <c r="E69" s="98">
        <v>50</v>
      </c>
      <c r="F69" s="98">
        <v>100</v>
      </c>
      <c r="G69" s="359">
        <f t="shared" ref="G69:G127" si="3">D69*E69</f>
        <v>1450</v>
      </c>
      <c r="H69" s="359">
        <f t="shared" ref="H69:H127" si="4">D69*F69</f>
        <v>2900</v>
      </c>
      <c r="I69" s="360">
        <f t="shared" ref="I69:I127" si="5">G69+H69</f>
        <v>4350</v>
      </c>
      <c r="J69" s="361"/>
    </row>
    <row r="70" spans="1:10" x14ac:dyDescent="0.25">
      <c r="A70" s="364" t="s">
        <v>658</v>
      </c>
      <c r="B70" s="365" t="s">
        <v>659</v>
      </c>
      <c r="C70" s="366" t="s">
        <v>44</v>
      </c>
      <c r="D70" s="366">
        <v>15</v>
      </c>
      <c r="E70" s="98"/>
      <c r="F70" s="98">
        <v>300</v>
      </c>
      <c r="G70" s="359">
        <f t="shared" si="3"/>
        <v>0</v>
      </c>
      <c r="H70" s="359">
        <f t="shared" si="4"/>
        <v>4500</v>
      </c>
      <c r="I70" s="360">
        <f t="shared" si="5"/>
        <v>4500</v>
      </c>
      <c r="J70" s="361"/>
    </row>
    <row r="71" spans="1:10" s="363" customFormat="1" x14ac:dyDescent="0.25">
      <c r="A71" s="356" t="s">
        <v>660</v>
      </c>
      <c r="B71" s="357" t="s">
        <v>661</v>
      </c>
      <c r="C71" s="358" t="s">
        <v>44</v>
      </c>
      <c r="D71" s="358">
        <v>4</v>
      </c>
      <c r="E71" s="94">
        <v>500</v>
      </c>
      <c r="F71" s="94">
        <v>3470</v>
      </c>
      <c r="G71" s="359">
        <f t="shared" si="3"/>
        <v>2000</v>
      </c>
      <c r="H71" s="359">
        <f t="shared" si="4"/>
        <v>13880</v>
      </c>
      <c r="I71" s="360">
        <f t="shared" si="5"/>
        <v>15880</v>
      </c>
      <c r="J71" s="361"/>
    </row>
    <row r="72" spans="1:10" s="363" customFormat="1" x14ac:dyDescent="0.25">
      <c r="A72" s="370" t="s">
        <v>662</v>
      </c>
      <c r="B72" s="371" t="s">
        <v>663</v>
      </c>
      <c r="C72" s="372" t="s">
        <v>44</v>
      </c>
      <c r="D72" s="372">
        <v>1</v>
      </c>
      <c r="E72" s="132"/>
      <c r="F72" s="132">
        <v>30000</v>
      </c>
      <c r="G72" s="373">
        <f t="shared" si="3"/>
        <v>0</v>
      </c>
      <c r="H72" s="373">
        <f t="shared" si="4"/>
        <v>30000</v>
      </c>
      <c r="I72" s="374">
        <f t="shared" si="5"/>
        <v>30000</v>
      </c>
      <c r="J72" s="361"/>
    </row>
    <row r="73" spans="1:10" s="363" customFormat="1" x14ac:dyDescent="0.25">
      <c r="A73" s="370" t="s">
        <v>664</v>
      </c>
      <c r="B73" s="375" t="s">
        <v>665</v>
      </c>
      <c r="C73" s="370" t="s">
        <v>74</v>
      </c>
      <c r="D73" s="376">
        <f>15.65*1</f>
        <v>15.65</v>
      </c>
      <c r="E73" s="132">
        <v>350</v>
      </c>
      <c r="F73" s="132"/>
      <c r="G73" s="402">
        <f t="shared" si="3"/>
        <v>5477.5</v>
      </c>
      <c r="H73" s="402">
        <f t="shared" si="4"/>
        <v>0</v>
      </c>
      <c r="I73" s="403">
        <f t="shared" si="5"/>
        <v>5477.5</v>
      </c>
      <c r="J73" s="361"/>
    </row>
    <row r="74" spans="1:10" s="363" customFormat="1" x14ac:dyDescent="0.25">
      <c r="A74" s="398" t="s">
        <v>1157</v>
      </c>
      <c r="B74" s="377" t="s">
        <v>351</v>
      </c>
      <c r="C74" s="378" t="s">
        <v>34</v>
      </c>
      <c r="D74" s="379">
        <f>PRODUCT(D73,0.02)</f>
        <v>0.313</v>
      </c>
      <c r="E74" s="98"/>
      <c r="F74" s="98">
        <v>3900</v>
      </c>
      <c r="G74" s="359">
        <f t="shared" ref="G74" si="6">D74*E74</f>
        <v>0</v>
      </c>
      <c r="H74" s="359">
        <f t="shared" ref="H74" si="7">D74*F74</f>
        <v>1220.7</v>
      </c>
      <c r="I74" s="360">
        <f t="shared" ref="I74" si="8">G74+H74</f>
        <v>1220.7</v>
      </c>
      <c r="J74" s="361"/>
    </row>
    <row r="75" spans="1:10" s="363" customFormat="1" x14ac:dyDescent="0.25">
      <c r="A75" s="398" t="s">
        <v>1158</v>
      </c>
      <c r="B75" s="399" t="s">
        <v>1156</v>
      </c>
      <c r="C75" s="398" t="s">
        <v>74</v>
      </c>
      <c r="D75" s="400">
        <f>PRODUCT(D73,1.1)</f>
        <v>17.215000000000003</v>
      </c>
      <c r="E75" s="401"/>
      <c r="F75" s="401">
        <v>350</v>
      </c>
      <c r="G75" s="359">
        <f t="shared" ref="G75" si="9">D75*E75</f>
        <v>0</v>
      </c>
      <c r="H75" s="359">
        <f t="shared" ref="H75" si="10">D75*F75</f>
        <v>6025.2500000000009</v>
      </c>
      <c r="I75" s="360">
        <f t="shared" ref="I75" si="11">G75+H75</f>
        <v>6025.2500000000009</v>
      </c>
      <c r="J75" s="361"/>
    </row>
    <row r="76" spans="1:10" s="363" customFormat="1" x14ac:dyDescent="0.25">
      <c r="A76" s="356" t="s">
        <v>666</v>
      </c>
      <c r="B76" s="380" t="s">
        <v>667</v>
      </c>
      <c r="C76" s="381" t="s">
        <v>62</v>
      </c>
      <c r="D76" s="382">
        <f>SUM(D78)</f>
        <v>0.88311600000000012</v>
      </c>
      <c r="E76" s="94">
        <v>25000</v>
      </c>
      <c r="F76" s="94"/>
      <c r="G76" s="359">
        <f t="shared" si="3"/>
        <v>22077.9</v>
      </c>
      <c r="H76" s="359">
        <f t="shared" si="4"/>
        <v>0</v>
      </c>
      <c r="I76" s="360">
        <f t="shared" si="5"/>
        <v>22077.9</v>
      </c>
      <c r="J76" s="361"/>
    </row>
    <row r="77" spans="1:10" s="628" customFormat="1" x14ac:dyDescent="0.25">
      <c r="A77" s="624" t="s">
        <v>1798</v>
      </c>
      <c r="B77" s="625" t="s">
        <v>352</v>
      </c>
      <c r="C77" s="626" t="s">
        <v>62</v>
      </c>
      <c r="D77" s="626">
        <f>(106*1.95)/1000*1.04</f>
        <v>0.21496799999999999</v>
      </c>
      <c r="E77" s="618"/>
      <c r="F77" s="618">
        <v>45000</v>
      </c>
      <c r="G77" s="627">
        <f t="shared" si="3"/>
        <v>0</v>
      </c>
      <c r="H77" s="627">
        <f t="shared" si="4"/>
        <v>9673.56</v>
      </c>
      <c r="I77" s="627">
        <f t="shared" si="5"/>
        <v>9673.56</v>
      </c>
    </row>
    <row r="78" spans="1:10" x14ac:dyDescent="0.25">
      <c r="A78" s="364" t="s">
        <v>668</v>
      </c>
      <c r="B78" s="383" t="s">
        <v>669</v>
      </c>
      <c r="C78" s="378" t="s">
        <v>62</v>
      </c>
      <c r="D78" s="379">
        <f>(106*3.825+104.4*4.25)/1000*1.04</f>
        <v>0.88311600000000012</v>
      </c>
      <c r="E78" s="98"/>
      <c r="F78" s="98">
        <v>45000</v>
      </c>
      <c r="G78" s="359">
        <f t="shared" si="3"/>
        <v>0</v>
      </c>
      <c r="H78" s="359">
        <f t="shared" si="4"/>
        <v>39740.220000000008</v>
      </c>
      <c r="I78" s="360">
        <f t="shared" si="5"/>
        <v>39740.220000000008</v>
      </c>
      <c r="J78" s="361"/>
    </row>
    <row r="79" spans="1:10" x14ac:dyDescent="0.25">
      <c r="A79" s="364" t="s">
        <v>670</v>
      </c>
      <c r="B79" s="383" t="s">
        <v>671</v>
      </c>
      <c r="C79" s="378" t="s">
        <v>62</v>
      </c>
      <c r="D79" s="379">
        <f>(312.1*1.58)/1000*1.04</f>
        <v>0.51284272000000009</v>
      </c>
      <c r="E79" s="98"/>
      <c r="F79" s="98">
        <v>40100</v>
      </c>
      <c r="G79" s="359">
        <f t="shared" si="3"/>
        <v>0</v>
      </c>
      <c r="H79" s="359">
        <f t="shared" si="4"/>
        <v>20564.993072000005</v>
      </c>
      <c r="I79" s="360">
        <f t="shared" si="5"/>
        <v>20564.993072000005</v>
      </c>
      <c r="J79" s="361"/>
    </row>
    <row r="80" spans="1:10" x14ac:dyDescent="0.25">
      <c r="A80" s="364" t="s">
        <v>672</v>
      </c>
      <c r="B80" s="384" t="s">
        <v>673</v>
      </c>
      <c r="C80" s="378" t="s">
        <v>79</v>
      </c>
      <c r="D80" s="379">
        <f>3.89*D76</f>
        <v>3.4353212400000004</v>
      </c>
      <c r="E80" s="98"/>
      <c r="F80" s="98">
        <v>65</v>
      </c>
      <c r="G80" s="359">
        <f t="shared" si="3"/>
        <v>0</v>
      </c>
      <c r="H80" s="359">
        <f t="shared" si="4"/>
        <v>223.29588060000003</v>
      </c>
      <c r="I80" s="360">
        <f t="shared" si="5"/>
        <v>223.29588060000003</v>
      </c>
      <c r="J80" s="361"/>
    </row>
    <row r="81" spans="1:10" x14ac:dyDescent="0.25">
      <c r="A81" s="364" t="s">
        <v>674</v>
      </c>
      <c r="B81" s="384" t="s">
        <v>675</v>
      </c>
      <c r="C81" s="378" t="s">
        <v>79</v>
      </c>
      <c r="D81" s="379">
        <f>3.37*2*D76</f>
        <v>5.9522018400000007</v>
      </c>
      <c r="E81" s="98"/>
      <c r="F81" s="98">
        <v>88.45</v>
      </c>
      <c r="G81" s="359">
        <f t="shared" si="3"/>
        <v>0</v>
      </c>
      <c r="H81" s="359">
        <f t="shared" si="4"/>
        <v>526.47225274800007</v>
      </c>
      <c r="I81" s="360">
        <f t="shared" si="5"/>
        <v>526.47225274800007</v>
      </c>
      <c r="J81" s="361"/>
    </row>
    <row r="82" spans="1:10" x14ac:dyDescent="0.25">
      <c r="A82" s="364" t="s">
        <v>676</v>
      </c>
      <c r="B82" s="384" t="s">
        <v>348</v>
      </c>
      <c r="C82" s="378" t="s">
        <v>62</v>
      </c>
      <c r="D82" s="385">
        <f>D76*0.019*1.2</f>
        <v>2.0135044800000002E-2</v>
      </c>
      <c r="E82" s="98"/>
      <c r="F82" s="98">
        <v>142000</v>
      </c>
      <c r="G82" s="359">
        <f t="shared" si="3"/>
        <v>0</v>
      </c>
      <c r="H82" s="359">
        <f t="shared" si="4"/>
        <v>2859.1763616000003</v>
      </c>
      <c r="I82" s="360">
        <f t="shared" si="5"/>
        <v>2859.1763616000003</v>
      </c>
      <c r="J82" s="361"/>
    </row>
    <row r="83" spans="1:10" s="623" customFormat="1" x14ac:dyDescent="0.25">
      <c r="A83" s="619" t="s">
        <v>1793</v>
      </c>
      <c r="B83" s="620" t="s">
        <v>1794</v>
      </c>
      <c r="C83" s="621" t="s">
        <v>43</v>
      </c>
      <c r="D83" s="621">
        <f>ROUND((3.08*3+1.88+3.8*2+1.5+2.6+2.5*4+4*3+2.8+3+1.8+2.5*2),0)</f>
        <v>57</v>
      </c>
      <c r="E83" s="617">
        <v>2500</v>
      </c>
      <c r="F83" s="617"/>
      <c r="G83" s="622">
        <f>D83*E83</f>
        <v>142500</v>
      </c>
      <c r="H83" s="622">
        <f t="shared" si="4"/>
        <v>0</v>
      </c>
      <c r="I83" s="622">
        <f t="shared" si="5"/>
        <v>142500</v>
      </c>
    </row>
    <row r="84" spans="1:10" s="628" customFormat="1" x14ac:dyDescent="0.25">
      <c r="A84" s="624" t="s">
        <v>1795</v>
      </c>
      <c r="B84" s="625" t="s">
        <v>283</v>
      </c>
      <c r="C84" s="626" t="s">
        <v>43</v>
      </c>
      <c r="D84" s="626">
        <f>D83</f>
        <v>57</v>
      </c>
      <c r="E84" s="618"/>
      <c r="F84" s="618">
        <v>2300</v>
      </c>
      <c r="G84" s="627">
        <f t="shared" ref="G84:G86" si="12">D84*E84</f>
        <v>0</v>
      </c>
      <c r="H84" s="627">
        <f t="shared" si="4"/>
        <v>131100</v>
      </c>
      <c r="I84" s="627">
        <f t="shared" si="5"/>
        <v>131100</v>
      </c>
    </row>
    <row r="85" spans="1:10" s="628" customFormat="1" x14ac:dyDescent="0.25">
      <c r="A85" s="624" t="s">
        <v>1796</v>
      </c>
      <c r="B85" s="625" t="s">
        <v>284</v>
      </c>
      <c r="C85" s="626" t="s">
        <v>44</v>
      </c>
      <c r="D85" s="626">
        <v>4</v>
      </c>
      <c r="E85" s="618"/>
      <c r="F85" s="618">
        <v>15000</v>
      </c>
      <c r="G85" s="627">
        <f t="shared" si="12"/>
        <v>0</v>
      </c>
      <c r="H85" s="627">
        <f t="shared" si="4"/>
        <v>60000</v>
      </c>
      <c r="I85" s="627">
        <f t="shared" si="5"/>
        <v>60000</v>
      </c>
    </row>
    <row r="86" spans="1:10" s="628" customFormat="1" x14ac:dyDescent="0.25">
      <c r="A86" s="624" t="s">
        <v>1797</v>
      </c>
      <c r="B86" s="625" t="s">
        <v>285</v>
      </c>
      <c r="C86" s="626" t="s">
        <v>44</v>
      </c>
      <c r="D86" s="626">
        <v>26</v>
      </c>
      <c r="E86" s="618"/>
      <c r="F86" s="618">
        <v>700</v>
      </c>
      <c r="G86" s="627">
        <f t="shared" si="12"/>
        <v>0</v>
      </c>
      <c r="H86" s="627">
        <f>D86*F86</f>
        <v>18200</v>
      </c>
      <c r="I86" s="627">
        <f t="shared" si="5"/>
        <v>18200</v>
      </c>
    </row>
    <row r="87" spans="1:10" s="363" customFormat="1" x14ac:dyDescent="0.25">
      <c r="A87" s="386" t="s">
        <v>677</v>
      </c>
      <c r="B87" s="387" t="s">
        <v>678</v>
      </c>
      <c r="C87" s="388" t="s">
        <v>44</v>
      </c>
      <c r="D87" s="382">
        <v>1</v>
      </c>
      <c r="E87" s="94">
        <v>25000</v>
      </c>
      <c r="F87" s="94"/>
      <c r="G87" s="359">
        <f t="shared" si="3"/>
        <v>25000</v>
      </c>
      <c r="H87" s="359">
        <f t="shared" si="4"/>
        <v>0</v>
      </c>
      <c r="I87" s="360">
        <f t="shared" si="5"/>
        <v>25000</v>
      </c>
      <c r="J87" s="361"/>
    </row>
    <row r="88" spans="1:10" x14ac:dyDescent="0.25">
      <c r="A88" s="389" t="s">
        <v>679</v>
      </c>
      <c r="B88" s="384" t="s">
        <v>289</v>
      </c>
      <c r="C88" s="390" t="s">
        <v>62</v>
      </c>
      <c r="D88" s="379">
        <f>SUM(D89:D93)</f>
        <v>0.17894240000000003</v>
      </c>
      <c r="E88" s="98"/>
      <c r="F88" s="98"/>
      <c r="G88" s="359">
        <f t="shared" si="3"/>
        <v>0</v>
      </c>
      <c r="H88" s="359">
        <f t="shared" si="4"/>
        <v>0</v>
      </c>
      <c r="I88" s="360">
        <f t="shared" si="5"/>
        <v>0</v>
      </c>
      <c r="J88" s="361"/>
    </row>
    <row r="89" spans="1:10" x14ac:dyDescent="0.25">
      <c r="A89" s="389"/>
      <c r="B89" s="384" t="s">
        <v>680</v>
      </c>
      <c r="C89" s="390" t="s">
        <v>62</v>
      </c>
      <c r="D89" s="379">
        <f>(2*15.26+2*12.64)/1000*1.04</f>
        <v>5.8032E-2</v>
      </c>
      <c r="E89" s="98"/>
      <c r="F89" s="98">
        <v>52200</v>
      </c>
      <c r="G89" s="359">
        <f t="shared" si="3"/>
        <v>0</v>
      </c>
      <c r="H89" s="359">
        <f t="shared" si="4"/>
        <v>3029.2703999999999</v>
      </c>
      <c r="I89" s="360">
        <f t="shared" si="5"/>
        <v>3029.2703999999999</v>
      </c>
      <c r="J89" s="361"/>
    </row>
    <row r="90" spans="1:10" x14ac:dyDescent="0.25">
      <c r="A90" s="389"/>
      <c r="B90" s="384" t="s">
        <v>681</v>
      </c>
      <c r="C90" s="390" t="s">
        <v>62</v>
      </c>
      <c r="D90" s="379">
        <f>(2*4.79+4*4.37+2*4.22+6*3.63+2*3.36)/1000*1.04</f>
        <v>6.6560000000000008E-2</v>
      </c>
      <c r="E90" s="98"/>
      <c r="F90" s="98">
        <v>44100</v>
      </c>
      <c r="G90" s="359">
        <f t="shared" si="3"/>
        <v>0</v>
      </c>
      <c r="H90" s="359">
        <f t="shared" si="4"/>
        <v>2935.2960000000003</v>
      </c>
      <c r="I90" s="360">
        <f t="shared" si="5"/>
        <v>2935.2960000000003</v>
      </c>
      <c r="J90" s="361"/>
    </row>
    <row r="91" spans="1:10" x14ac:dyDescent="0.25">
      <c r="A91" s="389"/>
      <c r="B91" s="384" t="s">
        <v>682</v>
      </c>
      <c r="C91" s="390" t="s">
        <v>62</v>
      </c>
      <c r="D91" s="379">
        <f>(2*1.06+2*1)/1000*1.04</f>
        <v>4.2848000000000009E-3</v>
      </c>
      <c r="E91" s="98"/>
      <c r="F91" s="170">
        <v>46400</v>
      </c>
      <c r="G91" s="359">
        <f t="shared" si="3"/>
        <v>0</v>
      </c>
      <c r="H91" s="359">
        <f t="shared" si="4"/>
        <v>198.81472000000005</v>
      </c>
      <c r="I91" s="360">
        <f t="shared" si="5"/>
        <v>198.81472000000005</v>
      </c>
      <c r="J91" s="361"/>
    </row>
    <row r="92" spans="1:10" x14ac:dyDescent="0.25">
      <c r="A92" s="389"/>
      <c r="B92" s="384" t="s">
        <v>683</v>
      </c>
      <c r="C92" s="390" t="s">
        <v>62</v>
      </c>
      <c r="D92" s="379">
        <f>(1*29.9+3*5.14)/1000*1.04</f>
        <v>4.7132799999999996E-2</v>
      </c>
      <c r="E92" s="98"/>
      <c r="F92" s="170">
        <v>54600</v>
      </c>
      <c r="G92" s="359">
        <f t="shared" si="3"/>
        <v>0</v>
      </c>
      <c r="H92" s="359">
        <f t="shared" si="4"/>
        <v>2573.4508799999999</v>
      </c>
      <c r="I92" s="360">
        <f t="shared" si="5"/>
        <v>2573.4508799999999</v>
      </c>
      <c r="J92" s="361"/>
    </row>
    <row r="93" spans="1:10" x14ac:dyDescent="0.25">
      <c r="A93" s="389"/>
      <c r="B93" s="384" t="s">
        <v>684</v>
      </c>
      <c r="C93" s="390" t="s">
        <v>62</v>
      </c>
      <c r="D93" s="379">
        <f>(2*1.41)/1000*1.04</f>
        <v>2.9328000000000002E-3</v>
      </c>
      <c r="E93" s="98"/>
      <c r="F93" s="98">
        <v>54700</v>
      </c>
      <c r="G93" s="359">
        <f t="shared" si="3"/>
        <v>0</v>
      </c>
      <c r="H93" s="359">
        <f t="shared" si="4"/>
        <v>160.42416</v>
      </c>
      <c r="I93" s="360">
        <f t="shared" si="5"/>
        <v>160.42416</v>
      </c>
      <c r="J93" s="361"/>
    </row>
    <row r="94" spans="1:10" x14ac:dyDescent="0.25">
      <c r="A94" s="389"/>
      <c r="B94" s="384" t="s">
        <v>685</v>
      </c>
      <c r="C94" s="390" t="s">
        <v>44</v>
      </c>
      <c r="D94" s="379">
        <v>6</v>
      </c>
      <c r="E94" s="98"/>
      <c r="F94" s="98">
        <v>350</v>
      </c>
      <c r="G94" s="359">
        <f t="shared" si="3"/>
        <v>0</v>
      </c>
      <c r="H94" s="359">
        <f t="shared" si="4"/>
        <v>2100</v>
      </c>
      <c r="I94" s="360">
        <f t="shared" si="5"/>
        <v>2100</v>
      </c>
      <c r="J94" s="361"/>
    </row>
    <row r="95" spans="1:10" x14ac:dyDescent="0.25">
      <c r="A95" s="389" t="s">
        <v>686</v>
      </c>
      <c r="B95" s="391" t="s">
        <v>687</v>
      </c>
      <c r="C95" s="390" t="s">
        <v>44</v>
      </c>
      <c r="D95" s="379">
        <v>2</v>
      </c>
      <c r="E95" s="98"/>
      <c r="F95" s="98"/>
      <c r="G95" s="359">
        <f t="shared" si="3"/>
        <v>0</v>
      </c>
      <c r="H95" s="359">
        <f t="shared" si="4"/>
        <v>0</v>
      </c>
      <c r="I95" s="360">
        <f t="shared" si="5"/>
        <v>0</v>
      </c>
      <c r="J95" s="361"/>
    </row>
    <row r="96" spans="1:10" x14ac:dyDescent="0.25">
      <c r="A96" s="389"/>
      <c r="B96" s="384" t="s">
        <v>684</v>
      </c>
      <c r="C96" s="390" t="s">
        <v>62</v>
      </c>
      <c r="D96" s="379">
        <f>(1*2.16+1*0.95+1*0.64)*2/1000*1.04</f>
        <v>7.8000000000000005E-3</v>
      </c>
      <c r="E96" s="98"/>
      <c r="F96" s="98">
        <v>54700</v>
      </c>
      <c r="G96" s="359">
        <f t="shared" si="3"/>
        <v>0</v>
      </c>
      <c r="H96" s="359">
        <f t="shared" si="4"/>
        <v>426.66</v>
      </c>
      <c r="I96" s="360">
        <f t="shared" si="5"/>
        <v>426.66</v>
      </c>
      <c r="J96" s="361"/>
    </row>
    <row r="97" spans="1:10" x14ac:dyDescent="0.25">
      <c r="A97" s="389" t="s">
        <v>688</v>
      </c>
      <c r="B97" s="384" t="s">
        <v>689</v>
      </c>
      <c r="C97" s="378" t="s">
        <v>79</v>
      </c>
      <c r="D97" s="379">
        <f>3.89*2*(D88+D96)</f>
        <v>1.4528558720000002</v>
      </c>
      <c r="E97" s="98"/>
      <c r="F97" s="98">
        <v>65</v>
      </c>
      <c r="G97" s="359">
        <f t="shared" si="3"/>
        <v>0</v>
      </c>
      <c r="H97" s="359">
        <f t="shared" si="4"/>
        <v>94.435631680000014</v>
      </c>
      <c r="I97" s="360">
        <f t="shared" si="5"/>
        <v>94.435631680000014</v>
      </c>
      <c r="J97" s="361"/>
    </row>
    <row r="98" spans="1:10" x14ac:dyDescent="0.25">
      <c r="A98" s="389" t="s">
        <v>690</v>
      </c>
      <c r="B98" s="384" t="s">
        <v>675</v>
      </c>
      <c r="C98" s="378" t="s">
        <v>79</v>
      </c>
      <c r="D98" s="379">
        <f>3.37*2*(D88+D96)</f>
        <v>1.2586437760000002</v>
      </c>
      <c r="E98" s="98"/>
      <c r="F98" s="98">
        <v>88.45</v>
      </c>
      <c r="G98" s="359">
        <f t="shared" si="3"/>
        <v>0</v>
      </c>
      <c r="H98" s="359">
        <f t="shared" si="4"/>
        <v>111.32704198720002</v>
      </c>
      <c r="I98" s="360">
        <f t="shared" si="5"/>
        <v>111.32704198720002</v>
      </c>
      <c r="J98" s="361"/>
    </row>
    <row r="99" spans="1:10" s="363" customFormat="1" x14ac:dyDescent="0.25">
      <c r="A99" s="386" t="s">
        <v>691</v>
      </c>
      <c r="B99" s="387" t="s">
        <v>692</v>
      </c>
      <c r="C99" s="388" t="s">
        <v>62</v>
      </c>
      <c r="D99" s="382">
        <f>0.254/1.04</f>
        <v>0.24423076923076922</v>
      </c>
      <c r="E99" s="94">
        <v>25000</v>
      </c>
      <c r="F99" s="94"/>
      <c r="G99" s="359">
        <f t="shared" si="3"/>
        <v>6105.7692307692305</v>
      </c>
      <c r="H99" s="359">
        <f t="shared" si="4"/>
        <v>0</v>
      </c>
      <c r="I99" s="360">
        <f t="shared" si="5"/>
        <v>6105.7692307692305</v>
      </c>
      <c r="J99" s="361"/>
    </row>
    <row r="100" spans="1:10" x14ac:dyDescent="0.25">
      <c r="A100" s="389" t="s">
        <v>693</v>
      </c>
      <c r="B100" s="384" t="s">
        <v>289</v>
      </c>
      <c r="C100" s="390" t="s">
        <v>62</v>
      </c>
      <c r="D100" s="379">
        <f>SUM(D101:D104)</f>
        <v>0.25415520000000003</v>
      </c>
      <c r="E100" s="98"/>
      <c r="F100" s="98"/>
      <c r="G100" s="359">
        <f t="shared" si="3"/>
        <v>0</v>
      </c>
      <c r="H100" s="359">
        <f t="shared" si="4"/>
        <v>0</v>
      </c>
      <c r="I100" s="360">
        <f t="shared" si="5"/>
        <v>0</v>
      </c>
      <c r="J100" s="361"/>
    </row>
    <row r="101" spans="1:10" x14ac:dyDescent="0.25">
      <c r="A101" s="389"/>
      <c r="B101" s="384" t="s">
        <v>694</v>
      </c>
      <c r="C101" s="390" t="s">
        <v>62</v>
      </c>
      <c r="D101" s="379">
        <f>(1*17.41*2+1*5.29*2+2*5.02+2*4.8+6*2.16+1*12.27*2+1*5.29*2+2*5.26+2*5.04+2*2.16)/1000*1.04</f>
        <v>0.14356160000000001</v>
      </c>
      <c r="E101" s="98"/>
      <c r="F101" s="98">
        <v>46800</v>
      </c>
      <c r="G101" s="359">
        <f t="shared" si="3"/>
        <v>0</v>
      </c>
      <c r="H101" s="359">
        <f t="shared" si="4"/>
        <v>6718.6828800000003</v>
      </c>
      <c r="I101" s="360">
        <f t="shared" si="5"/>
        <v>6718.6828800000003</v>
      </c>
      <c r="J101" s="361"/>
    </row>
    <row r="102" spans="1:10" x14ac:dyDescent="0.25">
      <c r="A102" s="389"/>
      <c r="B102" s="384" t="s">
        <v>695</v>
      </c>
      <c r="C102" s="390" t="s">
        <v>62</v>
      </c>
      <c r="D102" s="379">
        <f>(18*2.17*2)/1000*1.04</f>
        <v>8.1244800000000006E-2</v>
      </c>
      <c r="E102" s="98"/>
      <c r="F102" s="98">
        <v>38600</v>
      </c>
      <c r="G102" s="359">
        <f t="shared" si="3"/>
        <v>0</v>
      </c>
      <c r="H102" s="359">
        <f t="shared" si="4"/>
        <v>3136.0492800000002</v>
      </c>
      <c r="I102" s="360">
        <f t="shared" si="5"/>
        <v>3136.0492800000002</v>
      </c>
      <c r="J102" s="361"/>
    </row>
    <row r="103" spans="1:10" x14ac:dyDescent="0.25">
      <c r="A103" s="389"/>
      <c r="B103" s="384" t="s">
        <v>696</v>
      </c>
      <c r="C103" s="390" t="s">
        <v>62</v>
      </c>
      <c r="D103" s="379">
        <f>(6*1.06+2*1.06)/1000*1.04</f>
        <v>8.8191999999999993E-3</v>
      </c>
      <c r="E103" s="98"/>
      <c r="F103" s="98">
        <v>54700</v>
      </c>
      <c r="G103" s="359">
        <f t="shared" si="3"/>
        <v>0</v>
      </c>
      <c r="H103" s="359">
        <f t="shared" si="4"/>
        <v>482.41023999999999</v>
      </c>
      <c r="I103" s="360">
        <f t="shared" si="5"/>
        <v>482.41023999999999</v>
      </c>
      <c r="J103" s="361"/>
    </row>
    <row r="104" spans="1:10" x14ac:dyDescent="0.25">
      <c r="A104" s="389"/>
      <c r="B104" s="384" t="s">
        <v>697</v>
      </c>
      <c r="C104" s="390" t="s">
        <v>62</v>
      </c>
      <c r="D104" s="379">
        <f>(2*9.87)/1000*1.04</f>
        <v>2.0529599999999999E-2</v>
      </c>
      <c r="E104" s="98"/>
      <c r="F104" s="98">
        <v>54700</v>
      </c>
      <c r="G104" s="359">
        <f t="shared" si="3"/>
        <v>0</v>
      </c>
      <c r="H104" s="359">
        <f t="shared" si="4"/>
        <v>1122.96912</v>
      </c>
      <c r="I104" s="360">
        <f t="shared" si="5"/>
        <v>1122.96912</v>
      </c>
      <c r="J104" s="361"/>
    </row>
    <row r="105" spans="1:10" x14ac:dyDescent="0.25">
      <c r="A105" s="389" t="s">
        <v>698</v>
      </c>
      <c r="B105" s="384" t="s">
        <v>699</v>
      </c>
      <c r="C105" s="390" t="s">
        <v>44</v>
      </c>
      <c r="D105" s="379">
        <f>16</f>
        <v>16</v>
      </c>
      <c r="E105" s="98"/>
      <c r="F105" s="98">
        <v>180</v>
      </c>
      <c r="G105" s="359">
        <f t="shared" si="3"/>
        <v>0</v>
      </c>
      <c r="H105" s="359">
        <f t="shared" si="4"/>
        <v>2880</v>
      </c>
      <c r="I105" s="360">
        <f t="shared" si="5"/>
        <v>2880</v>
      </c>
      <c r="J105" s="361"/>
    </row>
    <row r="106" spans="1:10" x14ac:dyDescent="0.25">
      <c r="A106" s="389" t="s">
        <v>700</v>
      </c>
      <c r="B106" s="384" t="s">
        <v>701</v>
      </c>
      <c r="C106" s="390" t="s">
        <v>44</v>
      </c>
      <c r="D106" s="379">
        <v>16</v>
      </c>
      <c r="E106" s="98"/>
      <c r="F106" s="98">
        <v>350</v>
      </c>
      <c r="G106" s="359">
        <f t="shared" si="3"/>
        <v>0</v>
      </c>
      <c r="H106" s="359">
        <f t="shared" si="4"/>
        <v>5600</v>
      </c>
      <c r="I106" s="360">
        <f t="shared" si="5"/>
        <v>5600</v>
      </c>
      <c r="J106" s="361"/>
    </row>
    <row r="107" spans="1:10" x14ac:dyDescent="0.25">
      <c r="A107" s="389" t="s">
        <v>702</v>
      </c>
      <c r="B107" s="384" t="s">
        <v>689</v>
      </c>
      <c r="C107" s="378" t="s">
        <v>79</v>
      </c>
      <c r="D107" s="379">
        <f>3.89*2*D100</f>
        <v>1.9773274560000003</v>
      </c>
      <c r="E107" s="98"/>
      <c r="F107" s="98">
        <v>65</v>
      </c>
      <c r="G107" s="359">
        <f t="shared" si="3"/>
        <v>0</v>
      </c>
      <c r="H107" s="359">
        <f t="shared" si="4"/>
        <v>128.52628464000003</v>
      </c>
      <c r="I107" s="360">
        <f t="shared" si="5"/>
        <v>128.52628464000003</v>
      </c>
      <c r="J107" s="361"/>
    </row>
    <row r="108" spans="1:10" x14ac:dyDescent="0.25">
      <c r="A108" s="389" t="s">
        <v>703</v>
      </c>
      <c r="B108" s="384" t="s">
        <v>675</v>
      </c>
      <c r="C108" s="378" t="s">
        <v>79</v>
      </c>
      <c r="D108" s="379">
        <f>3.37*2*D100</f>
        <v>1.7130060480000002</v>
      </c>
      <c r="E108" s="98"/>
      <c r="F108" s="98">
        <v>88.45</v>
      </c>
      <c r="G108" s="359">
        <f t="shared" si="3"/>
        <v>0</v>
      </c>
      <c r="H108" s="359">
        <f t="shared" si="4"/>
        <v>151.51538494560003</v>
      </c>
      <c r="I108" s="360">
        <f t="shared" si="5"/>
        <v>151.51538494560003</v>
      </c>
      <c r="J108" s="361"/>
    </row>
    <row r="109" spans="1:10" s="363" customFormat="1" x14ac:dyDescent="0.25">
      <c r="A109" s="386" t="s">
        <v>704</v>
      </c>
      <c r="B109" s="387" t="s">
        <v>705</v>
      </c>
      <c r="C109" s="388" t="s">
        <v>44</v>
      </c>
      <c r="D109" s="382">
        <v>1</v>
      </c>
      <c r="E109" s="94">
        <v>25000</v>
      </c>
      <c r="F109" s="94"/>
      <c r="G109" s="359">
        <f t="shared" si="3"/>
        <v>25000</v>
      </c>
      <c r="H109" s="359">
        <f t="shared" si="4"/>
        <v>0</v>
      </c>
      <c r="I109" s="360">
        <f t="shared" si="5"/>
        <v>25000</v>
      </c>
      <c r="J109" s="361"/>
    </row>
    <row r="110" spans="1:10" x14ac:dyDescent="0.25">
      <c r="A110" s="389" t="s">
        <v>706</v>
      </c>
      <c r="B110" s="384" t="s">
        <v>289</v>
      </c>
      <c r="C110" s="390" t="s">
        <v>62</v>
      </c>
      <c r="D110" s="379">
        <f>SUM(D111:D115)</f>
        <v>0.14347840000000001</v>
      </c>
      <c r="E110" s="98"/>
      <c r="F110" s="98"/>
      <c r="G110" s="359">
        <f t="shared" si="3"/>
        <v>0</v>
      </c>
      <c r="H110" s="359">
        <f t="shared" si="4"/>
        <v>0</v>
      </c>
      <c r="I110" s="360">
        <f t="shared" si="5"/>
        <v>0</v>
      </c>
      <c r="J110" s="361"/>
    </row>
    <row r="111" spans="1:10" x14ac:dyDescent="0.25">
      <c r="A111" s="389"/>
      <c r="B111" s="384" t="s">
        <v>707</v>
      </c>
      <c r="C111" s="390" t="s">
        <v>62</v>
      </c>
      <c r="D111" s="379">
        <f>(4*3.8)/1000*1.04</f>
        <v>1.5807999999999999E-2</v>
      </c>
      <c r="E111" s="98"/>
      <c r="F111" s="170">
        <v>45000</v>
      </c>
      <c r="G111" s="359">
        <f t="shared" si="3"/>
        <v>0</v>
      </c>
      <c r="H111" s="359">
        <f t="shared" si="4"/>
        <v>711.36</v>
      </c>
      <c r="I111" s="360">
        <f t="shared" si="5"/>
        <v>711.36</v>
      </c>
      <c r="J111" s="361"/>
    </row>
    <row r="112" spans="1:10" x14ac:dyDescent="0.25">
      <c r="A112" s="389"/>
      <c r="B112" s="384" t="s">
        <v>708</v>
      </c>
      <c r="C112" s="390" t="s">
        <v>62</v>
      </c>
      <c r="D112" s="379">
        <f>(4*1.13)/1000*1.04</f>
        <v>4.7007999999999998E-3</v>
      </c>
      <c r="E112" s="98"/>
      <c r="F112" s="170">
        <v>45000</v>
      </c>
      <c r="G112" s="359">
        <f t="shared" si="3"/>
        <v>0</v>
      </c>
      <c r="H112" s="359">
        <f t="shared" si="4"/>
        <v>211.536</v>
      </c>
      <c r="I112" s="360">
        <f t="shared" si="5"/>
        <v>211.536</v>
      </c>
      <c r="J112" s="361"/>
    </row>
    <row r="113" spans="1:11" x14ac:dyDescent="0.25">
      <c r="A113" s="389"/>
      <c r="B113" s="384" t="s">
        <v>709</v>
      </c>
      <c r="C113" s="390" t="s">
        <v>62</v>
      </c>
      <c r="D113" s="379">
        <f>(4*7.04)/1000*1.04</f>
        <v>2.9286400000000001E-2</v>
      </c>
      <c r="E113" s="98"/>
      <c r="F113" s="170">
        <v>42800</v>
      </c>
      <c r="G113" s="359">
        <f t="shared" si="3"/>
        <v>0</v>
      </c>
      <c r="H113" s="359">
        <f t="shared" si="4"/>
        <v>1253.4579200000001</v>
      </c>
      <c r="I113" s="360">
        <f t="shared" si="5"/>
        <v>1253.4579200000001</v>
      </c>
      <c r="J113" s="361"/>
    </row>
    <row r="114" spans="1:11" x14ac:dyDescent="0.25">
      <c r="A114" s="389"/>
      <c r="B114" s="384" t="s">
        <v>680</v>
      </c>
      <c r="C114" s="390" t="s">
        <v>62</v>
      </c>
      <c r="D114" s="379">
        <f>(2*10.65+2*31.81)/1000*1.04</f>
        <v>8.8316800000000001E-2</v>
      </c>
      <c r="E114" s="98"/>
      <c r="F114" s="98">
        <v>52200</v>
      </c>
      <c r="G114" s="359">
        <f t="shared" si="3"/>
        <v>0</v>
      </c>
      <c r="H114" s="359">
        <f t="shared" si="4"/>
        <v>4610.1369599999998</v>
      </c>
      <c r="I114" s="360">
        <f t="shared" si="5"/>
        <v>4610.1369599999998</v>
      </c>
      <c r="J114" s="361"/>
    </row>
    <row r="115" spans="1:11" x14ac:dyDescent="0.25">
      <c r="A115" s="389"/>
      <c r="B115" s="384" t="s">
        <v>710</v>
      </c>
      <c r="C115" s="390" t="s">
        <v>62</v>
      </c>
      <c r="D115" s="379">
        <f>(4*1.29)/1000*1.04</f>
        <v>5.3664000000000003E-3</v>
      </c>
      <c r="E115" s="98"/>
      <c r="F115" s="170">
        <v>44100</v>
      </c>
      <c r="G115" s="359">
        <f t="shared" si="3"/>
        <v>0</v>
      </c>
      <c r="H115" s="359">
        <f t="shared" si="4"/>
        <v>236.65824000000001</v>
      </c>
      <c r="I115" s="360">
        <f t="shared" si="5"/>
        <v>236.65824000000001</v>
      </c>
      <c r="J115" s="361"/>
    </row>
    <row r="116" spans="1:11" x14ac:dyDescent="0.25">
      <c r="A116" s="389" t="s">
        <v>711</v>
      </c>
      <c r="B116" s="384" t="s">
        <v>685</v>
      </c>
      <c r="C116" s="390" t="s">
        <v>44</v>
      </c>
      <c r="D116" s="379">
        <f>16</f>
        <v>16</v>
      </c>
      <c r="E116" s="98"/>
      <c r="F116" s="98">
        <v>350</v>
      </c>
      <c r="G116" s="359">
        <f t="shared" si="3"/>
        <v>0</v>
      </c>
      <c r="H116" s="359">
        <f t="shared" si="4"/>
        <v>5600</v>
      </c>
      <c r="I116" s="360">
        <f t="shared" si="5"/>
        <v>5600</v>
      </c>
      <c r="J116" s="361"/>
    </row>
    <row r="117" spans="1:11" x14ac:dyDescent="0.25">
      <c r="A117" s="389" t="s">
        <v>712</v>
      </c>
      <c r="B117" s="384" t="s">
        <v>689</v>
      </c>
      <c r="C117" s="378" t="s">
        <v>79</v>
      </c>
      <c r="D117" s="379">
        <f>3.89*2*D110</f>
        <v>1.1162619520000001</v>
      </c>
      <c r="E117" s="98"/>
      <c r="F117" s="98">
        <v>65</v>
      </c>
      <c r="G117" s="359">
        <f t="shared" si="3"/>
        <v>0</v>
      </c>
      <c r="H117" s="359">
        <f t="shared" si="4"/>
        <v>72.557026880000009</v>
      </c>
      <c r="I117" s="360">
        <f t="shared" si="5"/>
        <v>72.557026880000009</v>
      </c>
      <c r="J117" s="361"/>
    </row>
    <row r="118" spans="1:11" x14ac:dyDescent="0.25">
      <c r="A118" s="389" t="s">
        <v>713</v>
      </c>
      <c r="B118" s="384" t="s">
        <v>675</v>
      </c>
      <c r="C118" s="378" t="s">
        <v>79</v>
      </c>
      <c r="D118" s="379">
        <f>3.37*2*D110</f>
        <v>0.96704441600000002</v>
      </c>
      <c r="E118" s="98"/>
      <c r="F118" s="98">
        <v>88.45</v>
      </c>
      <c r="G118" s="359">
        <f t="shared" si="3"/>
        <v>0</v>
      </c>
      <c r="H118" s="359">
        <f t="shared" si="4"/>
        <v>85.535078595200005</v>
      </c>
      <c r="I118" s="360">
        <f t="shared" si="5"/>
        <v>85.535078595200005</v>
      </c>
      <c r="J118" s="361"/>
    </row>
    <row r="119" spans="1:11" s="363" customFormat="1" x14ac:dyDescent="0.25">
      <c r="A119" s="356" t="s">
        <v>717</v>
      </c>
      <c r="B119" s="392" t="s">
        <v>718</v>
      </c>
      <c r="C119" s="388" t="s">
        <v>74</v>
      </c>
      <c r="D119" s="393">
        <f>D127</f>
        <v>7.0299999999999994</v>
      </c>
      <c r="E119" s="94"/>
      <c r="F119" s="94"/>
      <c r="G119" s="359">
        <f t="shared" si="3"/>
        <v>0</v>
      </c>
      <c r="H119" s="359">
        <f t="shared" si="4"/>
        <v>0</v>
      </c>
      <c r="I119" s="360">
        <f t="shared" si="5"/>
        <v>0</v>
      </c>
      <c r="J119" s="361"/>
    </row>
    <row r="120" spans="1:11" x14ac:dyDescent="0.25">
      <c r="A120" s="364" t="s">
        <v>719</v>
      </c>
      <c r="B120" s="394" t="s">
        <v>289</v>
      </c>
      <c r="C120" s="390" t="s">
        <v>62</v>
      </c>
      <c r="D120" s="395">
        <f>SUM(D121:D124)</f>
        <v>0.32034079999999998</v>
      </c>
      <c r="E120" s="98"/>
      <c r="F120" s="98"/>
      <c r="G120" s="359">
        <f t="shared" si="3"/>
        <v>0</v>
      </c>
      <c r="H120" s="359">
        <f t="shared" si="4"/>
        <v>0</v>
      </c>
      <c r="I120" s="360">
        <f t="shared" si="5"/>
        <v>0</v>
      </c>
      <c r="J120" s="361"/>
    </row>
    <row r="121" spans="1:11" x14ac:dyDescent="0.25">
      <c r="A121" s="364"/>
      <c r="B121" s="394" t="s">
        <v>720</v>
      </c>
      <c r="C121" s="390" t="s">
        <v>62</v>
      </c>
      <c r="D121" s="395">
        <f>(4*13.15+2*6.71+4*12.15+2*7.72+4*14.02+2*7.58)/1000*1.04</f>
        <v>0.20935199999999998</v>
      </c>
      <c r="E121" s="98"/>
      <c r="F121" s="170">
        <v>41800</v>
      </c>
      <c r="G121" s="359">
        <f t="shared" si="3"/>
        <v>0</v>
      </c>
      <c r="H121" s="359">
        <f t="shared" si="4"/>
        <v>8750.9135999999999</v>
      </c>
      <c r="I121" s="360">
        <f t="shared" si="5"/>
        <v>8750.9135999999999</v>
      </c>
      <c r="J121" s="361"/>
    </row>
    <row r="122" spans="1:11" x14ac:dyDescent="0.25">
      <c r="A122" s="364"/>
      <c r="B122" s="394" t="s">
        <v>721</v>
      </c>
      <c r="C122" s="390" t="s">
        <v>62</v>
      </c>
      <c r="D122" s="395">
        <f>(2*4.47+2*1.72+2*4.88+2*1.81+2*5.74+2*2.07)/1000*1.04</f>
        <v>4.3035200000000003E-2</v>
      </c>
      <c r="E122" s="98"/>
      <c r="F122" s="170">
        <v>42200</v>
      </c>
      <c r="G122" s="359">
        <f t="shared" si="3"/>
        <v>0</v>
      </c>
      <c r="H122" s="359">
        <f t="shared" si="4"/>
        <v>1816.0854400000001</v>
      </c>
      <c r="I122" s="360">
        <f t="shared" si="5"/>
        <v>1816.0854400000001</v>
      </c>
      <c r="J122" s="361"/>
    </row>
    <row r="123" spans="1:11" x14ac:dyDescent="0.25">
      <c r="A123" s="364"/>
      <c r="B123" s="394" t="s">
        <v>722</v>
      </c>
      <c r="C123" s="390" t="s">
        <v>62</v>
      </c>
      <c r="D123" s="395">
        <f>(2*1.4+2*1.12+2*1.45+2*1.19+2*1.45+2*1.12)/1000*1.04</f>
        <v>1.6078400000000003E-2</v>
      </c>
      <c r="E123" s="98"/>
      <c r="F123" s="170">
        <v>41400</v>
      </c>
      <c r="G123" s="359">
        <f t="shared" si="3"/>
        <v>0</v>
      </c>
      <c r="H123" s="359">
        <f t="shared" si="4"/>
        <v>665.64576000000011</v>
      </c>
      <c r="I123" s="360">
        <f t="shared" si="5"/>
        <v>665.64576000000011</v>
      </c>
      <c r="J123" s="361"/>
    </row>
    <row r="124" spans="1:11" x14ac:dyDescent="0.25">
      <c r="A124" s="364"/>
      <c r="B124" s="394" t="s">
        <v>723</v>
      </c>
      <c r="C124" s="390" t="s">
        <v>62</v>
      </c>
      <c r="D124" s="395">
        <f>(4*4.41+4*4.03+4*4.03)/1000*1.04</f>
        <v>5.187520000000001E-2</v>
      </c>
      <c r="E124" s="98"/>
      <c r="F124" s="170">
        <v>55400</v>
      </c>
      <c r="G124" s="359">
        <f t="shared" si="3"/>
        <v>0</v>
      </c>
      <c r="H124" s="359">
        <f t="shared" si="4"/>
        <v>2873.8860800000007</v>
      </c>
      <c r="I124" s="360">
        <f t="shared" si="5"/>
        <v>2873.8860800000007</v>
      </c>
      <c r="J124" s="361"/>
    </row>
    <row r="125" spans="1:11" x14ac:dyDescent="0.25">
      <c r="A125" s="364" t="s">
        <v>724</v>
      </c>
      <c r="B125" s="394" t="s">
        <v>725</v>
      </c>
      <c r="C125" s="390" t="s">
        <v>44</v>
      </c>
      <c r="D125" s="395">
        <f>4+4+4</f>
        <v>12</v>
      </c>
      <c r="E125" s="98"/>
      <c r="F125" s="170">
        <v>180</v>
      </c>
      <c r="G125" s="359">
        <f t="shared" si="3"/>
        <v>0</v>
      </c>
      <c r="H125" s="359">
        <f t="shared" si="4"/>
        <v>2160</v>
      </c>
      <c r="I125" s="360">
        <f t="shared" si="5"/>
        <v>2160</v>
      </c>
      <c r="J125" s="361"/>
    </row>
    <row r="126" spans="1:11" x14ac:dyDescent="0.25">
      <c r="A126" s="364" t="s">
        <v>726</v>
      </c>
      <c r="B126" s="394" t="s">
        <v>727</v>
      </c>
      <c r="C126" s="390" t="s">
        <v>44</v>
      </c>
      <c r="D126" s="395">
        <f>8+8+9</f>
        <v>25</v>
      </c>
      <c r="E126" s="98"/>
      <c r="F126" s="170">
        <v>345</v>
      </c>
      <c r="G126" s="359">
        <f t="shared" si="3"/>
        <v>0</v>
      </c>
      <c r="H126" s="359">
        <f t="shared" si="4"/>
        <v>8625</v>
      </c>
      <c r="I126" s="360">
        <f t="shared" si="5"/>
        <v>8625</v>
      </c>
      <c r="J126" s="361"/>
    </row>
    <row r="127" spans="1:11" x14ac:dyDescent="0.25">
      <c r="A127" s="364" t="s">
        <v>728</v>
      </c>
      <c r="B127" s="394" t="s">
        <v>729</v>
      </c>
      <c r="C127" s="390" t="s">
        <v>74</v>
      </c>
      <c r="D127" s="395">
        <f>2.04+2.34+2.65</f>
        <v>7.0299999999999994</v>
      </c>
      <c r="E127" s="98"/>
      <c r="F127" s="170">
        <v>829</v>
      </c>
      <c r="G127" s="359">
        <f t="shared" si="3"/>
        <v>0</v>
      </c>
      <c r="H127" s="359">
        <f t="shared" si="4"/>
        <v>5827.87</v>
      </c>
      <c r="I127" s="360">
        <f t="shared" si="5"/>
        <v>5827.87</v>
      </c>
      <c r="J127" s="361"/>
    </row>
    <row r="128" spans="1:11" x14ac:dyDescent="0.25">
      <c r="K128" s="355"/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1"/>
  <sheetViews>
    <sheetView topLeftCell="A17" zoomScale="90" zoomScaleNormal="90" workbookViewId="0">
      <selection activeCell="E42" sqref="E42"/>
    </sheetView>
  </sheetViews>
  <sheetFormatPr defaultRowHeight="15.05" x14ac:dyDescent="0.3"/>
  <cols>
    <col min="1" max="1" width="9.109375" style="806"/>
    <col min="2" max="2" width="63.109375" style="773" customWidth="1"/>
    <col min="3" max="3" width="9.109375" style="902"/>
    <col min="4" max="4" width="14.109375" style="902" customWidth="1"/>
    <col min="5" max="5" width="12.88671875" style="903" customWidth="1"/>
    <col min="6" max="6" width="14" style="904" customWidth="1"/>
    <col min="7" max="7" width="18.88671875" style="773" customWidth="1"/>
    <col min="8" max="8" width="16.44140625" style="773" customWidth="1"/>
    <col min="9" max="9" width="18.33203125" style="773" customWidth="1"/>
    <col min="10" max="10" width="15.88671875" style="773" bestFit="1" customWidth="1"/>
    <col min="11" max="12" width="9.109375" style="773"/>
    <col min="13" max="13" width="31.44140625" style="773" customWidth="1"/>
    <col min="14" max="257" width="9.109375" style="773"/>
    <col min="258" max="258" width="63.109375" style="773" customWidth="1"/>
    <col min="259" max="259" width="9.109375" style="773"/>
    <col min="260" max="260" width="14.109375" style="773" customWidth="1"/>
    <col min="261" max="261" width="12.88671875" style="773" customWidth="1"/>
    <col min="262" max="262" width="14" style="773" customWidth="1"/>
    <col min="263" max="263" width="18.88671875" style="773" customWidth="1"/>
    <col min="264" max="264" width="16.44140625" style="773" customWidth="1"/>
    <col min="265" max="265" width="18.33203125" style="773" customWidth="1"/>
    <col min="266" max="266" width="63.88671875" style="773" customWidth="1"/>
    <col min="267" max="268" width="9.109375" style="773"/>
    <col min="269" max="269" width="31.44140625" style="773" customWidth="1"/>
    <col min="270" max="513" width="9.109375" style="773"/>
    <col min="514" max="514" width="63.109375" style="773" customWidth="1"/>
    <col min="515" max="515" width="9.109375" style="773"/>
    <col min="516" max="516" width="14.109375" style="773" customWidth="1"/>
    <col min="517" max="517" width="12.88671875" style="773" customWidth="1"/>
    <col min="518" max="518" width="14" style="773" customWidth="1"/>
    <col min="519" max="519" width="18.88671875" style="773" customWidth="1"/>
    <col min="520" max="520" width="16.44140625" style="773" customWidth="1"/>
    <col min="521" max="521" width="18.33203125" style="773" customWidth="1"/>
    <col min="522" max="522" width="63.88671875" style="773" customWidth="1"/>
    <col min="523" max="524" width="9.109375" style="773"/>
    <col min="525" max="525" width="31.44140625" style="773" customWidth="1"/>
    <col min="526" max="769" width="9.109375" style="773"/>
    <col min="770" max="770" width="63.109375" style="773" customWidth="1"/>
    <col min="771" max="771" width="9.109375" style="773"/>
    <col min="772" max="772" width="14.109375" style="773" customWidth="1"/>
    <col min="773" max="773" width="12.88671875" style="773" customWidth="1"/>
    <col min="774" max="774" width="14" style="773" customWidth="1"/>
    <col min="775" max="775" width="18.88671875" style="773" customWidth="1"/>
    <col min="776" max="776" width="16.44140625" style="773" customWidth="1"/>
    <col min="777" max="777" width="18.33203125" style="773" customWidth="1"/>
    <col min="778" max="778" width="63.88671875" style="773" customWidth="1"/>
    <col min="779" max="780" width="9.109375" style="773"/>
    <col min="781" max="781" width="31.44140625" style="773" customWidth="1"/>
    <col min="782" max="1025" width="9.109375" style="773"/>
    <col min="1026" max="1026" width="63.109375" style="773" customWidth="1"/>
    <col min="1027" max="1027" width="9.109375" style="773"/>
    <col min="1028" max="1028" width="14.109375" style="773" customWidth="1"/>
    <col min="1029" max="1029" width="12.88671875" style="773" customWidth="1"/>
    <col min="1030" max="1030" width="14" style="773" customWidth="1"/>
    <col min="1031" max="1031" width="18.88671875" style="773" customWidth="1"/>
    <col min="1032" max="1032" width="16.44140625" style="773" customWidth="1"/>
    <col min="1033" max="1033" width="18.33203125" style="773" customWidth="1"/>
    <col min="1034" max="1034" width="63.88671875" style="773" customWidth="1"/>
    <col min="1035" max="1036" width="9.109375" style="773"/>
    <col min="1037" max="1037" width="31.44140625" style="773" customWidth="1"/>
    <col min="1038" max="1281" width="9.109375" style="773"/>
    <col min="1282" max="1282" width="63.109375" style="773" customWidth="1"/>
    <col min="1283" max="1283" width="9.109375" style="773"/>
    <col min="1284" max="1284" width="14.109375" style="773" customWidth="1"/>
    <col min="1285" max="1285" width="12.88671875" style="773" customWidth="1"/>
    <col min="1286" max="1286" width="14" style="773" customWidth="1"/>
    <col min="1287" max="1287" width="18.88671875" style="773" customWidth="1"/>
    <col min="1288" max="1288" width="16.44140625" style="773" customWidth="1"/>
    <col min="1289" max="1289" width="18.33203125" style="773" customWidth="1"/>
    <col min="1290" max="1290" width="63.88671875" style="773" customWidth="1"/>
    <col min="1291" max="1292" width="9.109375" style="773"/>
    <col min="1293" max="1293" width="31.44140625" style="773" customWidth="1"/>
    <col min="1294" max="1537" width="9.109375" style="773"/>
    <col min="1538" max="1538" width="63.109375" style="773" customWidth="1"/>
    <col min="1539" max="1539" width="9.109375" style="773"/>
    <col min="1540" max="1540" width="14.109375" style="773" customWidth="1"/>
    <col min="1541" max="1541" width="12.88671875" style="773" customWidth="1"/>
    <col min="1542" max="1542" width="14" style="773" customWidth="1"/>
    <col min="1543" max="1543" width="18.88671875" style="773" customWidth="1"/>
    <col min="1544" max="1544" width="16.44140625" style="773" customWidth="1"/>
    <col min="1545" max="1545" width="18.33203125" style="773" customWidth="1"/>
    <col min="1546" max="1546" width="63.88671875" style="773" customWidth="1"/>
    <col min="1547" max="1548" width="9.109375" style="773"/>
    <col min="1549" max="1549" width="31.44140625" style="773" customWidth="1"/>
    <col min="1550" max="1793" width="9.109375" style="773"/>
    <col min="1794" max="1794" width="63.109375" style="773" customWidth="1"/>
    <col min="1795" max="1795" width="9.109375" style="773"/>
    <col min="1796" max="1796" width="14.109375" style="773" customWidth="1"/>
    <col min="1797" max="1797" width="12.88671875" style="773" customWidth="1"/>
    <col min="1798" max="1798" width="14" style="773" customWidth="1"/>
    <col min="1799" max="1799" width="18.88671875" style="773" customWidth="1"/>
    <col min="1800" max="1800" width="16.44140625" style="773" customWidth="1"/>
    <col min="1801" max="1801" width="18.33203125" style="773" customWidth="1"/>
    <col min="1802" max="1802" width="63.88671875" style="773" customWidth="1"/>
    <col min="1803" max="1804" width="9.109375" style="773"/>
    <col min="1805" max="1805" width="31.44140625" style="773" customWidth="1"/>
    <col min="1806" max="2049" width="9.109375" style="773"/>
    <col min="2050" max="2050" width="63.109375" style="773" customWidth="1"/>
    <col min="2051" max="2051" width="9.109375" style="773"/>
    <col min="2052" max="2052" width="14.109375" style="773" customWidth="1"/>
    <col min="2053" max="2053" width="12.88671875" style="773" customWidth="1"/>
    <col min="2054" max="2054" width="14" style="773" customWidth="1"/>
    <col min="2055" max="2055" width="18.88671875" style="773" customWidth="1"/>
    <col min="2056" max="2056" width="16.44140625" style="773" customWidth="1"/>
    <col min="2057" max="2057" width="18.33203125" style="773" customWidth="1"/>
    <col min="2058" max="2058" width="63.88671875" style="773" customWidth="1"/>
    <col min="2059" max="2060" width="9.109375" style="773"/>
    <col min="2061" max="2061" width="31.44140625" style="773" customWidth="1"/>
    <col min="2062" max="2305" width="9.109375" style="773"/>
    <col min="2306" max="2306" width="63.109375" style="773" customWidth="1"/>
    <col min="2307" max="2307" width="9.109375" style="773"/>
    <col min="2308" max="2308" width="14.109375" style="773" customWidth="1"/>
    <col min="2309" max="2309" width="12.88671875" style="773" customWidth="1"/>
    <col min="2310" max="2310" width="14" style="773" customWidth="1"/>
    <col min="2311" max="2311" width="18.88671875" style="773" customWidth="1"/>
    <col min="2312" max="2312" width="16.44140625" style="773" customWidth="1"/>
    <col min="2313" max="2313" width="18.33203125" style="773" customWidth="1"/>
    <col min="2314" max="2314" width="63.88671875" style="773" customWidth="1"/>
    <col min="2315" max="2316" width="9.109375" style="773"/>
    <col min="2317" max="2317" width="31.44140625" style="773" customWidth="1"/>
    <col min="2318" max="2561" width="9.109375" style="773"/>
    <col min="2562" max="2562" width="63.109375" style="773" customWidth="1"/>
    <col min="2563" max="2563" width="9.109375" style="773"/>
    <col min="2564" max="2564" width="14.109375" style="773" customWidth="1"/>
    <col min="2565" max="2565" width="12.88671875" style="773" customWidth="1"/>
    <col min="2566" max="2566" width="14" style="773" customWidth="1"/>
    <col min="2567" max="2567" width="18.88671875" style="773" customWidth="1"/>
    <col min="2568" max="2568" width="16.44140625" style="773" customWidth="1"/>
    <col min="2569" max="2569" width="18.33203125" style="773" customWidth="1"/>
    <col min="2570" max="2570" width="63.88671875" style="773" customWidth="1"/>
    <col min="2571" max="2572" width="9.109375" style="773"/>
    <col min="2573" max="2573" width="31.44140625" style="773" customWidth="1"/>
    <col min="2574" max="2817" width="9.109375" style="773"/>
    <col min="2818" max="2818" width="63.109375" style="773" customWidth="1"/>
    <col min="2819" max="2819" width="9.109375" style="773"/>
    <col min="2820" max="2820" width="14.109375" style="773" customWidth="1"/>
    <col min="2821" max="2821" width="12.88671875" style="773" customWidth="1"/>
    <col min="2822" max="2822" width="14" style="773" customWidth="1"/>
    <col min="2823" max="2823" width="18.88671875" style="773" customWidth="1"/>
    <col min="2824" max="2824" width="16.44140625" style="773" customWidth="1"/>
    <col min="2825" max="2825" width="18.33203125" style="773" customWidth="1"/>
    <col min="2826" max="2826" width="63.88671875" style="773" customWidth="1"/>
    <col min="2827" max="2828" width="9.109375" style="773"/>
    <col min="2829" max="2829" width="31.44140625" style="773" customWidth="1"/>
    <col min="2830" max="3073" width="9.109375" style="773"/>
    <col min="3074" max="3074" width="63.109375" style="773" customWidth="1"/>
    <col min="3075" max="3075" width="9.109375" style="773"/>
    <col min="3076" max="3076" width="14.109375" style="773" customWidth="1"/>
    <col min="3077" max="3077" width="12.88671875" style="773" customWidth="1"/>
    <col min="3078" max="3078" width="14" style="773" customWidth="1"/>
    <col min="3079" max="3079" width="18.88671875" style="773" customWidth="1"/>
    <col min="3080" max="3080" width="16.44140625" style="773" customWidth="1"/>
    <col min="3081" max="3081" width="18.33203125" style="773" customWidth="1"/>
    <col min="3082" max="3082" width="63.88671875" style="773" customWidth="1"/>
    <col min="3083" max="3084" width="9.109375" style="773"/>
    <col min="3085" max="3085" width="31.44140625" style="773" customWidth="1"/>
    <col min="3086" max="3329" width="9.109375" style="773"/>
    <col min="3330" max="3330" width="63.109375" style="773" customWidth="1"/>
    <col min="3331" max="3331" width="9.109375" style="773"/>
    <col min="3332" max="3332" width="14.109375" style="773" customWidth="1"/>
    <col min="3333" max="3333" width="12.88671875" style="773" customWidth="1"/>
    <col min="3334" max="3334" width="14" style="773" customWidth="1"/>
    <col min="3335" max="3335" width="18.88671875" style="773" customWidth="1"/>
    <col min="3336" max="3336" width="16.44140625" style="773" customWidth="1"/>
    <col min="3337" max="3337" width="18.33203125" style="773" customWidth="1"/>
    <col min="3338" max="3338" width="63.88671875" style="773" customWidth="1"/>
    <col min="3339" max="3340" width="9.109375" style="773"/>
    <col min="3341" max="3341" width="31.44140625" style="773" customWidth="1"/>
    <col min="3342" max="3585" width="9.109375" style="773"/>
    <col min="3586" max="3586" width="63.109375" style="773" customWidth="1"/>
    <col min="3587" max="3587" width="9.109375" style="773"/>
    <col min="3588" max="3588" width="14.109375" style="773" customWidth="1"/>
    <col min="3589" max="3589" width="12.88671875" style="773" customWidth="1"/>
    <col min="3590" max="3590" width="14" style="773" customWidth="1"/>
    <col min="3591" max="3591" width="18.88671875" style="773" customWidth="1"/>
    <col min="3592" max="3592" width="16.44140625" style="773" customWidth="1"/>
    <col min="3593" max="3593" width="18.33203125" style="773" customWidth="1"/>
    <col min="3594" max="3594" width="63.88671875" style="773" customWidth="1"/>
    <col min="3595" max="3596" width="9.109375" style="773"/>
    <col min="3597" max="3597" width="31.44140625" style="773" customWidth="1"/>
    <col min="3598" max="3841" width="9.109375" style="773"/>
    <col min="3842" max="3842" width="63.109375" style="773" customWidth="1"/>
    <col min="3843" max="3843" width="9.109375" style="773"/>
    <col min="3844" max="3844" width="14.109375" style="773" customWidth="1"/>
    <col min="3845" max="3845" width="12.88671875" style="773" customWidth="1"/>
    <col min="3846" max="3846" width="14" style="773" customWidth="1"/>
    <col min="3847" max="3847" width="18.88671875" style="773" customWidth="1"/>
    <col min="3848" max="3848" width="16.44140625" style="773" customWidth="1"/>
    <col min="3849" max="3849" width="18.33203125" style="773" customWidth="1"/>
    <col min="3850" max="3850" width="63.88671875" style="773" customWidth="1"/>
    <col min="3851" max="3852" width="9.109375" style="773"/>
    <col min="3853" max="3853" width="31.44140625" style="773" customWidth="1"/>
    <col min="3854" max="4097" width="9.109375" style="773"/>
    <col min="4098" max="4098" width="63.109375" style="773" customWidth="1"/>
    <col min="4099" max="4099" width="9.109375" style="773"/>
    <col min="4100" max="4100" width="14.109375" style="773" customWidth="1"/>
    <col min="4101" max="4101" width="12.88671875" style="773" customWidth="1"/>
    <col min="4102" max="4102" width="14" style="773" customWidth="1"/>
    <col min="4103" max="4103" width="18.88671875" style="773" customWidth="1"/>
    <col min="4104" max="4104" width="16.44140625" style="773" customWidth="1"/>
    <col min="4105" max="4105" width="18.33203125" style="773" customWidth="1"/>
    <col min="4106" max="4106" width="63.88671875" style="773" customWidth="1"/>
    <col min="4107" max="4108" width="9.109375" style="773"/>
    <col min="4109" max="4109" width="31.44140625" style="773" customWidth="1"/>
    <col min="4110" max="4353" width="9.109375" style="773"/>
    <col min="4354" max="4354" width="63.109375" style="773" customWidth="1"/>
    <col min="4355" max="4355" width="9.109375" style="773"/>
    <col min="4356" max="4356" width="14.109375" style="773" customWidth="1"/>
    <col min="4357" max="4357" width="12.88671875" style="773" customWidth="1"/>
    <col min="4358" max="4358" width="14" style="773" customWidth="1"/>
    <col min="4359" max="4359" width="18.88671875" style="773" customWidth="1"/>
    <col min="4360" max="4360" width="16.44140625" style="773" customWidth="1"/>
    <col min="4361" max="4361" width="18.33203125" style="773" customWidth="1"/>
    <col min="4362" max="4362" width="63.88671875" style="773" customWidth="1"/>
    <col min="4363" max="4364" width="9.109375" style="773"/>
    <col min="4365" max="4365" width="31.44140625" style="773" customWidth="1"/>
    <col min="4366" max="4609" width="9.109375" style="773"/>
    <col min="4610" max="4610" width="63.109375" style="773" customWidth="1"/>
    <col min="4611" max="4611" width="9.109375" style="773"/>
    <col min="4612" max="4612" width="14.109375" style="773" customWidth="1"/>
    <col min="4613" max="4613" width="12.88671875" style="773" customWidth="1"/>
    <col min="4614" max="4614" width="14" style="773" customWidth="1"/>
    <col min="4615" max="4615" width="18.88671875" style="773" customWidth="1"/>
    <col min="4616" max="4616" width="16.44140625" style="773" customWidth="1"/>
    <col min="4617" max="4617" width="18.33203125" style="773" customWidth="1"/>
    <col min="4618" max="4618" width="63.88671875" style="773" customWidth="1"/>
    <col min="4619" max="4620" width="9.109375" style="773"/>
    <col min="4621" max="4621" width="31.44140625" style="773" customWidth="1"/>
    <col min="4622" max="4865" width="9.109375" style="773"/>
    <col min="4866" max="4866" width="63.109375" style="773" customWidth="1"/>
    <col min="4867" max="4867" width="9.109375" style="773"/>
    <col min="4868" max="4868" width="14.109375" style="773" customWidth="1"/>
    <col min="4869" max="4869" width="12.88671875" style="773" customWidth="1"/>
    <col min="4870" max="4870" width="14" style="773" customWidth="1"/>
    <col min="4871" max="4871" width="18.88671875" style="773" customWidth="1"/>
    <col min="4872" max="4872" width="16.44140625" style="773" customWidth="1"/>
    <col min="4873" max="4873" width="18.33203125" style="773" customWidth="1"/>
    <col min="4874" max="4874" width="63.88671875" style="773" customWidth="1"/>
    <col min="4875" max="4876" width="9.109375" style="773"/>
    <col min="4877" max="4877" width="31.44140625" style="773" customWidth="1"/>
    <col min="4878" max="5121" width="9.109375" style="773"/>
    <col min="5122" max="5122" width="63.109375" style="773" customWidth="1"/>
    <col min="5123" max="5123" width="9.109375" style="773"/>
    <col min="5124" max="5124" width="14.109375" style="773" customWidth="1"/>
    <col min="5125" max="5125" width="12.88671875" style="773" customWidth="1"/>
    <col min="5126" max="5126" width="14" style="773" customWidth="1"/>
    <col min="5127" max="5127" width="18.88671875" style="773" customWidth="1"/>
    <col min="5128" max="5128" width="16.44140625" style="773" customWidth="1"/>
    <col min="5129" max="5129" width="18.33203125" style="773" customWidth="1"/>
    <col min="5130" max="5130" width="63.88671875" style="773" customWidth="1"/>
    <col min="5131" max="5132" width="9.109375" style="773"/>
    <col min="5133" max="5133" width="31.44140625" style="773" customWidth="1"/>
    <col min="5134" max="5377" width="9.109375" style="773"/>
    <col min="5378" max="5378" width="63.109375" style="773" customWidth="1"/>
    <col min="5379" max="5379" width="9.109375" style="773"/>
    <col min="5380" max="5380" width="14.109375" style="773" customWidth="1"/>
    <col min="5381" max="5381" width="12.88671875" style="773" customWidth="1"/>
    <col min="5382" max="5382" width="14" style="773" customWidth="1"/>
    <col min="5383" max="5383" width="18.88671875" style="773" customWidth="1"/>
    <col min="5384" max="5384" width="16.44140625" style="773" customWidth="1"/>
    <col min="5385" max="5385" width="18.33203125" style="773" customWidth="1"/>
    <col min="5386" max="5386" width="63.88671875" style="773" customWidth="1"/>
    <col min="5387" max="5388" width="9.109375" style="773"/>
    <col min="5389" max="5389" width="31.44140625" style="773" customWidth="1"/>
    <col min="5390" max="5633" width="9.109375" style="773"/>
    <col min="5634" max="5634" width="63.109375" style="773" customWidth="1"/>
    <col min="5635" max="5635" width="9.109375" style="773"/>
    <col min="5636" max="5636" width="14.109375" style="773" customWidth="1"/>
    <col min="5637" max="5637" width="12.88671875" style="773" customWidth="1"/>
    <col min="5638" max="5638" width="14" style="773" customWidth="1"/>
    <col min="5639" max="5639" width="18.88671875" style="773" customWidth="1"/>
    <col min="5640" max="5640" width="16.44140625" style="773" customWidth="1"/>
    <col min="5641" max="5641" width="18.33203125" style="773" customWidth="1"/>
    <col min="5642" max="5642" width="63.88671875" style="773" customWidth="1"/>
    <col min="5643" max="5644" width="9.109375" style="773"/>
    <col min="5645" max="5645" width="31.44140625" style="773" customWidth="1"/>
    <col min="5646" max="5889" width="9.109375" style="773"/>
    <col min="5890" max="5890" width="63.109375" style="773" customWidth="1"/>
    <col min="5891" max="5891" width="9.109375" style="773"/>
    <col min="5892" max="5892" width="14.109375" style="773" customWidth="1"/>
    <col min="5893" max="5893" width="12.88671875" style="773" customWidth="1"/>
    <col min="5894" max="5894" width="14" style="773" customWidth="1"/>
    <col min="5895" max="5895" width="18.88671875" style="773" customWidth="1"/>
    <col min="5896" max="5896" width="16.44140625" style="773" customWidth="1"/>
    <col min="5897" max="5897" width="18.33203125" style="773" customWidth="1"/>
    <col min="5898" max="5898" width="63.88671875" style="773" customWidth="1"/>
    <col min="5899" max="5900" width="9.109375" style="773"/>
    <col min="5901" max="5901" width="31.44140625" style="773" customWidth="1"/>
    <col min="5902" max="6145" width="9.109375" style="773"/>
    <col min="6146" max="6146" width="63.109375" style="773" customWidth="1"/>
    <col min="6147" max="6147" width="9.109375" style="773"/>
    <col min="6148" max="6148" width="14.109375" style="773" customWidth="1"/>
    <col min="6149" max="6149" width="12.88671875" style="773" customWidth="1"/>
    <col min="6150" max="6150" width="14" style="773" customWidth="1"/>
    <col min="6151" max="6151" width="18.88671875" style="773" customWidth="1"/>
    <col min="6152" max="6152" width="16.44140625" style="773" customWidth="1"/>
    <col min="6153" max="6153" width="18.33203125" style="773" customWidth="1"/>
    <col min="6154" max="6154" width="63.88671875" style="773" customWidth="1"/>
    <col min="6155" max="6156" width="9.109375" style="773"/>
    <col min="6157" max="6157" width="31.44140625" style="773" customWidth="1"/>
    <col min="6158" max="6401" width="9.109375" style="773"/>
    <col min="6402" max="6402" width="63.109375" style="773" customWidth="1"/>
    <col min="6403" max="6403" width="9.109375" style="773"/>
    <col min="6404" max="6404" width="14.109375" style="773" customWidth="1"/>
    <col min="6405" max="6405" width="12.88671875" style="773" customWidth="1"/>
    <col min="6406" max="6406" width="14" style="773" customWidth="1"/>
    <col min="6407" max="6407" width="18.88671875" style="773" customWidth="1"/>
    <col min="6408" max="6408" width="16.44140625" style="773" customWidth="1"/>
    <col min="6409" max="6409" width="18.33203125" style="773" customWidth="1"/>
    <col min="6410" max="6410" width="63.88671875" style="773" customWidth="1"/>
    <col min="6411" max="6412" width="9.109375" style="773"/>
    <col min="6413" max="6413" width="31.44140625" style="773" customWidth="1"/>
    <col min="6414" max="6657" width="9.109375" style="773"/>
    <col min="6658" max="6658" width="63.109375" style="773" customWidth="1"/>
    <col min="6659" max="6659" width="9.109375" style="773"/>
    <col min="6660" max="6660" width="14.109375" style="773" customWidth="1"/>
    <col min="6661" max="6661" width="12.88671875" style="773" customWidth="1"/>
    <col min="6662" max="6662" width="14" style="773" customWidth="1"/>
    <col min="6663" max="6663" width="18.88671875" style="773" customWidth="1"/>
    <col min="6664" max="6664" width="16.44140625" style="773" customWidth="1"/>
    <col min="6665" max="6665" width="18.33203125" style="773" customWidth="1"/>
    <col min="6666" max="6666" width="63.88671875" style="773" customWidth="1"/>
    <col min="6667" max="6668" width="9.109375" style="773"/>
    <col min="6669" max="6669" width="31.44140625" style="773" customWidth="1"/>
    <col min="6670" max="6913" width="9.109375" style="773"/>
    <col min="6914" max="6914" width="63.109375" style="773" customWidth="1"/>
    <col min="6915" max="6915" width="9.109375" style="773"/>
    <col min="6916" max="6916" width="14.109375" style="773" customWidth="1"/>
    <col min="6917" max="6917" width="12.88671875" style="773" customWidth="1"/>
    <col min="6918" max="6918" width="14" style="773" customWidth="1"/>
    <col min="6919" max="6919" width="18.88671875" style="773" customWidth="1"/>
    <col min="6920" max="6920" width="16.44140625" style="773" customWidth="1"/>
    <col min="6921" max="6921" width="18.33203125" style="773" customWidth="1"/>
    <col min="6922" max="6922" width="63.88671875" style="773" customWidth="1"/>
    <col min="6923" max="6924" width="9.109375" style="773"/>
    <col min="6925" max="6925" width="31.44140625" style="773" customWidth="1"/>
    <col min="6926" max="7169" width="9.109375" style="773"/>
    <col min="7170" max="7170" width="63.109375" style="773" customWidth="1"/>
    <col min="7171" max="7171" width="9.109375" style="773"/>
    <col min="7172" max="7172" width="14.109375" style="773" customWidth="1"/>
    <col min="7173" max="7173" width="12.88671875" style="773" customWidth="1"/>
    <col min="7174" max="7174" width="14" style="773" customWidth="1"/>
    <col min="7175" max="7175" width="18.88671875" style="773" customWidth="1"/>
    <col min="7176" max="7176" width="16.44140625" style="773" customWidth="1"/>
    <col min="7177" max="7177" width="18.33203125" style="773" customWidth="1"/>
    <col min="7178" max="7178" width="63.88671875" style="773" customWidth="1"/>
    <col min="7179" max="7180" width="9.109375" style="773"/>
    <col min="7181" max="7181" width="31.44140625" style="773" customWidth="1"/>
    <col min="7182" max="7425" width="9.109375" style="773"/>
    <col min="7426" max="7426" width="63.109375" style="773" customWidth="1"/>
    <col min="7427" max="7427" width="9.109375" style="773"/>
    <col min="7428" max="7428" width="14.109375" style="773" customWidth="1"/>
    <col min="7429" max="7429" width="12.88671875" style="773" customWidth="1"/>
    <col min="7430" max="7430" width="14" style="773" customWidth="1"/>
    <col min="7431" max="7431" width="18.88671875" style="773" customWidth="1"/>
    <col min="7432" max="7432" width="16.44140625" style="773" customWidth="1"/>
    <col min="7433" max="7433" width="18.33203125" style="773" customWidth="1"/>
    <col min="7434" max="7434" width="63.88671875" style="773" customWidth="1"/>
    <col min="7435" max="7436" width="9.109375" style="773"/>
    <col min="7437" max="7437" width="31.44140625" style="773" customWidth="1"/>
    <col min="7438" max="7681" width="9.109375" style="773"/>
    <col min="7682" max="7682" width="63.109375" style="773" customWidth="1"/>
    <col min="7683" max="7683" width="9.109375" style="773"/>
    <col min="7684" max="7684" width="14.109375" style="773" customWidth="1"/>
    <col min="7685" max="7685" width="12.88671875" style="773" customWidth="1"/>
    <col min="7686" max="7686" width="14" style="773" customWidth="1"/>
    <col min="7687" max="7687" width="18.88671875" style="773" customWidth="1"/>
    <col min="7688" max="7688" width="16.44140625" style="773" customWidth="1"/>
    <col min="7689" max="7689" width="18.33203125" style="773" customWidth="1"/>
    <col min="7690" max="7690" width="63.88671875" style="773" customWidth="1"/>
    <col min="7691" max="7692" width="9.109375" style="773"/>
    <col min="7693" max="7693" width="31.44140625" style="773" customWidth="1"/>
    <col min="7694" max="7937" width="9.109375" style="773"/>
    <col min="7938" max="7938" width="63.109375" style="773" customWidth="1"/>
    <col min="7939" max="7939" width="9.109375" style="773"/>
    <col min="7940" max="7940" width="14.109375" style="773" customWidth="1"/>
    <col min="7941" max="7941" width="12.88671875" style="773" customWidth="1"/>
    <col min="7942" max="7942" width="14" style="773" customWidth="1"/>
    <col min="7943" max="7943" width="18.88671875" style="773" customWidth="1"/>
    <col min="7944" max="7944" width="16.44140625" style="773" customWidth="1"/>
    <col min="7945" max="7945" width="18.33203125" style="773" customWidth="1"/>
    <col min="7946" max="7946" width="63.88671875" style="773" customWidth="1"/>
    <col min="7947" max="7948" width="9.109375" style="773"/>
    <col min="7949" max="7949" width="31.44140625" style="773" customWidth="1"/>
    <col min="7950" max="8193" width="9.109375" style="773"/>
    <col min="8194" max="8194" width="63.109375" style="773" customWidth="1"/>
    <col min="8195" max="8195" width="9.109375" style="773"/>
    <col min="8196" max="8196" width="14.109375" style="773" customWidth="1"/>
    <col min="8197" max="8197" width="12.88671875" style="773" customWidth="1"/>
    <col min="8198" max="8198" width="14" style="773" customWidth="1"/>
    <col min="8199" max="8199" width="18.88671875" style="773" customWidth="1"/>
    <col min="8200" max="8200" width="16.44140625" style="773" customWidth="1"/>
    <col min="8201" max="8201" width="18.33203125" style="773" customWidth="1"/>
    <col min="8202" max="8202" width="63.88671875" style="773" customWidth="1"/>
    <col min="8203" max="8204" width="9.109375" style="773"/>
    <col min="8205" max="8205" width="31.44140625" style="773" customWidth="1"/>
    <col min="8206" max="8449" width="9.109375" style="773"/>
    <col min="8450" max="8450" width="63.109375" style="773" customWidth="1"/>
    <col min="8451" max="8451" width="9.109375" style="773"/>
    <col min="8452" max="8452" width="14.109375" style="773" customWidth="1"/>
    <col min="8453" max="8453" width="12.88671875" style="773" customWidth="1"/>
    <col min="8454" max="8454" width="14" style="773" customWidth="1"/>
    <col min="8455" max="8455" width="18.88671875" style="773" customWidth="1"/>
    <col min="8456" max="8456" width="16.44140625" style="773" customWidth="1"/>
    <col min="8457" max="8457" width="18.33203125" style="773" customWidth="1"/>
    <col min="8458" max="8458" width="63.88671875" style="773" customWidth="1"/>
    <col min="8459" max="8460" width="9.109375" style="773"/>
    <col min="8461" max="8461" width="31.44140625" style="773" customWidth="1"/>
    <col min="8462" max="8705" width="9.109375" style="773"/>
    <col min="8706" max="8706" width="63.109375" style="773" customWidth="1"/>
    <col min="8707" max="8707" width="9.109375" style="773"/>
    <col min="8708" max="8708" width="14.109375" style="773" customWidth="1"/>
    <col min="8709" max="8709" width="12.88671875" style="773" customWidth="1"/>
    <col min="8710" max="8710" width="14" style="773" customWidth="1"/>
    <col min="8711" max="8711" width="18.88671875" style="773" customWidth="1"/>
    <col min="8712" max="8712" width="16.44140625" style="773" customWidth="1"/>
    <col min="8713" max="8713" width="18.33203125" style="773" customWidth="1"/>
    <col min="8714" max="8714" width="63.88671875" style="773" customWidth="1"/>
    <col min="8715" max="8716" width="9.109375" style="773"/>
    <col min="8717" max="8717" width="31.44140625" style="773" customWidth="1"/>
    <col min="8718" max="8961" width="9.109375" style="773"/>
    <col min="8962" max="8962" width="63.109375" style="773" customWidth="1"/>
    <col min="8963" max="8963" width="9.109375" style="773"/>
    <col min="8964" max="8964" width="14.109375" style="773" customWidth="1"/>
    <col min="8965" max="8965" width="12.88671875" style="773" customWidth="1"/>
    <col min="8966" max="8966" width="14" style="773" customWidth="1"/>
    <col min="8967" max="8967" width="18.88671875" style="773" customWidth="1"/>
    <col min="8968" max="8968" width="16.44140625" style="773" customWidth="1"/>
    <col min="8969" max="8969" width="18.33203125" style="773" customWidth="1"/>
    <col min="8970" max="8970" width="63.88671875" style="773" customWidth="1"/>
    <col min="8971" max="8972" width="9.109375" style="773"/>
    <col min="8973" max="8973" width="31.44140625" style="773" customWidth="1"/>
    <col min="8974" max="9217" width="9.109375" style="773"/>
    <col min="9218" max="9218" width="63.109375" style="773" customWidth="1"/>
    <col min="9219" max="9219" width="9.109375" style="773"/>
    <col min="9220" max="9220" width="14.109375" style="773" customWidth="1"/>
    <col min="9221" max="9221" width="12.88671875" style="773" customWidth="1"/>
    <col min="9222" max="9222" width="14" style="773" customWidth="1"/>
    <col min="9223" max="9223" width="18.88671875" style="773" customWidth="1"/>
    <col min="9224" max="9224" width="16.44140625" style="773" customWidth="1"/>
    <col min="9225" max="9225" width="18.33203125" style="773" customWidth="1"/>
    <col min="9226" max="9226" width="63.88671875" style="773" customWidth="1"/>
    <col min="9227" max="9228" width="9.109375" style="773"/>
    <col min="9229" max="9229" width="31.44140625" style="773" customWidth="1"/>
    <col min="9230" max="9473" width="9.109375" style="773"/>
    <col min="9474" max="9474" width="63.109375" style="773" customWidth="1"/>
    <col min="9475" max="9475" width="9.109375" style="773"/>
    <col min="9476" max="9476" width="14.109375" style="773" customWidth="1"/>
    <col min="9477" max="9477" width="12.88671875" style="773" customWidth="1"/>
    <col min="9478" max="9478" width="14" style="773" customWidth="1"/>
    <col min="9479" max="9479" width="18.88671875" style="773" customWidth="1"/>
    <col min="9480" max="9480" width="16.44140625" style="773" customWidth="1"/>
    <col min="9481" max="9481" width="18.33203125" style="773" customWidth="1"/>
    <col min="9482" max="9482" width="63.88671875" style="773" customWidth="1"/>
    <col min="9483" max="9484" width="9.109375" style="773"/>
    <col min="9485" max="9485" width="31.44140625" style="773" customWidth="1"/>
    <col min="9486" max="9729" width="9.109375" style="773"/>
    <col min="9730" max="9730" width="63.109375" style="773" customWidth="1"/>
    <col min="9731" max="9731" width="9.109375" style="773"/>
    <col min="9732" max="9732" width="14.109375" style="773" customWidth="1"/>
    <col min="9733" max="9733" width="12.88671875" style="773" customWidth="1"/>
    <col min="9734" max="9734" width="14" style="773" customWidth="1"/>
    <col min="9735" max="9735" width="18.88671875" style="773" customWidth="1"/>
    <col min="9736" max="9736" width="16.44140625" style="773" customWidth="1"/>
    <col min="9737" max="9737" width="18.33203125" style="773" customWidth="1"/>
    <col min="9738" max="9738" width="63.88671875" style="773" customWidth="1"/>
    <col min="9739" max="9740" width="9.109375" style="773"/>
    <col min="9741" max="9741" width="31.44140625" style="773" customWidth="1"/>
    <col min="9742" max="9985" width="9.109375" style="773"/>
    <col min="9986" max="9986" width="63.109375" style="773" customWidth="1"/>
    <col min="9987" max="9987" width="9.109375" style="773"/>
    <col min="9988" max="9988" width="14.109375" style="773" customWidth="1"/>
    <col min="9989" max="9989" width="12.88671875" style="773" customWidth="1"/>
    <col min="9990" max="9990" width="14" style="773" customWidth="1"/>
    <col min="9991" max="9991" width="18.88671875" style="773" customWidth="1"/>
    <col min="9992" max="9992" width="16.44140625" style="773" customWidth="1"/>
    <col min="9993" max="9993" width="18.33203125" style="773" customWidth="1"/>
    <col min="9994" max="9994" width="63.88671875" style="773" customWidth="1"/>
    <col min="9995" max="9996" width="9.109375" style="773"/>
    <col min="9997" max="9997" width="31.44140625" style="773" customWidth="1"/>
    <col min="9998" max="10241" width="9.109375" style="773"/>
    <col min="10242" max="10242" width="63.109375" style="773" customWidth="1"/>
    <col min="10243" max="10243" width="9.109375" style="773"/>
    <col min="10244" max="10244" width="14.109375" style="773" customWidth="1"/>
    <col min="10245" max="10245" width="12.88671875" style="773" customWidth="1"/>
    <col min="10246" max="10246" width="14" style="773" customWidth="1"/>
    <col min="10247" max="10247" width="18.88671875" style="773" customWidth="1"/>
    <col min="10248" max="10248" width="16.44140625" style="773" customWidth="1"/>
    <col min="10249" max="10249" width="18.33203125" style="773" customWidth="1"/>
    <col min="10250" max="10250" width="63.88671875" style="773" customWidth="1"/>
    <col min="10251" max="10252" width="9.109375" style="773"/>
    <col min="10253" max="10253" width="31.44140625" style="773" customWidth="1"/>
    <col min="10254" max="10497" width="9.109375" style="773"/>
    <col min="10498" max="10498" width="63.109375" style="773" customWidth="1"/>
    <col min="10499" max="10499" width="9.109375" style="773"/>
    <col min="10500" max="10500" width="14.109375" style="773" customWidth="1"/>
    <col min="10501" max="10501" width="12.88671875" style="773" customWidth="1"/>
    <col min="10502" max="10502" width="14" style="773" customWidth="1"/>
    <col min="10503" max="10503" width="18.88671875" style="773" customWidth="1"/>
    <col min="10504" max="10504" width="16.44140625" style="773" customWidth="1"/>
    <col min="10505" max="10505" width="18.33203125" style="773" customWidth="1"/>
    <col min="10506" max="10506" width="63.88671875" style="773" customWidth="1"/>
    <col min="10507" max="10508" width="9.109375" style="773"/>
    <col min="10509" max="10509" width="31.44140625" style="773" customWidth="1"/>
    <col min="10510" max="10753" width="9.109375" style="773"/>
    <col min="10754" max="10754" width="63.109375" style="773" customWidth="1"/>
    <col min="10755" max="10755" width="9.109375" style="773"/>
    <col min="10756" max="10756" width="14.109375" style="773" customWidth="1"/>
    <col min="10757" max="10757" width="12.88671875" style="773" customWidth="1"/>
    <col min="10758" max="10758" width="14" style="773" customWidth="1"/>
    <col min="10759" max="10759" width="18.88671875" style="773" customWidth="1"/>
    <col min="10760" max="10760" width="16.44140625" style="773" customWidth="1"/>
    <col min="10761" max="10761" width="18.33203125" style="773" customWidth="1"/>
    <col min="10762" max="10762" width="63.88671875" style="773" customWidth="1"/>
    <col min="10763" max="10764" width="9.109375" style="773"/>
    <col min="10765" max="10765" width="31.44140625" style="773" customWidth="1"/>
    <col min="10766" max="11009" width="9.109375" style="773"/>
    <col min="11010" max="11010" width="63.109375" style="773" customWidth="1"/>
    <col min="11011" max="11011" width="9.109375" style="773"/>
    <col min="11012" max="11012" width="14.109375" style="773" customWidth="1"/>
    <col min="11013" max="11013" width="12.88671875" style="773" customWidth="1"/>
    <col min="11014" max="11014" width="14" style="773" customWidth="1"/>
    <col min="11015" max="11015" width="18.88671875" style="773" customWidth="1"/>
    <col min="11016" max="11016" width="16.44140625" style="773" customWidth="1"/>
    <col min="11017" max="11017" width="18.33203125" style="773" customWidth="1"/>
    <col min="11018" max="11018" width="63.88671875" style="773" customWidth="1"/>
    <col min="11019" max="11020" width="9.109375" style="773"/>
    <col min="11021" max="11021" width="31.44140625" style="773" customWidth="1"/>
    <col min="11022" max="11265" width="9.109375" style="773"/>
    <col min="11266" max="11266" width="63.109375" style="773" customWidth="1"/>
    <col min="11267" max="11267" width="9.109375" style="773"/>
    <col min="11268" max="11268" width="14.109375" style="773" customWidth="1"/>
    <col min="11269" max="11269" width="12.88671875" style="773" customWidth="1"/>
    <col min="11270" max="11270" width="14" style="773" customWidth="1"/>
    <col min="11271" max="11271" width="18.88671875" style="773" customWidth="1"/>
    <col min="11272" max="11272" width="16.44140625" style="773" customWidth="1"/>
    <col min="11273" max="11273" width="18.33203125" style="773" customWidth="1"/>
    <col min="11274" max="11274" width="63.88671875" style="773" customWidth="1"/>
    <col min="11275" max="11276" width="9.109375" style="773"/>
    <col min="11277" max="11277" width="31.44140625" style="773" customWidth="1"/>
    <col min="11278" max="11521" width="9.109375" style="773"/>
    <col min="11522" max="11522" width="63.109375" style="773" customWidth="1"/>
    <col min="11523" max="11523" width="9.109375" style="773"/>
    <col min="11524" max="11524" width="14.109375" style="773" customWidth="1"/>
    <col min="11525" max="11525" width="12.88671875" style="773" customWidth="1"/>
    <col min="11526" max="11526" width="14" style="773" customWidth="1"/>
    <col min="11527" max="11527" width="18.88671875" style="773" customWidth="1"/>
    <col min="11528" max="11528" width="16.44140625" style="773" customWidth="1"/>
    <col min="11529" max="11529" width="18.33203125" style="773" customWidth="1"/>
    <col min="11530" max="11530" width="63.88671875" style="773" customWidth="1"/>
    <col min="11531" max="11532" width="9.109375" style="773"/>
    <col min="11533" max="11533" width="31.44140625" style="773" customWidth="1"/>
    <col min="11534" max="11777" width="9.109375" style="773"/>
    <col min="11778" max="11778" width="63.109375" style="773" customWidth="1"/>
    <col min="11779" max="11779" width="9.109375" style="773"/>
    <col min="11780" max="11780" width="14.109375" style="773" customWidth="1"/>
    <col min="11781" max="11781" width="12.88671875" style="773" customWidth="1"/>
    <col min="11782" max="11782" width="14" style="773" customWidth="1"/>
    <col min="11783" max="11783" width="18.88671875" style="773" customWidth="1"/>
    <col min="11784" max="11784" width="16.44140625" style="773" customWidth="1"/>
    <col min="11785" max="11785" width="18.33203125" style="773" customWidth="1"/>
    <col min="11786" max="11786" width="63.88671875" style="773" customWidth="1"/>
    <col min="11787" max="11788" width="9.109375" style="773"/>
    <col min="11789" max="11789" width="31.44140625" style="773" customWidth="1"/>
    <col min="11790" max="12033" width="9.109375" style="773"/>
    <col min="12034" max="12034" width="63.109375" style="773" customWidth="1"/>
    <col min="12035" max="12035" width="9.109375" style="773"/>
    <col min="12036" max="12036" width="14.109375" style="773" customWidth="1"/>
    <col min="12037" max="12037" width="12.88671875" style="773" customWidth="1"/>
    <col min="12038" max="12038" width="14" style="773" customWidth="1"/>
    <col min="12039" max="12039" width="18.88671875" style="773" customWidth="1"/>
    <col min="12040" max="12040" width="16.44140625" style="773" customWidth="1"/>
    <col min="12041" max="12041" width="18.33203125" style="773" customWidth="1"/>
    <col min="12042" max="12042" width="63.88671875" style="773" customWidth="1"/>
    <col min="12043" max="12044" width="9.109375" style="773"/>
    <col min="12045" max="12045" width="31.44140625" style="773" customWidth="1"/>
    <col min="12046" max="12289" width="9.109375" style="773"/>
    <col min="12290" max="12290" width="63.109375" style="773" customWidth="1"/>
    <col min="12291" max="12291" width="9.109375" style="773"/>
    <col min="12292" max="12292" width="14.109375" style="773" customWidth="1"/>
    <col min="12293" max="12293" width="12.88671875" style="773" customWidth="1"/>
    <col min="12294" max="12294" width="14" style="773" customWidth="1"/>
    <col min="12295" max="12295" width="18.88671875" style="773" customWidth="1"/>
    <col min="12296" max="12296" width="16.44140625" style="773" customWidth="1"/>
    <col min="12297" max="12297" width="18.33203125" style="773" customWidth="1"/>
    <col min="12298" max="12298" width="63.88671875" style="773" customWidth="1"/>
    <col min="12299" max="12300" width="9.109375" style="773"/>
    <col min="12301" max="12301" width="31.44140625" style="773" customWidth="1"/>
    <col min="12302" max="12545" width="9.109375" style="773"/>
    <col min="12546" max="12546" width="63.109375" style="773" customWidth="1"/>
    <col min="12547" max="12547" width="9.109375" style="773"/>
    <col min="12548" max="12548" width="14.109375" style="773" customWidth="1"/>
    <col min="12549" max="12549" width="12.88671875" style="773" customWidth="1"/>
    <col min="12550" max="12550" width="14" style="773" customWidth="1"/>
    <col min="12551" max="12551" width="18.88671875" style="773" customWidth="1"/>
    <col min="12552" max="12552" width="16.44140625" style="773" customWidth="1"/>
    <col min="12553" max="12553" width="18.33203125" style="773" customWidth="1"/>
    <col min="12554" max="12554" width="63.88671875" style="773" customWidth="1"/>
    <col min="12555" max="12556" width="9.109375" style="773"/>
    <col min="12557" max="12557" width="31.44140625" style="773" customWidth="1"/>
    <col min="12558" max="12801" width="9.109375" style="773"/>
    <col min="12802" max="12802" width="63.109375" style="773" customWidth="1"/>
    <col min="12803" max="12803" width="9.109375" style="773"/>
    <col min="12804" max="12804" width="14.109375" style="773" customWidth="1"/>
    <col min="12805" max="12805" width="12.88671875" style="773" customWidth="1"/>
    <col min="12806" max="12806" width="14" style="773" customWidth="1"/>
    <col min="12807" max="12807" width="18.88671875" style="773" customWidth="1"/>
    <col min="12808" max="12808" width="16.44140625" style="773" customWidth="1"/>
    <col min="12809" max="12809" width="18.33203125" style="773" customWidth="1"/>
    <col min="12810" max="12810" width="63.88671875" style="773" customWidth="1"/>
    <col min="12811" max="12812" width="9.109375" style="773"/>
    <col min="12813" max="12813" width="31.44140625" style="773" customWidth="1"/>
    <col min="12814" max="13057" width="9.109375" style="773"/>
    <col min="13058" max="13058" width="63.109375" style="773" customWidth="1"/>
    <col min="13059" max="13059" width="9.109375" style="773"/>
    <col min="13060" max="13060" width="14.109375" style="773" customWidth="1"/>
    <col min="13061" max="13061" width="12.88671875" style="773" customWidth="1"/>
    <col min="13062" max="13062" width="14" style="773" customWidth="1"/>
    <col min="13063" max="13063" width="18.88671875" style="773" customWidth="1"/>
    <col min="13064" max="13064" width="16.44140625" style="773" customWidth="1"/>
    <col min="13065" max="13065" width="18.33203125" style="773" customWidth="1"/>
    <col min="13066" max="13066" width="63.88671875" style="773" customWidth="1"/>
    <col min="13067" max="13068" width="9.109375" style="773"/>
    <col min="13069" max="13069" width="31.44140625" style="773" customWidth="1"/>
    <col min="13070" max="13313" width="9.109375" style="773"/>
    <col min="13314" max="13314" width="63.109375" style="773" customWidth="1"/>
    <col min="13315" max="13315" width="9.109375" style="773"/>
    <col min="13316" max="13316" width="14.109375" style="773" customWidth="1"/>
    <col min="13317" max="13317" width="12.88671875" style="773" customWidth="1"/>
    <col min="13318" max="13318" width="14" style="773" customWidth="1"/>
    <col min="13319" max="13319" width="18.88671875" style="773" customWidth="1"/>
    <col min="13320" max="13320" width="16.44140625" style="773" customWidth="1"/>
    <col min="13321" max="13321" width="18.33203125" style="773" customWidth="1"/>
    <col min="13322" max="13322" width="63.88671875" style="773" customWidth="1"/>
    <col min="13323" max="13324" width="9.109375" style="773"/>
    <col min="13325" max="13325" width="31.44140625" style="773" customWidth="1"/>
    <col min="13326" max="13569" width="9.109375" style="773"/>
    <col min="13570" max="13570" width="63.109375" style="773" customWidth="1"/>
    <col min="13571" max="13571" width="9.109375" style="773"/>
    <col min="13572" max="13572" width="14.109375" style="773" customWidth="1"/>
    <col min="13573" max="13573" width="12.88671875" style="773" customWidth="1"/>
    <col min="13574" max="13574" width="14" style="773" customWidth="1"/>
    <col min="13575" max="13575" width="18.88671875" style="773" customWidth="1"/>
    <col min="13576" max="13576" width="16.44140625" style="773" customWidth="1"/>
    <col min="13577" max="13577" width="18.33203125" style="773" customWidth="1"/>
    <col min="13578" max="13578" width="63.88671875" style="773" customWidth="1"/>
    <col min="13579" max="13580" width="9.109375" style="773"/>
    <col min="13581" max="13581" width="31.44140625" style="773" customWidth="1"/>
    <col min="13582" max="13825" width="9.109375" style="773"/>
    <col min="13826" max="13826" width="63.109375" style="773" customWidth="1"/>
    <col min="13827" max="13827" width="9.109375" style="773"/>
    <col min="13828" max="13828" width="14.109375" style="773" customWidth="1"/>
    <col min="13829" max="13829" width="12.88671875" style="773" customWidth="1"/>
    <col min="13830" max="13830" width="14" style="773" customWidth="1"/>
    <col min="13831" max="13831" width="18.88671875" style="773" customWidth="1"/>
    <col min="13832" max="13832" width="16.44140625" style="773" customWidth="1"/>
    <col min="13833" max="13833" width="18.33203125" style="773" customWidth="1"/>
    <col min="13834" max="13834" width="63.88671875" style="773" customWidth="1"/>
    <col min="13835" max="13836" width="9.109375" style="773"/>
    <col min="13837" max="13837" width="31.44140625" style="773" customWidth="1"/>
    <col min="13838" max="14081" width="9.109375" style="773"/>
    <col min="14082" max="14082" width="63.109375" style="773" customWidth="1"/>
    <col min="14083" max="14083" width="9.109375" style="773"/>
    <col min="14084" max="14084" width="14.109375" style="773" customWidth="1"/>
    <col min="14085" max="14085" width="12.88671875" style="773" customWidth="1"/>
    <col min="14086" max="14086" width="14" style="773" customWidth="1"/>
    <col min="14087" max="14087" width="18.88671875" style="773" customWidth="1"/>
    <col min="14088" max="14088" width="16.44140625" style="773" customWidth="1"/>
    <col min="14089" max="14089" width="18.33203125" style="773" customWidth="1"/>
    <col min="14090" max="14090" width="63.88671875" style="773" customWidth="1"/>
    <col min="14091" max="14092" width="9.109375" style="773"/>
    <col min="14093" max="14093" width="31.44140625" style="773" customWidth="1"/>
    <col min="14094" max="14337" width="9.109375" style="773"/>
    <col min="14338" max="14338" width="63.109375" style="773" customWidth="1"/>
    <col min="14339" max="14339" width="9.109375" style="773"/>
    <col min="14340" max="14340" width="14.109375" style="773" customWidth="1"/>
    <col min="14341" max="14341" width="12.88671875" style="773" customWidth="1"/>
    <col min="14342" max="14342" width="14" style="773" customWidth="1"/>
    <col min="14343" max="14343" width="18.88671875" style="773" customWidth="1"/>
    <col min="14344" max="14344" width="16.44140625" style="773" customWidth="1"/>
    <col min="14345" max="14345" width="18.33203125" style="773" customWidth="1"/>
    <col min="14346" max="14346" width="63.88671875" style="773" customWidth="1"/>
    <col min="14347" max="14348" width="9.109375" style="773"/>
    <col min="14349" max="14349" width="31.44140625" style="773" customWidth="1"/>
    <col min="14350" max="14593" width="9.109375" style="773"/>
    <col min="14594" max="14594" width="63.109375" style="773" customWidth="1"/>
    <col min="14595" max="14595" width="9.109375" style="773"/>
    <col min="14596" max="14596" width="14.109375" style="773" customWidth="1"/>
    <col min="14597" max="14597" width="12.88671875" style="773" customWidth="1"/>
    <col min="14598" max="14598" width="14" style="773" customWidth="1"/>
    <col min="14599" max="14599" width="18.88671875" style="773" customWidth="1"/>
    <col min="14600" max="14600" width="16.44140625" style="773" customWidth="1"/>
    <col min="14601" max="14601" width="18.33203125" style="773" customWidth="1"/>
    <col min="14602" max="14602" width="63.88671875" style="773" customWidth="1"/>
    <col min="14603" max="14604" width="9.109375" style="773"/>
    <col min="14605" max="14605" width="31.44140625" style="773" customWidth="1"/>
    <col min="14606" max="14849" width="9.109375" style="773"/>
    <col min="14850" max="14850" width="63.109375" style="773" customWidth="1"/>
    <col min="14851" max="14851" width="9.109375" style="773"/>
    <col min="14852" max="14852" width="14.109375" style="773" customWidth="1"/>
    <col min="14853" max="14853" width="12.88671875" style="773" customWidth="1"/>
    <col min="14854" max="14854" width="14" style="773" customWidth="1"/>
    <col min="14855" max="14855" width="18.88671875" style="773" customWidth="1"/>
    <col min="14856" max="14856" width="16.44140625" style="773" customWidth="1"/>
    <col min="14857" max="14857" width="18.33203125" style="773" customWidth="1"/>
    <col min="14858" max="14858" width="63.88671875" style="773" customWidth="1"/>
    <col min="14859" max="14860" width="9.109375" style="773"/>
    <col min="14861" max="14861" width="31.44140625" style="773" customWidth="1"/>
    <col min="14862" max="15105" width="9.109375" style="773"/>
    <col min="15106" max="15106" width="63.109375" style="773" customWidth="1"/>
    <col min="15107" max="15107" width="9.109375" style="773"/>
    <col min="15108" max="15108" width="14.109375" style="773" customWidth="1"/>
    <col min="15109" max="15109" width="12.88671875" style="773" customWidth="1"/>
    <col min="15110" max="15110" width="14" style="773" customWidth="1"/>
    <col min="15111" max="15111" width="18.88671875" style="773" customWidth="1"/>
    <col min="15112" max="15112" width="16.44140625" style="773" customWidth="1"/>
    <col min="15113" max="15113" width="18.33203125" style="773" customWidth="1"/>
    <col min="15114" max="15114" width="63.88671875" style="773" customWidth="1"/>
    <col min="15115" max="15116" width="9.109375" style="773"/>
    <col min="15117" max="15117" width="31.44140625" style="773" customWidth="1"/>
    <col min="15118" max="15361" width="9.109375" style="773"/>
    <col min="15362" max="15362" width="63.109375" style="773" customWidth="1"/>
    <col min="15363" max="15363" width="9.109375" style="773"/>
    <col min="15364" max="15364" width="14.109375" style="773" customWidth="1"/>
    <col min="15365" max="15365" width="12.88671875" style="773" customWidth="1"/>
    <col min="15366" max="15366" width="14" style="773" customWidth="1"/>
    <col min="15367" max="15367" width="18.88671875" style="773" customWidth="1"/>
    <col min="15368" max="15368" width="16.44140625" style="773" customWidth="1"/>
    <col min="15369" max="15369" width="18.33203125" style="773" customWidth="1"/>
    <col min="15370" max="15370" width="63.88671875" style="773" customWidth="1"/>
    <col min="15371" max="15372" width="9.109375" style="773"/>
    <col min="15373" max="15373" width="31.44140625" style="773" customWidth="1"/>
    <col min="15374" max="15617" width="9.109375" style="773"/>
    <col min="15618" max="15618" width="63.109375" style="773" customWidth="1"/>
    <col min="15619" max="15619" width="9.109375" style="773"/>
    <col min="15620" max="15620" width="14.109375" style="773" customWidth="1"/>
    <col min="15621" max="15621" width="12.88671875" style="773" customWidth="1"/>
    <col min="15622" max="15622" width="14" style="773" customWidth="1"/>
    <col min="15623" max="15623" width="18.88671875" style="773" customWidth="1"/>
    <col min="15624" max="15624" width="16.44140625" style="773" customWidth="1"/>
    <col min="15625" max="15625" width="18.33203125" style="773" customWidth="1"/>
    <col min="15626" max="15626" width="63.88671875" style="773" customWidth="1"/>
    <col min="15627" max="15628" width="9.109375" style="773"/>
    <col min="15629" max="15629" width="31.44140625" style="773" customWidth="1"/>
    <col min="15630" max="15873" width="9.109375" style="773"/>
    <col min="15874" max="15874" width="63.109375" style="773" customWidth="1"/>
    <col min="15875" max="15875" width="9.109375" style="773"/>
    <col min="15876" max="15876" width="14.109375" style="773" customWidth="1"/>
    <col min="15877" max="15877" width="12.88671875" style="773" customWidth="1"/>
    <col min="15878" max="15878" width="14" style="773" customWidth="1"/>
    <col min="15879" max="15879" width="18.88671875" style="773" customWidth="1"/>
    <col min="15880" max="15880" width="16.44140625" style="773" customWidth="1"/>
    <col min="15881" max="15881" width="18.33203125" style="773" customWidth="1"/>
    <col min="15882" max="15882" width="63.88671875" style="773" customWidth="1"/>
    <col min="15883" max="15884" width="9.109375" style="773"/>
    <col min="15885" max="15885" width="31.44140625" style="773" customWidth="1"/>
    <col min="15886" max="16129" width="9.109375" style="773"/>
    <col min="16130" max="16130" width="63.109375" style="773" customWidth="1"/>
    <col min="16131" max="16131" width="9.109375" style="773"/>
    <col min="16132" max="16132" width="14.109375" style="773" customWidth="1"/>
    <col min="16133" max="16133" width="12.88671875" style="773" customWidth="1"/>
    <col min="16134" max="16134" width="14" style="773" customWidth="1"/>
    <col min="16135" max="16135" width="18.88671875" style="773" customWidth="1"/>
    <col min="16136" max="16136" width="16.44140625" style="773" customWidth="1"/>
    <col min="16137" max="16137" width="18.33203125" style="773" customWidth="1"/>
    <col min="16138" max="16138" width="63.88671875" style="773" customWidth="1"/>
    <col min="16139" max="16140" width="9.109375" style="773"/>
    <col min="16141" max="16141" width="31.44140625" style="773" customWidth="1"/>
    <col min="16142" max="16384" width="9.109375" style="773"/>
  </cols>
  <sheetData>
    <row r="1" spans="1:14" x14ac:dyDescent="0.3">
      <c r="A1" s="1452" t="s">
        <v>22</v>
      </c>
      <c r="B1" s="1453" t="s">
        <v>1</v>
      </c>
      <c r="C1" s="1454" t="s">
        <v>23</v>
      </c>
      <c r="D1" s="1455" t="s">
        <v>24</v>
      </c>
      <c r="E1" s="1456" t="s">
        <v>25</v>
      </c>
      <c r="F1" s="1456"/>
      <c r="G1" s="1457" t="s">
        <v>26</v>
      </c>
      <c r="H1" s="1457"/>
      <c r="I1" s="1450" t="s">
        <v>27</v>
      </c>
    </row>
    <row r="2" spans="1:14" x14ac:dyDescent="0.3">
      <c r="A2" s="1452"/>
      <c r="B2" s="1453"/>
      <c r="C2" s="1454"/>
      <c r="D2" s="1455"/>
      <c r="E2" s="774" t="s">
        <v>28</v>
      </c>
      <c r="F2" s="775" t="s">
        <v>29</v>
      </c>
      <c r="G2" s="776" t="s">
        <v>28</v>
      </c>
      <c r="H2" s="776" t="s">
        <v>30</v>
      </c>
      <c r="I2" s="1451"/>
    </row>
    <row r="3" spans="1:14" x14ac:dyDescent="0.3">
      <c r="A3" s="777"/>
      <c r="B3" s="778" t="s">
        <v>13</v>
      </c>
      <c r="C3" s="779"/>
      <c r="D3" s="780"/>
      <c r="E3" s="781"/>
      <c r="F3" s="782"/>
      <c r="G3" s="783"/>
      <c r="H3" s="783"/>
      <c r="I3" s="783"/>
    </row>
    <row r="4" spans="1:14" hidden="1" x14ac:dyDescent="0.3">
      <c r="A4" s="797" t="s">
        <v>1658</v>
      </c>
      <c r="B4" s="809" t="s">
        <v>2219</v>
      </c>
      <c r="C4" s="799" t="s">
        <v>74</v>
      </c>
      <c r="D4" s="800">
        <f>1*3.3*72.04</f>
        <v>237.732</v>
      </c>
      <c r="E4" s="801"/>
      <c r="F4" s="802"/>
      <c r="G4" s="793">
        <f t="shared" ref="G4:G10" si="0">D4*E4</f>
        <v>0</v>
      </c>
      <c r="H4" s="794">
        <f t="shared" ref="H4:H10" si="1">D4*F4</f>
        <v>0</v>
      </c>
      <c r="I4" s="794">
        <f t="shared" ref="I4:I10" si="2">G4+H4</f>
        <v>0</v>
      </c>
    </row>
    <row r="5" spans="1:14" hidden="1" x14ac:dyDescent="0.3">
      <c r="A5" s="797" t="s">
        <v>1660</v>
      </c>
      <c r="B5" s="809" t="s">
        <v>2220</v>
      </c>
      <c r="C5" s="799" t="s">
        <v>74</v>
      </c>
      <c r="D5" s="800">
        <f>2*1.09*72.04</f>
        <v>157.04720000000003</v>
      </c>
      <c r="E5" s="801"/>
      <c r="F5" s="802"/>
      <c r="G5" s="793">
        <f t="shared" si="0"/>
        <v>0</v>
      </c>
      <c r="H5" s="794">
        <f t="shared" si="1"/>
        <v>0</v>
      </c>
      <c r="I5" s="794">
        <f t="shared" si="2"/>
        <v>0</v>
      </c>
    </row>
    <row r="6" spans="1:14" hidden="1" x14ac:dyDescent="0.3">
      <c r="A6" s="797" t="s">
        <v>1661</v>
      </c>
      <c r="B6" s="809" t="s">
        <v>2221</v>
      </c>
      <c r="C6" s="799" t="s">
        <v>74</v>
      </c>
      <c r="D6" s="800">
        <f>1*3.73*69.18</f>
        <v>258.04140000000001</v>
      </c>
      <c r="E6" s="801"/>
      <c r="F6" s="802"/>
      <c r="G6" s="793">
        <f t="shared" si="0"/>
        <v>0</v>
      </c>
      <c r="H6" s="794">
        <f t="shared" si="1"/>
        <v>0</v>
      </c>
      <c r="I6" s="794">
        <f t="shared" si="2"/>
        <v>0</v>
      </c>
    </row>
    <row r="7" spans="1:14" hidden="1" x14ac:dyDescent="0.3">
      <c r="A7" s="797" t="s">
        <v>1663</v>
      </c>
      <c r="B7" s="809" t="s">
        <v>2222</v>
      </c>
      <c r="C7" s="799" t="s">
        <v>74</v>
      </c>
      <c r="D7" s="800">
        <f>4*1.09*69.18</f>
        <v>301.62480000000005</v>
      </c>
      <c r="E7" s="801"/>
      <c r="F7" s="802"/>
      <c r="G7" s="793">
        <f t="shared" si="0"/>
        <v>0</v>
      </c>
      <c r="H7" s="794">
        <f t="shared" si="1"/>
        <v>0</v>
      </c>
      <c r="I7" s="794">
        <f t="shared" si="2"/>
        <v>0</v>
      </c>
    </row>
    <row r="8" spans="1:14" hidden="1" x14ac:dyDescent="0.3">
      <c r="A8" s="797" t="s">
        <v>1665</v>
      </c>
      <c r="B8" s="809" t="s">
        <v>2223</v>
      </c>
      <c r="C8" s="799" t="s">
        <v>74</v>
      </c>
      <c r="D8" s="800">
        <f>1*3.845*69.18</f>
        <v>265.99710000000005</v>
      </c>
      <c r="E8" s="801"/>
      <c r="F8" s="802"/>
      <c r="G8" s="793">
        <f t="shared" si="0"/>
        <v>0</v>
      </c>
      <c r="H8" s="794">
        <f t="shared" si="1"/>
        <v>0</v>
      </c>
      <c r="I8" s="794">
        <f t="shared" si="2"/>
        <v>0</v>
      </c>
    </row>
    <row r="9" spans="1:14" hidden="1" x14ac:dyDescent="0.3">
      <c r="A9" s="797" t="s">
        <v>1666</v>
      </c>
      <c r="B9" s="809" t="s">
        <v>2224</v>
      </c>
      <c r="C9" s="799" t="s">
        <v>74</v>
      </c>
      <c r="D9" s="800">
        <f>1*1.09*69.18</f>
        <v>75.406200000000013</v>
      </c>
      <c r="E9" s="801"/>
      <c r="F9" s="802"/>
      <c r="G9" s="793">
        <f t="shared" si="0"/>
        <v>0</v>
      </c>
      <c r="H9" s="794">
        <f t="shared" si="1"/>
        <v>0</v>
      </c>
      <c r="I9" s="794">
        <f t="shared" si="2"/>
        <v>0</v>
      </c>
    </row>
    <row r="10" spans="1:14" hidden="1" x14ac:dyDescent="0.3">
      <c r="A10" s="797" t="s">
        <v>1668</v>
      </c>
      <c r="B10" s="809" t="s">
        <v>2225</v>
      </c>
      <c r="C10" s="799" t="s">
        <v>74</v>
      </c>
      <c r="D10" s="800">
        <f>2*3.305*69.18</f>
        <v>457.27980000000008</v>
      </c>
      <c r="E10" s="801"/>
      <c r="F10" s="802"/>
      <c r="G10" s="793">
        <f t="shared" si="0"/>
        <v>0</v>
      </c>
      <c r="H10" s="794">
        <f t="shared" si="1"/>
        <v>0</v>
      </c>
      <c r="I10" s="794">
        <f t="shared" si="2"/>
        <v>0</v>
      </c>
    </row>
    <row r="11" spans="1:14" x14ac:dyDescent="0.3">
      <c r="A11" s="784" t="s">
        <v>862</v>
      </c>
      <c r="B11" s="785" t="s">
        <v>13</v>
      </c>
      <c r="C11" s="786"/>
      <c r="D11" s="787"/>
      <c r="E11" s="818"/>
      <c r="F11" s="811"/>
      <c r="G11" s="812"/>
      <c r="H11" s="812"/>
      <c r="I11" s="812">
        <f>SUM(I12:I151)</f>
        <v>18366738.560534004</v>
      </c>
      <c r="N11" s="814"/>
    </row>
    <row r="12" spans="1:14" x14ac:dyDescent="0.3">
      <c r="A12" s="788"/>
      <c r="B12" s="819" t="s">
        <v>2226</v>
      </c>
      <c r="C12" s="820"/>
      <c r="D12" s="821"/>
      <c r="E12" s="801"/>
      <c r="F12" s="803"/>
      <c r="G12" s="794">
        <f>D12*E12</f>
        <v>0</v>
      </c>
      <c r="H12" s="794">
        <f>D12*F12</f>
        <v>0</v>
      </c>
      <c r="I12" s="794">
        <f>G12+H12</f>
        <v>0</v>
      </c>
      <c r="N12" s="814"/>
    </row>
    <row r="13" spans="1:14" s="795" customFormat="1" x14ac:dyDescent="0.3">
      <c r="A13" s="788"/>
      <c r="B13" s="822" t="s">
        <v>2227</v>
      </c>
      <c r="C13" s="823"/>
      <c r="D13" s="824"/>
      <c r="E13" s="791"/>
      <c r="F13" s="792"/>
      <c r="G13" s="794">
        <f t="shared" ref="G13:G77" si="3">D13*E13</f>
        <v>0</v>
      </c>
      <c r="H13" s="794">
        <f t="shared" ref="H13:H77" si="4">D13*F13</f>
        <v>0</v>
      </c>
      <c r="I13" s="794">
        <f t="shared" ref="I13:I72" si="5">G13+H13</f>
        <v>0</v>
      </c>
      <c r="N13" s="814"/>
    </row>
    <row r="14" spans="1:14" x14ac:dyDescent="0.3">
      <c r="A14" s="788" t="s">
        <v>2228</v>
      </c>
      <c r="B14" s="825" t="s">
        <v>2229</v>
      </c>
      <c r="C14" s="826" t="s">
        <v>74</v>
      </c>
      <c r="D14" s="827">
        <f>66.93+88.2+14.91+11.61+2663.94+508+234.45+247.38+83.25+26.81</f>
        <v>3945.48</v>
      </c>
      <c r="E14" s="828">
        <v>70</v>
      </c>
      <c r="F14" s="829">
        <f>(I15+I16)/D14</f>
        <v>174.20750000000004</v>
      </c>
      <c r="G14" s="794">
        <f t="shared" si="3"/>
        <v>276183.59999999998</v>
      </c>
      <c r="H14" s="830">
        <f t="shared" si="4"/>
        <v>687332.20710000012</v>
      </c>
      <c r="I14" s="794">
        <f>D14*E14</f>
        <v>276183.59999999998</v>
      </c>
      <c r="J14" s="927"/>
      <c r="N14" s="814"/>
    </row>
    <row r="15" spans="1:14" x14ac:dyDescent="0.3">
      <c r="A15" s="797" t="s">
        <v>2230</v>
      </c>
      <c r="B15" s="831" t="s">
        <v>2231</v>
      </c>
      <c r="C15" s="832" t="s">
        <v>79</v>
      </c>
      <c r="D15" s="833">
        <f>D14*8.5*1.5</f>
        <v>50304.87</v>
      </c>
      <c r="E15" s="834"/>
      <c r="F15" s="835">
        <v>11.33</v>
      </c>
      <c r="G15" s="794">
        <f t="shared" si="3"/>
        <v>0</v>
      </c>
      <c r="H15" s="794">
        <f t="shared" si="4"/>
        <v>569954.17710000009</v>
      </c>
      <c r="I15" s="794">
        <f t="shared" si="5"/>
        <v>569954.17710000009</v>
      </c>
      <c r="J15" s="927"/>
      <c r="N15" s="814"/>
    </row>
    <row r="16" spans="1:14" x14ac:dyDescent="0.3">
      <c r="A16" s="797" t="s">
        <v>2232</v>
      </c>
      <c r="B16" s="831" t="s">
        <v>2233</v>
      </c>
      <c r="C16" s="832" t="s">
        <v>311</v>
      </c>
      <c r="D16" s="833">
        <f>D14*0.35</f>
        <v>1380.9179999999999</v>
      </c>
      <c r="E16" s="828"/>
      <c r="F16" s="835">
        <v>85</v>
      </c>
      <c r="G16" s="794">
        <f t="shared" si="3"/>
        <v>0</v>
      </c>
      <c r="H16" s="794">
        <f t="shared" si="4"/>
        <v>117378.02999999998</v>
      </c>
      <c r="I16" s="794">
        <f t="shared" si="5"/>
        <v>117378.02999999998</v>
      </c>
      <c r="J16" s="927"/>
      <c r="N16" s="814"/>
    </row>
    <row r="17" spans="1:14" x14ac:dyDescent="0.3">
      <c r="A17" s="788" t="s">
        <v>2234</v>
      </c>
      <c r="B17" s="825" t="s">
        <v>2235</v>
      </c>
      <c r="C17" s="826" t="s">
        <v>74</v>
      </c>
      <c r="D17" s="836">
        <f>15.65</f>
        <v>15.65</v>
      </c>
      <c r="E17" s="837">
        <v>70</v>
      </c>
      <c r="F17" s="829">
        <f>(I18+I19+I20)/D17</f>
        <v>257.01</v>
      </c>
      <c r="G17" s="794">
        <f t="shared" si="3"/>
        <v>1095.5</v>
      </c>
      <c r="H17" s="830">
        <f t="shared" si="4"/>
        <v>4022.2064999999998</v>
      </c>
      <c r="I17" s="794">
        <f>D17*E17</f>
        <v>1095.5</v>
      </c>
      <c r="J17" s="927"/>
      <c r="N17" s="814"/>
    </row>
    <row r="18" spans="1:14" s="795" customFormat="1" ht="15.65" x14ac:dyDescent="0.3">
      <c r="A18" s="797" t="s">
        <v>2236</v>
      </c>
      <c r="B18" s="838" t="s">
        <v>2237</v>
      </c>
      <c r="C18" s="839" t="s">
        <v>79</v>
      </c>
      <c r="D18" s="833">
        <f>D17*8.5*2</f>
        <v>266.05</v>
      </c>
      <c r="E18" s="791"/>
      <c r="F18" s="840">
        <v>11.33</v>
      </c>
      <c r="G18" s="794">
        <f t="shared" si="3"/>
        <v>0</v>
      </c>
      <c r="H18" s="794">
        <f t="shared" si="4"/>
        <v>3014.3465000000001</v>
      </c>
      <c r="I18" s="794">
        <f t="shared" si="5"/>
        <v>3014.3465000000001</v>
      </c>
      <c r="J18" s="927"/>
      <c r="N18" s="814"/>
    </row>
    <row r="19" spans="1:14" ht="15.65" x14ac:dyDescent="0.3">
      <c r="A19" s="797" t="s">
        <v>2238</v>
      </c>
      <c r="B19" s="838" t="s">
        <v>2239</v>
      </c>
      <c r="C19" s="839" t="s">
        <v>74</v>
      </c>
      <c r="D19" s="833">
        <f>D17*1.05</f>
        <v>16.432500000000001</v>
      </c>
      <c r="E19" s="841"/>
      <c r="F19" s="835">
        <v>33</v>
      </c>
      <c r="G19" s="794">
        <f t="shared" si="3"/>
        <v>0</v>
      </c>
      <c r="H19" s="794">
        <f t="shared" si="4"/>
        <v>542.27250000000004</v>
      </c>
      <c r="I19" s="794">
        <f t="shared" si="5"/>
        <v>542.27250000000004</v>
      </c>
      <c r="J19" s="927"/>
      <c r="N19" s="814"/>
    </row>
    <row r="20" spans="1:14" ht="15.65" x14ac:dyDescent="0.3">
      <c r="A20" s="797" t="s">
        <v>2240</v>
      </c>
      <c r="B20" s="838" t="s">
        <v>2241</v>
      </c>
      <c r="C20" s="839" t="s">
        <v>311</v>
      </c>
      <c r="D20" s="833">
        <f>D17*0.35</f>
        <v>5.4775</v>
      </c>
      <c r="E20" s="841"/>
      <c r="F20" s="835">
        <v>85</v>
      </c>
      <c r="G20" s="794">
        <f t="shared" si="3"/>
        <v>0</v>
      </c>
      <c r="H20" s="794">
        <f t="shared" si="4"/>
        <v>465.58749999999998</v>
      </c>
      <c r="I20" s="794">
        <f t="shared" si="5"/>
        <v>465.58749999999998</v>
      </c>
      <c r="J20" s="927"/>
      <c r="N20" s="814"/>
    </row>
    <row r="21" spans="1:14" x14ac:dyDescent="0.3">
      <c r="A21" s="788" t="s">
        <v>2242</v>
      </c>
      <c r="B21" s="825" t="s">
        <v>2243</v>
      </c>
      <c r="C21" s="826" t="s">
        <v>74</v>
      </c>
      <c r="D21" s="836">
        <f>321.4</f>
        <v>321.39999999999998</v>
      </c>
      <c r="E21" s="841">
        <v>70</v>
      </c>
      <c r="F21" s="829">
        <f>(I22+I23+I24)/D21</f>
        <v>327.91249999999997</v>
      </c>
      <c r="G21" s="794">
        <f t="shared" si="3"/>
        <v>22498</v>
      </c>
      <c r="H21" s="830">
        <f t="shared" si="4"/>
        <v>105391.07749999998</v>
      </c>
      <c r="I21" s="794">
        <f>D21*E21</f>
        <v>22498</v>
      </c>
      <c r="J21" s="927"/>
    </row>
    <row r="22" spans="1:14" ht="15.65" x14ac:dyDescent="0.3">
      <c r="A22" s="797" t="s">
        <v>2244</v>
      </c>
      <c r="B22" s="838" t="s">
        <v>2245</v>
      </c>
      <c r="C22" s="839" t="s">
        <v>79</v>
      </c>
      <c r="D22" s="833">
        <f>D21*8.5*2.5</f>
        <v>6829.7499999999991</v>
      </c>
      <c r="E22" s="841"/>
      <c r="F22" s="835">
        <v>11.33</v>
      </c>
      <c r="G22" s="794">
        <f t="shared" si="3"/>
        <v>0</v>
      </c>
      <c r="H22" s="794">
        <f t="shared" si="4"/>
        <v>77381.06749999999</v>
      </c>
      <c r="I22" s="794">
        <f t="shared" si="5"/>
        <v>77381.06749999999</v>
      </c>
      <c r="J22" s="927"/>
    </row>
    <row r="23" spans="1:14" ht="15.65" x14ac:dyDescent="0.3">
      <c r="A23" s="797" t="s">
        <v>2246</v>
      </c>
      <c r="B23" s="838" t="s">
        <v>2239</v>
      </c>
      <c r="C23" s="839" t="s">
        <v>74</v>
      </c>
      <c r="D23" s="833">
        <f>D21*1.05</f>
        <v>337.46999999999997</v>
      </c>
      <c r="E23" s="841"/>
      <c r="F23" s="835">
        <v>33</v>
      </c>
      <c r="G23" s="794">
        <f t="shared" si="3"/>
        <v>0</v>
      </c>
      <c r="H23" s="794">
        <f t="shared" si="4"/>
        <v>11136.509999999998</v>
      </c>
      <c r="I23" s="794">
        <f t="shared" si="5"/>
        <v>11136.509999999998</v>
      </c>
      <c r="J23" s="927"/>
      <c r="N23" s="814"/>
    </row>
    <row r="24" spans="1:14" s="795" customFormat="1" ht="15.65" x14ac:dyDescent="0.3">
      <c r="A24" s="797" t="s">
        <v>2247</v>
      </c>
      <c r="B24" s="838" t="s">
        <v>2248</v>
      </c>
      <c r="C24" s="839" t="s">
        <v>311</v>
      </c>
      <c r="D24" s="833">
        <f>D21*0.35</f>
        <v>112.48999999999998</v>
      </c>
      <c r="E24" s="791"/>
      <c r="F24" s="840">
        <v>150</v>
      </c>
      <c r="G24" s="794">
        <f t="shared" si="3"/>
        <v>0</v>
      </c>
      <c r="H24" s="794">
        <f t="shared" si="4"/>
        <v>16873.499999999996</v>
      </c>
      <c r="I24" s="794">
        <f t="shared" si="5"/>
        <v>16873.499999999996</v>
      </c>
      <c r="J24" s="927"/>
    </row>
    <row r="25" spans="1:14" x14ac:dyDescent="0.3">
      <c r="A25" s="788" t="s">
        <v>2249</v>
      </c>
      <c r="B25" s="825" t="s">
        <v>2250</v>
      </c>
      <c r="C25" s="826" t="s">
        <v>74</v>
      </c>
      <c r="D25" s="842">
        <f>88.2+78.99+49.72+2663.94+1813.62+551.53+694.46+234.45+534.59+247.38+83.25+26.81</f>
        <v>7066.94</v>
      </c>
      <c r="E25" s="791">
        <v>30</v>
      </c>
      <c r="F25" s="843">
        <f>(I25+I26+I27)/D25</f>
        <v>73.75</v>
      </c>
      <c r="G25" s="794">
        <f t="shared" si="3"/>
        <v>212008.19999999998</v>
      </c>
      <c r="H25" s="830">
        <f t="shared" si="4"/>
        <v>521186.82499999995</v>
      </c>
      <c r="I25" s="794">
        <f>D25*E25</f>
        <v>212008.19999999998</v>
      </c>
      <c r="J25" s="927"/>
    </row>
    <row r="26" spans="1:14" x14ac:dyDescent="0.3">
      <c r="A26" s="797" t="s">
        <v>2251</v>
      </c>
      <c r="B26" s="424" t="s">
        <v>2252</v>
      </c>
      <c r="C26" s="425" t="s">
        <v>79</v>
      </c>
      <c r="D26" s="844">
        <f>0.8*D25</f>
        <v>5653.5519999999997</v>
      </c>
      <c r="E26" s="791"/>
      <c r="F26" s="817">
        <v>17.5</v>
      </c>
      <c r="G26" s="794">
        <f t="shared" si="3"/>
        <v>0</v>
      </c>
      <c r="H26" s="794">
        <f t="shared" si="4"/>
        <v>98937.159999999989</v>
      </c>
      <c r="I26" s="794">
        <f t="shared" si="5"/>
        <v>98937.159999999989</v>
      </c>
      <c r="J26" s="927"/>
    </row>
    <row r="27" spans="1:14" x14ac:dyDescent="0.3">
      <c r="A27" s="797" t="s">
        <v>2253</v>
      </c>
      <c r="B27" s="831" t="s">
        <v>2233</v>
      </c>
      <c r="C27" s="832" t="s">
        <v>311</v>
      </c>
      <c r="D27" s="833">
        <f>D25*0.35</f>
        <v>2473.4289999999996</v>
      </c>
      <c r="E27" s="791"/>
      <c r="F27" s="817">
        <v>85</v>
      </c>
      <c r="G27" s="794">
        <f t="shared" si="3"/>
        <v>0</v>
      </c>
      <c r="H27" s="794">
        <f t="shared" si="4"/>
        <v>210241.46499999997</v>
      </c>
      <c r="I27" s="794">
        <f t="shared" si="5"/>
        <v>210241.46499999997</v>
      </c>
      <c r="J27" s="927"/>
    </row>
    <row r="28" spans="1:14" x14ac:dyDescent="0.3">
      <c r="A28" s="788" t="s">
        <v>2254</v>
      </c>
      <c r="B28" s="825" t="s">
        <v>2255</v>
      </c>
      <c r="C28" s="826" t="s">
        <v>74</v>
      </c>
      <c r="D28" s="842">
        <f>88.2+78.99+49.72+15.65+2663.94+1813.62+551.53+694.46+234.45+534.59+568.78+83.25+26.81</f>
        <v>7403.99</v>
      </c>
      <c r="E28" s="828">
        <v>30</v>
      </c>
      <c r="F28" s="829">
        <f>(I29+I30)/D28</f>
        <v>274.58863531690344</v>
      </c>
      <c r="G28" s="794">
        <f t="shared" si="3"/>
        <v>222119.69999999998</v>
      </c>
      <c r="H28" s="830">
        <f t="shared" si="4"/>
        <v>2033051.5099999998</v>
      </c>
      <c r="I28" s="794">
        <f>D28*E28</f>
        <v>222119.69999999998</v>
      </c>
      <c r="J28" s="927"/>
    </row>
    <row r="29" spans="1:14" ht="28.8" x14ac:dyDescent="0.3">
      <c r="A29" s="797" t="s">
        <v>2256</v>
      </c>
      <c r="B29" s="424" t="s">
        <v>2257</v>
      </c>
      <c r="C29" s="425" t="s">
        <v>79</v>
      </c>
      <c r="D29" s="799">
        <f>ROUND(D28*0.17*2,0)</f>
        <v>2517</v>
      </c>
      <c r="E29" s="841"/>
      <c r="F29" s="835">
        <v>69.23</v>
      </c>
      <c r="G29" s="794">
        <f t="shared" si="3"/>
        <v>0</v>
      </c>
      <c r="H29" s="794">
        <f t="shared" si="4"/>
        <v>174251.91</v>
      </c>
      <c r="I29" s="794">
        <f t="shared" si="5"/>
        <v>174251.91</v>
      </c>
      <c r="J29" s="927"/>
    </row>
    <row r="30" spans="1:14" x14ac:dyDescent="0.3">
      <c r="A30" s="788" t="s">
        <v>2258</v>
      </c>
      <c r="B30" s="825" t="s">
        <v>2259</v>
      </c>
      <c r="C30" s="826" t="s">
        <v>74</v>
      </c>
      <c r="D30" s="845">
        <f>88.2+78.99+49.72+15.65+2663.94+1813.62+551.53+300.14+508+321.4+247.38</f>
        <v>6638.57</v>
      </c>
      <c r="E30" s="828">
        <v>280</v>
      </c>
      <c r="F30" s="835"/>
      <c r="G30" s="794">
        <f t="shared" si="3"/>
        <v>1858799.5999999999</v>
      </c>
      <c r="H30" s="794">
        <f t="shared" si="4"/>
        <v>0</v>
      </c>
      <c r="I30" s="794">
        <f t="shared" si="5"/>
        <v>1858799.5999999999</v>
      </c>
      <c r="J30" s="927"/>
    </row>
    <row r="31" spans="1:14" x14ac:dyDescent="0.3">
      <c r="A31" s="788" t="s">
        <v>2260</v>
      </c>
      <c r="B31" s="825" t="s">
        <v>2261</v>
      </c>
      <c r="C31" s="826" t="s">
        <v>74</v>
      </c>
      <c r="D31" s="842">
        <f>11.84+14.91+11.61+12.43</f>
        <v>50.79</v>
      </c>
      <c r="E31" s="837">
        <v>350</v>
      </c>
      <c r="F31" s="829">
        <f>(I32+I33)/D31</f>
        <v>547.4</v>
      </c>
      <c r="G31" s="794">
        <f t="shared" si="3"/>
        <v>17776.5</v>
      </c>
      <c r="H31" s="830">
        <f t="shared" si="4"/>
        <v>27802.446</v>
      </c>
      <c r="I31" s="794">
        <f>G31</f>
        <v>17776.5</v>
      </c>
      <c r="J31" s="927"/>
    </row>
    <row r="32" spans="1:14" x14ac:dyDescent="0.3">
      <c r="A32" s="797" t="s">
        <v>2262</v>
      </c>
      <c r="B32" s="831" t="s">
        <v>2263</v>
      </c>
      <c r="C32" s="832" t="s">
        <v>79</v>
      </c>
      <c r="D32" s="833">
        <f>D31*3.5</f>
        <v>177.76499999999999</v>
      </c>
      <c r="E32" s="828"/>
      <c r="F32" s="835">
        <v>18.399999999999999</v>
      </c>
      <c r="G32" s="794">
        <f t="shared" si="3"/>
        <v>0</v>
      </c>
      <c r="H32" s="794">
        <f t="shared" si="4"/>
        <v>3270.8759999999993</v>
      </c>
      <c r="I32" s="794">
        <f>G32+H32</f>
        <v>3270.8759999999993</v>
      </c>
      <c r="J32" s="927"/>
    </row>
    <row r="33" spans="1:10" x14ac:dyDescent="0.3">
      <c r="A33" s="797" t="s">
        <v>2264</v>
      </c>
      <c r="B33" s="831" t="s">
        <v>2265</v>
      </c>
      <c r="C33" s="832" t="s">
        <v>74</v>
      </c>
      <c r="D33" s="833">
        <f>D31*1.05</f>
        <v>53.329500000000003</v>
      </c>
      <c r="E33" s="841"/>
      <c r="F33" s="835">
        <v>460</v>
      </c>
      <c r="G33" s="794">
        <f t="shared" si="3"/>
        <v>0</v>
      </c>
      <c r="H33" s="794">
        <f t="shared" si="4"/>
        <v>24531.57</v>
      </c>
      <c r="I33" s="794">
        <f t="shared" si="5"/>
        <v>24531.57</v>
      </c>
      <c r="J33" s="927"/>
    </row>
    <row r="34" spans="1:10" customFormat="1" x14ac:dyDescent="0.3">
      <c r="A34" s="905" t="s">
        <v>2266</v>
      </c>
      <c r="B34" s="980" t="s">
        <v>2267</v>
      </c>
      <c r="C34" s="981" t="s">
        <v>74</v>
      </c>
      <c r="D34" s="982">
        <f>(2.485+1.68+2.575*2)*2.86</f>
        <v>26.640900000000002</v>
      </c>
      <c r="E34" s="977">
        <v>200</v>
      </c>
      <c r="F34" s="966">
        <f>(I35+I36+I37)/D34</f>
        <v>366.45373054213633</v>
      </c>
      <c r="G34" s="949">
        <f t="shared" si="3"/>
        <v>5328.18</v>
      </c>
      <c r="H34" s="967">
        <f t="shared" si="4"/>
        <v>9762.6571899999999</v>
      </c>
      <c r="I34" s="949">
        <f>G34</f>
        <v>5328.18</v>
      </c>
    </row>
    <row r="35" spans="1:10" customFormat="1" ht="15.65" x14ac:dyDescent="0.3">
      <c r="A35" s="307" t="s">
        <v>2268</v>
      </c>
      <c r="B35" s="983" t="s">
        <v>2269</v>
      </c>
      <c r="C35" s="969" t="s">
        <v>34</v>
      </c>
      <c r="D35" s="984">
        <f>(2.485+1.68)*2.86*0.05</f>
        <v>0.59559499999999999</v>
      </c>
      <c r="E35" s="977"/>
      <c r="F35" s="985">
        <v>3950</v>
      </c>
      <c r="G35" s="949">
        <f t="shared" si="3"/>
        <v>0</v>
      </c>
      <c r="H35" s="949">
        <f t="shared" si="4"/>
        <v>2352.60025</v>
      </c>
      <c r="I35" s="949">
        <f t="shared" ref="I35:I63" si="6">G35+H35</f>
        <v>2352.60025</v>
      </c>
    </row>
    <row r="36" spans="1:10" customFormat="1" ht="15.65" x14ac:dyDescent="0.3">
      <c r="A36" s="307" t="s">
        <v>2270</v>
      </c>
      <c r="B36" s="983" t="s">
        <v>2271</v>
      </c>
      <c r="C36" s="969" t="s">
        <v>34</v>
      </c>
      <c r="D36" s="984">
        <f>2.575*2*2.86*0.09</f>
        <v>1.32561</v>
      </c>
      <c r="E36" s="977"/>
      <c r="F36" s="985">
        <v>3950</v>
      </c>
      <c r="G36" s="949">
        <f t="shared" si="3"/>
        <v>0</v>
      </c>
      <c r="H36" s="949">
        <f t="shared" si="4"/>
        <v>5236.1594999999998</v>
      </c>
      <c r="I36" s="949">
        <f t="shared" si="6"/>
        <v>5236.1594999999998</v>
      </c>
    </row>
    <row r="37" spans="1:10" customFormat="1" ht="15.65" x14ac:dyDescent="0.3">
      <c r="A37" s="307" t="s">
        <v>2272</v>
      </c>
      <c r="B37" s="983" t="s">
        <v>1164</v>
      </c>
      <c r="C37" s="986" t="s">
        <v>96</v>
      </c>
      <c r="D37" s="987">
        <f>PRODUCT(D34,6)</f>
        <v>159.84540000000001</v>
      </c>
      <c r="E37" s="988">
        <v>0</v>
      </c>
      <c r="F37" s="989">
        <v>13.6</v>
      </c>
      <c r="G37" s="990">
        <f t="shared" si="3"/>
        <v>0</v>
      </c>
      <c r="H37" s="990">
        <f t="shared" si="4"/>
        <v>2173.8974400000002</v>
      </c>
      <c r="I37" s="990">
        <f t="shared" si="6"/>
        <v>2173.8974400000002</v>
      </c>
    </row>
    <row r="38" spans="1:10" customFormat="1" x14ac:dyDescent="0.3">
      <c r="A38" s="307" t="s">
        <v>2573</v>
      </c>
      <c r="B38" s="991" t="s">
        <v>1168</v>
      </c>
      <c r="C38" s="629" t="s">
        <v>1169</v>
      </c>
      <c r="D38" s="992">
        <f>PRODUCT(D34,8,1/25)</f>
        <v>8.5250880000000002</v>
      </c>
      <c r="E38" s="993"/>
      <c r="F38" s="629">
        <v>360</v>
      </c>
      <c r="G38" s="990">
        <f>D38*E38</f>
        <v>0</v>
      </c>
      <c r="H38" s="990">
        <f>D38*F38</f>
        <v>3069.0316800000001</v>
      </c>
      <c r="I38" s="990">
        <f>G38+H38</f>
        <v>3069.0316800000001</v>
      </c>
    </row>
    <row r="39" spans="1:10" customFormat="1" x14ac:dyDescent="0.3">
      <c r="A39" s="307"/>
      <c r="B39" s="847" t="s">
        <v>2273</v>
      </c>
      <c r="C39" s="425"/>
      <c r="D39" s="844"/>
      <c r="E39" s="965"/>
      <c r="F39" s="972"/>
      <c r="G39" s="949"/>
      <c r="H39" s="949"/>
      <c r="I39" s="949"/>
    </row>
    <row r="40" spans="1:10" customFormat="1" x14ac:dyDescent="0.3">
      <c r="A40" s="905" t="s">
        <v>2274</v>
      </c>
      <c r="B40" s="848" t="s">
        <v>2275</v>
      </c>
      <c r="C40" s="826" t="s">
        <v>74</v>
      </c>
      <c r="D40" s="849">
        <f>0.53+12.19+0.93+29.69</f>
        <v>43.34</v>
      </c>
      <c r="E40" s="973">
        <v>70</v>
      </c>
      <c r="F40" s="966">
        <f>(I41+I42)/D40</f>
        <v>203.95750000000001</v>
      </c>
      <c r="G40" s="949">
        <f t="shared" si="3"/>
        <v>3033.8</v>
      </c>
      <c r="H40" s="967">
        <f t="shared" si="4"/>
        <v>8839.5180500000006</v>
      </c>
      <c r="I40" s="949">
        <f>G40</f>
        <v>3033.8</v>
      </c>
    </row>
    <row r="41" spans="1:10" s="950" customFormat="1" x14ac:dyDescent="0.3">
      <c r="A41" s="307" t="s">
        <v>2276</v>
      </c>
      <c r="B41" s="968" t="s">
        <v>2277</v>
      </c>
      <c r="C41" s="969" t="s">
        <v>79</v>
      </c>
      <c r="D41" s="969">
        <f>D40*8.5*1.5</f>
        <v>552.58500000000004</v>
      </c>
      <c r="E41" s="947"/>
      <c r="F41" s="976">
        <v>11.33</v>
      </c>
      <c r="G41" s="949">
        <f t="shared" si="3"/>
        <v>0</v>
      </c>
      <c r="H41" s="949">
        <f t="shared" si="4"/>
        <v>6260.7880500000001</v>
      </c>
      <c r="I41" s="949">
        <f t="shared" si="6"/>
        <v>6260.7880500000001</v>
      </c>
    </row>
    <row r="42" spans="1:10" customFormat="1" x14ac:dyDescent="0.3">
      <c r="A42" s="307" t="s">
        <v>2278</v>
      </c>
      <c r="B42" s="968" t="s">
        <v>2248</v>
      </c>
      <c r="C42" s="969" t="s">
        <v>311</v>
      </c>
      <c r="D42" s="970">
        <f>D40*0.35*2</f>
        <v>30.338000000000001</v>
      </c>
      <c r="E42" s="977"/>
      <c r="F42" s="972">
        <v>85</v>
      </c>
      <c r="G42" s="949">
        <f t="shared" si="3"/>
        <v>0</v>
      </c>
      <c r="H42" s="949">
        <f t="shared" si="4"/>
        <v>2578.73</v>
      </c>
      <c r="I42" s="949">
        <f t="shared" si="6"/>
        <v>2578.73</v>
      </c>
    </row>
    <row r="43" spans="1:10" customFormat="1" x14ac:dyDescent="0.3">
      <c r="A43" s="905" t="s">
        <v>2279</v>
      </c>
      <c r="B43" s="848" t="s">
        <v>2235</v>
      </c>
      <c r="C43" s="826" t="s">
        <v>74</v>
      </c>
      <c r="D43" s="849">
        <f>53.34+1209.82+36.86+11.31</f>
        <v>1311.3299999999997</v>
      </c>
      <c r="E43" s="977">
        <v>70</v>
      </c>
      <c r="F43" s="966">
        <f>(I44+I45+I46)/D43</f>
        <v>286.76</v>
      </c>
      <c r="G43" s="949">
        <f t="shared" si="3"/>
        <v>91793.099999999977</v>
      </c>
      <c r="H43" s="967">
        <f t="shared" si="4"/>
        <v>376036.99079999991</v>
      </c>
      <c r="I43" s="949">
        <f>G43</f>
        <v>91793.099999999977</v>
      </c>
    </row>
    <row r="44" spans="1:10" customFormat="1" ht="17.25" customHeight="1" x14ac:dyDescent="0.3">
      <c r="A44" s="307" t="s">
        <v>2280</v>
      </c>
      <c r="B44" s="974" t="s">
        <v>2237</v>
      </c>
      <c r="C44" s="975" t="s">
        <v>79</v>
      </c>
      <c r="D44" s="970">
        <f>D43*8.5*2</f>
        <v>22292.609999999993</v>
      </c>
      <c r="E44" s="977"/>
      <c r="F44" s="972">
        <v>11.33</v>
      </c>
      <c r="G44" s="949">
        <f t="shared" si="3"/>
        <v>0</v>
      </c>
      <c r="H44" s="949">
        <f t="shared" si="4"/>
        <v>252575.27129999993</v>
      </c>
      <c r="I44" s="949">
        <f t="shared" si="6"/>
        <v>252575.27129999993</v>
      </c>
    </row>
    <row r="45" spans="1:10" customFormat="1" ht="15.65" x14ac:dyDescent="0.3">
      <c r="A45" s="307" t="s">
        <v>2281</v>
      </c>
      <c r="B45" s="974" t="s">
        <v>2239</v>
      </c>
      <c r="C45" s="975" t="s">
        <v>74</v>
      </c>
      <c r="D45" s="970">
        <f>D43*1.05</f>
        <v>1376.8964999999998</v>
      </c>
      <c r="E45" s="977"/>
      <c r="F45" s="972">
        <v>33</v>
      </c>
      <c r="G45" s="949">
        <f t="shared" si="3"/>
        <v>0</v>
      </c>
      <c r="H45" s="949">
        <f t="shared" si="4"/>
        <v>45437.584499999997</v>
      </c>
      <c r="I45" s="949">
        <f t="shared" si="6"/>
        <v>45437.584499999997</v>
      </c>
    </row>
    <row r="46" spans="1:10" customFormat="1" ht="15.65" x14ac:dyDescent="0.3">
      <c r="A46" s="307" t="s">
        <v>2282</v>
      </c>
      <c r="B46" s="974" t="s">
        <v>2248</v>
      </c>
      <c r="C46" s="975" t="s">
        <v>311</v>
      </c>
      <c r="D46" s="970">
        <f>D43*0.35*2</f>
        <v>917.9309999999997</v>
      </c>
      <c r="E46" s="971"/>
      <c r="F46" s="972">
        <v>85</v>
      </c>
      <c r="G46" s="949">
        <f t="shared" si="3"/>
        <v>0</v>
      </c>
      <c r="H46" s="949">
        <f t="shared" si="4"/>
        <v>78024.13499999998</v>
      </c>
      <c r="I46" s="949">
        <f t="shared" si="6"/>
        <v>78024.13499999998</v>
      </c>
    </row>
    <row r="47" spans="1:10" s="950" customFormat="1" x14ac:dyDescent="0.3">
      <c r="A47" s="905" t="s">
        <v>2283</v>
      </c>
      <c r="B47" s="825" t="s">
        <v>2250</v>
      </c>
      <c r="C47" s="826" t="s">
        <v>74</v>
      </c>
      <c r="D47" s="842">
        <f>0.53+12.19+0.93+29.69</f>
        <v>43.34</v>
      </c>
      <c r="E47" s="947">
        <v>30</v>
      </c>
      <c r="F47" s="978">
        <f>(I48+I49)/D47</f>
        <v>43.75</v>
      </c>
      <c r="G47" s="949">
        <f t="shared" si="3"/>
        <v>1300.2</v>
      </c>
      <c r="H47" s="967">
        <f t="shared" si="4"/>
        <v>1896.1250000000002</v>
      </c>
      <c r="I47" s="949">
        <f>G47</f>
        <v>1300.2</v>
      </c>
    </row>
    <row r="48" spans="1:10" customFormat="1" x14ac:dyDescent="0.3">
      <c r="A48" s="307" t="s">
        <v>2284</v>
      </c>
      <c r="B48" s="424" t="s">
        <v>2285</v>
      </c>
      <c r="C48" s="425" t="s">
        <v>79</v>
      </c>
      <c r="D48" s="844">
        <f>0.8*D47</f>
        <v>34.672000000000004</v>
      </c>
      <c r="E48" s="952"/>
      <c r="F48" s="979">
        <v>17.5</v>
      </c>
      <c r="G48" s="949">
        <f t="shared" si="3"/>
        <v>0</v>
      </c>
      <c r="H48" s="949">
        <f t="shared" si="4"/>
        <v>606.7600000000001</v>
      </c>
      <c r="I48" s="949">
        <f t="shared" si="6"/>
        <v>606.7600000000001</v>
      </c>
    </row>
    <row r="49" spans="1:9" customFormat="1" x14ac:dyDescent="0.3">
      <c r="A49" s="307" t="s">
        <v>2286</v>
      </c>
      <c r="B49" s="968" t="s">
        <v>2233</v>
      </c>
      <c r="C49" s="969" t="s">
        <v>311</v>
      </c>
      <c r="D49" s="970">
        <f>D47*0.35</f>
        <v>15.169</v>
      </c>
      <c r="E49" s="952"/>
      <c r="F49" s="979">
        <v>85</v>
      </c>
      <c r="G49" s="949">
        <f t="shared" si="3"/>
        <v>0</v>
      </c>
      <c r="H49" s="949">
        <f t="shared" si="4"/>
        <v>1289.365</v>
      </c>
      <c r="I49" s="949">
        <f t="shared" si="6"/>
        <v>1289.365</v>
      </c>
    </row>
    <row r="50" spans="1:9" customFormat="1" x14ac:dyDescent="0.3">
      <c r="A50" s="905" t="s">
        <v>2287</v>
      </c>
      <c r="B50" s="825" t="s">
        <v>2255</v>
      </c>
      <c r="C50" s="826" t="s">
        <v>74</v>
      </c>
      <c r="D50" s="842">
        <f>0.53+53.34+1209.82+12.19+36.86+0.93+29.69+11.31</f>
        <v>1354.67</v>
      </c>
      <c r="E50" s="947">
        <v>30</v>
      </c>
      <c r="F50" s="978">
        <f>(I51+I52)/D50</f>
        <v>76.826400000000007</v>
      </c>
      <c r="G50" s="949">
        <f t="shared" si="3"/>
        <v>40640.100000000006</v>
      </c>
      <c r="H50" s="967">
        <f t="shared" si="4"/>
        <v>104074.41928800002</v>
      </c>
      <c r="I50" s="949">
        <f>G50</f>
        <v>40640.100000000006</v>
      </c>
    </row>
    <row r="51" spans="1:9" customFormat="1" ht="31.3" x14ac:dyDescent="0.3">
      <c r="A51" s="307" t="s">
        <v>2288</v>
      </c>
      <c r="B51" s="994" t="s">
        <v>2289</v>
      </c>
      <c r="C51" s="425" t="s">
        <v>79</v>
      </c>
      <c r="D51" s="844">
        <f>D50*0.34*2</f>
        <v>921.17560000000014</v>
      </c>
      <c r="E51" s="995"/>
      <c r="F51" s="972">
        <v>69.23</v>
      </c>
      <c r="G51" s="949">
        <f t="shared" si="3"/>
        <v>0</v>
      </c>
      <c r="H51" s="949">
        <f t="shared" si="4"/>
        <v>63772.986788000017</v>
      </c>
      <c r="I51" s="949">
        <f t="shared" si="6"/>
        <v>63772.986788000017</v>
      </c>
    </row>
    <row r="52" spans="1:9" customFormat="1" x14ac:dyDescent="0.3">
      <c r="A52" s="307" t="s">
        <v>2290</v>
      </c>
      <c r="B52" s="968" t="s">
        <v>2233</v>
      </c>
      <c r="C52" s="969" t="s">
        <v>311</v>
      </c>
      <c r="D52" s="970">
        <f>D50*0.35</f>
        <v>474.1345</v>
      </c>
      <c r="E52" s="971"/>
      <c r="F52" s="972">
        <v>85</v>
      </c>
      <c r="G52" s="949">
        <f t="shared" si="3"/>
        <v>0</v>
      </c>
      <c r="H52" s="949">
        <f t="shared" si="4"/>
        <v>40301.432500000003</v>
      </c>
      <c r="I52" s="949">
        <f t="shared" si="6"/>
        <v>40301.432500000003</v>
      </c>
    </row>
    <row r="53" spans="1:9" s="950" customFormat="1" ht="18.8" customHeight="1" x14ac:dyDescent="0.3">
      <c r="A53" s="905" t="s">
        <v>2291</v>
      </c>
      <c r="B53" s="996" t="s">
        <v>2292</v>
      </c>
      <c r="C53" s="997" t="s">
        <v>74</v>
      </c>
      <c r="D53" s="928">
        <f>11.84</f>
        <v>11.84</v>
      </c>
      <c r="E53" s="947">
        <v>400</v>
      </c>
      <c r="F53" s="998">
        <f>(I54+I55+I56+I57+I58+I59)/D53</f>
        <v>342.5064256756757</v>
      </c>
      <c r="G53" s="949">
        <f t="shared" si="3"/>
        <v>4736</v>
      </c>
      <c r="H53" s="967">
        <f t="shared" si="4"/>
        <v>4055.2760800000001</v>
      </c>
      <c r="I53" s="949">
        <f>G53</f>
        <v>4736</v>
      </c>
    </row>
    <row r="54" spans="1:9" customFormat="1" x14ac:dyDescent="0.3">
      <c r="A54" s="307" t="s">
        <v>2293</v>
      </c>
      <c r="B54" s="999" t="s">
        <v>2294</v>
      </c>
      <c r="C54" s="604" t="s">
        <v>74</v>
      </c>
      <c r="D54" s="310">
        <f>D53</f>
        <v>11.84</v>
      </c>
      <c r="E54" s="952"/>
      <c r="F54" s="609">
        <v>196</v>
      </c>
      <c r="G54" s="949">
        <f t="shared" si="3"/>
        <v>0</v>
      </c>
      <c r="H54" s="949">
        <f t="shared" si="4"/>
        <v>2320.64</v>
      </c>
      <c r="I54" s="949">
        <f t="shared" si="6"/>
        <v>2320.64</v>
      </c>
    </row>
    <row r="55" spans="1:9" customFormat="1" x14ac:dyDescent="0.3">
      <c r="A55" s="307" t="s">
        <v>2295</v>
      </c>
      <c r="B55" s="1000" t="s">
        <v>2296</v>
      </c>
      <c r="C55" s="604" t="s">
        <v>318</v>
      </c>
      <c r="D55" s="310">
        <f>2*D53</f>
        <v>23.68</v>
      </c>
      <c r="E55" s="952"/>
      <c r="F55" s="609">
        <v>52</v>
      </c>
      <c r="G55" s="949">
        <f t="shared" si="3"/>
        <v>0</v>
      </c>
      <c r="H55" s="949">
        <f t="shared" si="4"/>
        <v>1231.3599999999999</v>
      </c>
      <c r="I55" s="949">
        <f t="shared" si="6"/>
        <v>1231.3599999999999</v>
      </c>
    </row>
    <row r="56" spans="1:9" customFormat="1" x14ac:dyDescent="0.3">
      <c r="A56" s="307" t="s">
        <v>2297</v>
      </c>
      <c r="B56" s="1000" t="s">
        <v>2298</v>
      </c>
      <c r="C56" s="604" t="s">
        <v>318</v>
      </c>
      <c r="D56" s="310">
        <f>0.7*D53</f>
        <v>8.2880000000000003</v>
      </c>
      <c r="E56" s="952"/>
      <c r="F56" s="609">
        <v>37.659999999999997</v>
      </c>
      <c r="G56" s="949">
        <f t="shared" si="3"/>
        <v>0</v>
      </c>
      <c r="H56" s="949">
        <f t="shared" si="4"/>
        <v>312.12608</v>
      </c>
      <c r="I56" s="949">
        <f t="shared" si="6"/>
        <v>312.12608</v>
      </c>
    </row>
    <row r="57" spans="1:9" customFormat="1" x14ac:dyDescent="0.3">
      <c r="A57" s="307" t="s">
        <v>2299</v>
      </c>
      <c r="B57" s="1000" t="s">
        <v>2300</v>
      </c>
      <c r="C57" s="604" t="s">
        <v>44</v>
      </c>
      <c r="D57" s="310">
        <f>ROUND(0.7*D53,0.1)</f>
        <v>8</v>
      </c>
      <c r="E57" s="952"/>
      <c r="F57" s="609">
        <v>7</v>
      </c>
      <c r="G57" s="949">
        <f t="shared" si="3"/>
        <v>0</v>
      </c>
      <c r="H57" s="949">
        <f t="shared" si="4"/>
        <v>56</v>
      </c>
      <c r="I57" s="949">
        <f t="shared" si="6"/>
        <v>56</v>
      </c>
    </row>
    <row r="58" spans="1:9" customFormat="1" x14ac:dyDescent="0.3">
      <c r="A58" s="307" t="s">
        <v>2301</v>
      </c>
      <c r="B58" s="1000" t="s">
        <v>2302</v>
      </c>
      <c r="C58" s="604" t="s">
        <v>44</v>
      </c>
      <c r="D58" s="310">
        <f>ROUND(1.6*D53,0.1)</f>
        <v>19</v>
      </c>
      <c r="E58" s="952"/>
      <c r="F58" s="609">
        <v>0.85</v>
      </c>
      <c r="G58" s="949">
        <f t="shared" si="3"/>
        <v>0</v>
      </c>
      <c r="H58" s="949">
        <f t="shared" si="4"/>
        <v>16.149999999999999</v>
      </c>
      <c r="I58" s="949">
        <f t="shared" si="6"/>
        <v>16.149999999999999</v>
      </c>
    </row>
    <row r="59" spans="1:9" customFormat="1" x14ac:dyDescent="0.3">
      <c r="A59" s="307" t="s">
        <v>2303</v>
      </c>
      <c r="B59" s="999" t="s">
        <v>2304</v>
      </c>
      <c r="C59" s="604" t="s">
        <v>44</v>
      </c>
      <c r="D59" s="310">
        <f>ROUND(1.4*D53,0.1)</f>
        <v>17</v>
      </c>
      <c r="E59" s="952"/>
      <c r="F59" s="609">
        <v>7</v>
      </c>
      <c r="G59" s="949">
        <f t="shared" si="3"/>
        <v>0</v>
      </c>
      <c r="H59" s="949">
        <f t="shared" si="4"/>
        <v>119</v>
      </c>
      <c r="I59" s="949">
        <f t="shared" si="6"/>
        <v>119</v>
      </c>
    </row>
    <row r="60" spans="1:9" s="950" customFormat="1" x14ac:dyDescent="0.3">
      <c r="A60" s="905" t="s">
        <v>2305</v>
      </c>
      <c r="B60" s="1001" t="s">
        <v>547</v>
      </c>
      <c r="C60" s="946" t="s">
        <v>74</v>
      </c>
      <c r="D60" s="946">
        <f>2.8*1.37+2.8*2.8*24+5.48*76.33+5.77*76.33+1.58*74.15+0.93*74.15+1.83*74.15</f>
        <v>1372.5194999999999</v>
      </c>
      <c r="E60" s="1002">
        <v>200</v>
      </c>
      <c r="F60" s="1003" t="e">
        <f>(I61+I62+I63+#REF!)/D60</f>
        <v>#REF!</v>
      </c>
      <c r="G60" s="949">
        <f t="shared" si="3"/>
        <v>274503.89999999997</v>
      </c>
      <c r="H60" s="1004" t="e">
        <f t="shared" si="4"/>
        <v>#REF!</v>
      </c>
      <c r="I60" s="949">
        <f>G60</f>
        <v>274503.89999999997</v>
      </c>
    </row>
    <row r="61" spans="1:9" s="950" customFormat="1" x14ac:dyDescent="0.3">
      <c r="A61" s="307" t="s">
        <v>2306</v>
      </c>
      <c r="B61" s="424" t="s">
        <v>2271</v>
      </c>
      <c r="C61" s="1005" t="s">
        <v>34</v>
      </c>
      <c r="D61" s="861">
        <f>(2.8*1.37+2.8*2.8*24+5.48*76.33+5.77*76.33)*0.09*1.3</f>
        <v>122.93289449999999</v>
      </c>
      <c r="E61" s="1006"/>
      <c r="F61" s="985">
        <v>3950</v>
      </c>
      <c r="G61" s="949">
        <f t="shared" si="3"/>
        <v>0</v>
      </c>
      <c r="H61" s="949">
        <f t="shared" si="4"/>
        <v>485584.93327499996</v>
      </c>
      <c r="I61" s="949">
        <f t="shared" si="6"/>
        <v>485584.93327499996</v>
      </c>
    </row>
    <row r="62" spans="1:9" s="950" customFormat="1" x14ac:dyDescent="0.3">
      <c r="A62" s="307" t="s">
        <v>2307</v>
      </c>
      <c r="B62" s="424" t="s">
        <v>2308</v>
      </c>
      <c r="C62" s="1005" t="s">
        <v>34</v>
      </c>
      <c r="D62" s="861">
        <f>1.58*74.15*0.12*1.3</f>
        <v>18.276492000000001</v>
      </c>
      <c r="E62" s="1006"/>
      <c r="F62" s="985">
        <v>3950</v>
      </c>
      <c r="G62" s="949">
        <f t="shared" si="3"/>
        <v>0</v>
      </c>
      <c r="H62" s="949">
        <f t="shared" si="4"/>
        <v>72192.143400000001</v>
      </c>
      <c r="I62" s="949">
        <f t="shared" si="6"/>
        <v>72192.143400000001</v>
      </c>
    </row>
    <row r="63" spans="1:9" s="950" customFormat="1" x14ac:dyDescent="0.3">
      <c r="A63" s="307" t="s">
        <v>2309</v>
      </c>
      <c r="B63" s="424" t="s">
        <v>2269</v>
      </c>
      <c r="C63" s="1005" t="s">
        <v>34</v>
      </c>
      <c r="D63" s="861">
        <f>(0.93*74.15+1.83*74.15)*0.05*1.3</f>
        <v>13.302510000000002</v>
      </c>
      <c r="E63" s="1006"/>
      <c r="F63" s="985">
        <v>3950</v>
      </c>
      <c r="G63" s="949">
        <f t="shared" si="3"/>
        <v>0</v>
      </c>
      <c r="H63" s="949">
        <f t="shared" si="4"/>
        <v>52544.914500000006</v>
      </c>
      <c r="I63" s="949">
        <f t="shared" si="6"/>
        <v>52544.914500000006</v>
      </c>
    </row>
    <row r="64" spans="1:9" s="950" customFormat="1" x14ac:dyDescent="0.3">
      <c r="A64" s="307" t="s">
        <v>2310</v>
      </c>
      <c r="B64" s="1007" t="s">
        <v>1164</v>
      </c>
      <c r="C64" s="320" t="s">
        <v>96</v>
      </c>
      <c r="D64" s="992">
        <f>PRODUCT(D60,6)</f>
        <v>8235.1169999999984</v>
      </c>
      <c r="E64" s="993">
        <v>0</v>
      </c>
      <c r="F64" s="1008">
        <v>13.6</v>
      </c>
      <c r="G64" s="949">
        <f>D64*E64</f>
        <v>0</v>
      </c>
      <c r="H64" s="949">
        <f>D64*F64</f>
        <v>111997.59119999998</v>
      </c>
      <c r="I64" s="949">
        <f>G64+H64</f>
        <v>111997.59119999998</v>
      </c>
    </row>
    <row r="65" spans="1:10" s="950" customFormat="1" x14ac:dyDescent="0.3">
      <c r="A65" s="307" t="s">
        <v>2574</v>
      </c>
      <c r="B65" s="991" t="s">
        <v>1168</v>
      </c>
      <c r="C65" s="629" t="s">
        <v>1169</v>
      </c>
      <c r="D65" s="992">
        <f>PRODUCT(D60,8,1/25)</f>
        <v>439.20623999999998</v>
      </c>
      <c r="E65" s="993"/>
      <c r="F65" s="629">
        <v>360</v>
      </c>
      <c r="G65" s="949">
        <f>D65*E65</f>
        <v>0</v>
      </c>
      <c r="H65" s="949">
        <f>D65*F65</f>
        <v>158114.2464</v>
      </c>
      <c r="I65" s="949">
        <f>G65+H65</f>
        <v>158114.2464</v>
      </c>
    </row>
    <row r="66" spans="1:10" x14ac:dyDescent="0.3">
      <c r="A66" s="797"/>
      <c r="B66" s="863" t="s">
        <v>2311</v>
      </c>
      <c r="C66" s="820"/>
      <c r="D66" s="821"/>
      <c r="E66" s="801"/>
      <c r="F66" s="803"/>
      <c r="G66" s="794">
        <f t="shared" si="3"/>
        <v>0</v>
      </c>
      <c r="H66" s="794">
        <f t="shared" si="4"/>
        <v>0</v>
      </c>
      <c r="I66" s="794">
        <f t="shared" si="5"/>
        <v>0</v>
      </c>
      <c r="J66" s="927"/>
    </row>
    <row r="67" spans="1:10" x14ac:dyDescent="0.3">
      <c r="A67" s="797"/>
      <c r="B67" s="864" t="s">
        <v>2227</v>
      </c>
      <c r="C67" s="820"/>
      <c r="D67" s="821"/>
      <c r="E67" s="801"/>
      <c r="F67" s="803"/>
      <c r="G67" s="794">
        <f t="shared" si="3"/>
        <v>0</v>
      </c>
      <c r="H67" s="794">
        <f t="shared" si="4"/>
        <v>0</v>
      </c>
      <c r="I67" s="794">
        <f t="shared" si="5"/>
        <v>0</v>
      </c>
      <c r="J67" s="927"/>
    </row>
    <row r="68" spans="1:10" s="795" customFormat="1" x14ac:dyDescent="0.3">
      <c r="A68" s="788" t="s">
        <v>2312</v>
      </c>
      <c r="B68" s="852" t="s">
        <v>2313</v>
      </c>
      <c r="C68" s="853" t="s">
        <v>74</v>
      </c>
      <c r="D68" s="790">
        <f>148.76+1951.37</f>
        <v>2100.13</v>
      </c>
      <c r="E68" s="792">
        <v>150</v>
      </c>
      <c r="F68" s="854">
        <f>(I69+I70+I71+I72)/D68</f>
        <v>317.97999999999996</v>
      </c>
      <c r="G68" s="794">
        <f t="shared" si="3"/>
        <v>315019.5</v>
      </c>
      <c r="H68" s="830">
        <f t="shared" si="4"/>
        <v>667799.33739999996</v>
      </c>
      <c r="I68" s="794">
        <f>G68</f>
        <v>315019.5</v>
      </c>
      <c r="J68" s="927"/>
    </row>
    <row r="69" spans="1:10" x14ac:dyDescent="0.3">
      <c r="A69" s="797" t="s">
        <v>2314</v>
      </c>
      <c r="B69" s="798" t="s">
        <v>2315</v>
      </c>
      <c r="C69" s="807" t="s">
        <v>44</v>
      </c>
      <c r="D69" s="799">
        <f>D68*2.78</f>
        <v>5838.3613999999998</v>
      </c>
      <c r="E69" s="865"/>
      <c r="F69" s="865">
        <v>84.5</v>
      </c>
      <c r="G69" s="794">
        <f t="shared" si="3"/>
        <v>0</v>
      </c>
      <c r="H69" s="794">
        <f t="shared" si="4"/>
        <v>493341.53829999996</v>
      </c>
      <c r="I69" s="794">
        <f t="shared" si="5"/>
        <v>493341.53829999996</v>
      </c>
      <c r="J69" s="927"/>
    </row>
    <row r="70" spans="1:10" x14ac:dyDescent="0.3">
      <c r="A70" s="797" t="s">
        <v>2316</v>
      </c>
      <c r="B70" s="798" t="s">
        <v>2317</v>
      </c>
      <c r="C70" s="807" t="s">
        <v>44</v>
      </c>
      <c r="D70" s="799">
        <f>D68*1.5</f>
        <v>3150.1950000000002</v>
      </c>
      <c r="E70" s="865"/>
      <c r="F70" s="865">
        <v>14.16</v>
      </c>
      <c r="G70" s="794">
        <f t="shared" si="3"/>
        <v>0</v>
      </c>
      <c r="H70" s="794">
        <f t="shared" si="4"/>
        <v>44606.761200000001</v>
      </c>
      <c r="I70" s="794">
        <f t="shared" si="5"/>
        <v>44606.761200000001</v>
      </c>
      <c r="J70" s="927"/>
    </row>
    <row r="71" spans="1:10" x14ac:dyDescent="0.3">
      <c r="A71" s="797" t="s">
        <v>2318</v>
      </c>
      <c r="B71" s="798" t="s">
        <v>2319</v>
      </c>
      <c r="C71" s="807" t="s">
        <v>44</v>
      </c>
      <c r="D71" s="799">
        <f>D68*1.5</f>
        <v>3150.1950000000002</v>
      </c>
      <c r="E71" s="865"/>
      <c r="F71" s="865">
        <v>27.24</v>
      </c>
      <c r="G71" s="794">
        <f t="shared" si="3"/>
        <v>0</v>
      </c>
      <c r="H71" s="794">
        <f t="shared" si="4"/>
        <v>85811.311799999996</v>
      </c>
      <c r="I71" s="794">
        <f t="shared" si="5"/>
        <v>85811.311799999996</v>
      </c>
      <c r="J71" s="927"/>
    </row>
    <row r="72" spans="1:10" x14ac:dyDescent="0.3">
      <c r="A72" s="797" t="s">
        <v>2320</v>
      </c>
      <c r="B72" s="798" t="s">
        <v>2321</v>
      </c>
      <c r="C72" s="807" t="s">
        <v>44</v>
      </c>
      <c r="D72" s="799">
        <f>D68*0.25</f>
        <v>525.03250000000003</v>
      </c>
      <c r="E72" s="865"/>
      <c r="F72" s="865">
        <v>83.88</v>
      </c>
      <c r="G72" s="794">
        <f t="shared" si="3"/>
        <v>0</v>
      </c>
      <c r="H72" s="794">
        <f t="shared" si="4"/>
        <v>44039.7261</v>
      </c>
      <c r="I72" s="794">
        <f t="shared" si="5"/>
        <v>44039.7261</v>
      </c>
      <c r="J72" s="927"/>
    </row>
    <row r="73" spans="1:10" x14ac:dyDescent="0.3">
      <c r="A73" s="797" t="s">
        <v>2322</v>
      </c>
      <c r="B73" s="798" t="s">
        <v>2323</v>
      </c>
      <c r="C73" s="807" t="s">
        <v>44</v>
      </c>
      <c r="D73" s="866">
        <f>((2.26+4.6+6.61+5+2.35+20.39+22+5.68+5.68+1.615*2+0.48*4+0.55*4)+(1.83+3.495+19.3+17.47+6.8+5.19+10.045+15.7+5.205+1.9+1.86+5+3.22+4.47+4.47+3.1)*23)/3</f>
        <v>863.39499999999998</v>
      </c>
      <c r="E73" s="865"/>
      <c r="F73" s="865">
        <v>54.48</v>
      </c>
      <c r="G73" s="794">
        <f>D73*E73</f>
        <v>0</v>
      </c>
      <c r="H73" s="794">
        <f>D73*F73</f>
        <v>47037.759599999998</v>
      </c>
      <c r="I73" s="794">
        <f>G73+H73</f>
        <v>47037.759599999998</v>
      </c>
      <c r="J73" s="927"/>
    </row>
    <row r="74" spans="1:10" x14ac:dyDescent="0.3">
      <c r="A74" s="797" t="s">
        <v>2324</v>
      </c>
      <c r="B74" s="798" t="s">
        <v>2325</v>
      </c>
      <c r="C74" s="807" t="s">
        <v>44</v>
      </c>
      <c r="D74" s="799">
        <f>ROUND(D68*0.69,0.1)</f>
        <v>1449</v>
      </c>
      <c r="E74" s="865"/>
      <c r="F74" s="865">
        <v>6.5</v>
      </c>
      <c r="G74" s="794">
        <f>D74*E74</f>
        <v>0</v>
      </c>
      <c r="H74" s="794">
        <f>D74*F74</f>
        <v>9418.5</v>
      </c>
      <c r="I74" s="794">
        <f>G74+H74</f>
        <v>9418.5</v>
      </c>
      <c r="J74" s="927"/>
    </row>
    <row r="75" spans="1:10" x14ac:dyDescent="0.3">
      <c r="A75" s="797" t="s">
        <v>2326</v>
      </c>
      <c r="B75" s="798" t="s">
        <v>2327</v>
      </c>
      <c r="C75" s="807" t="s">
        <v>44</v>
      </c>
      <c r="D75" s="799">
        <f>ROUND(D68*0.69,0.1)</f>
        <v>1449</v>
      </c>
      <c r="E75" s="865"/>
      <c r="F75" s="865">
        <v>6.27</v>
      </c>
      <c r="G75" s="794">
        <f>D75*E75</f>
        <v>0</v>
      </c>
      <c r="H75" s="794">
        <f>D75*F75</f>
        <v>9085.23</v>
      </c>
      <c r="I75" s="794">
        <f>G75+H75</f>
        <v>9085.23</v>
      </c>
      <c r="J75" s="927"/>
    </row>
    <row r="76" spans="1:10" x14ac:dyDescent="0.3">
      <c r="A76" s="797" t="s">
        <v>2328</v>
      </c>
      <c r="B76" s="798" t="s">
        <v>2329</v>
      </c>
      <c r="C76" s="807" t="s">
        <v>44</v>
      </c>
      <c r="D76" s="799">
        <f>ROUND(2*D73,0.1)</f>
        <v>1727</v>
      </c>
      <c r="E76" s="865"/>
      <c r="F76" s="865">
        <v>1.04</v>
      </c>
      <c r="G76" s="794">
        <f>D76*E76</f>
        <v>0</v>
      </c>
      <c r="H76" s="794">
        <f>D76*F76</f>
        <v>1796.0800000000002</v>
      </c>
      <c r="I76" s="794">
        <f>G76+H76</f>
        <v>1796.0800000000002</v>
      </c>
      <c r="J76" s="927"/>
    </row>
    <row r="77" spans="1:10" s="795" customFormat="1" x14ac:dyDescent="0.3">
      <c r="A77" s="788" t="s">
        <v>2330</v>
      </c>
      <c r="B77" s="852" t="s">
        <v>2331</v>
      </c>
      <c r="C77" s="853" t="s">
        <v>74</v>
      </c>
      <c r="D77" s="790">
        <f>11.47+17.73</f>
        <v>29.200000000000003</v>
      </c>
      <c r="E77" s="791">
        <v>250</v>
      </c>
      <c r="F77" s="854">
        <f>(I78+I79+I80+I81+I82+I83+I84)/D77</f>
        <v>392.76608219178081</v>
      </c>
      <c r="G77" s="794">
        <f t="shared" si="3"/>
        <v>7300.0000000000009</v>
      </c>
      <c r="H77" s="830">
        <f t="shared" si="4"/>
        <v>11468.769600000001</v>
      </c>
      <c r="I77" s="794">
        <f>G77</f>
        <v>7300.0000000000009</v>
      </c>
      <c r="J77" s="927"/>
    </row>
    <row r="78" spans="1:10" x14ac:dyDescent="0.3">
      <c r="A78" s="797" t="s">
        <v>2332</v>
      </c>
      <c r="B78" s="855" t="s">
        <v>2294</v>
      </c>
      <c r="C78" s="807" t="s">
        <v>74</v>
      </c>
      <c r="D78" s="800">
        <f>D77</f>
        <v>29.200000000000003</v>
      </c>
      <c r="E78" s="801"/>
      <c r="F78" s="803">
        <v>196</v>
      </c>
      <c r="G78" s="794">
        <f t="shared" ref="G78:G141" si="7">D78*E78</f>
        <v>0</v>
      </c>
      <c r="H78" s="794">
        <f t="shared" ref="H78:H141" si="8">D78*F78</f>
        <v>5723.2000000000007</v>
      </c>
      <c r="I78" s="794">
        <f t="shared" ref="I78:I141" si="9">G78+H78</f>
        <v>5723.2000000000007</v>
      </c>
      <c r="J78" s="927"/>
    </row>
    <row r="79" spans="1:10" x14ac:dyDescent="0.3">
      <c r="A79" s="797" t="s">
        <v>2333</v>
      </c>
      <c r="B79" s="856" t="s">
        <v>2296</v>
      </c>
      <c r="C79" s="807" t="s">
        <v>318</v>
      </c>
      <c r="D79" s="800">
        <f>2.9*D77</f>
        <v>84.68</v>
      </c>
      <c r="E79" s="801"/>
      <c r="F79" s="803">
        <v>52</v>
      </c>
      <c r="G79" s="794">
        <f t="shared" si="7"/>
        <v>0</v>
      </c>
      <c r="H79" s="794">
        <f t="shared" si="8"/>
        <v>4403.3600000000006</v>
      </c>
      <c r="I79" s="794">
        <f t="shared" si="9"/>
        <v>4403.3600000000006</v>
      </c>
      <c r="J79" s="927"/>
    </row>
    <row r="80" spans="1:10" x14ac:dyDescent="0.3">
      <c r="A80" s="797" t="s">
        <v>2334</v>
      </c>
      <c r="B80" s="856" t="s">
        <v>2298</v>
      </c>
      <c r="C80" s="807" t="s">
        <v>318</v>
      </c>
      <c r="D80" s="800">
        <f>4.78*2+2.4*2</f>
        <v>14.36</v>
      </c>
      <c r="E80" s="801"/>
      <c r="F80" s="803">
        <v>37.659999999999997</v>
      </c>
      <c r="G80" s="794">
        <f t="shared" si="7"/>
        <v>0</v>
      </c>
      <c r="H80" s="794">
        <f t="shared" si="8"/>
        <v>540.79759999999987</v>
      </c>
      <c r="I80" s="794">
        <f t="shared" si="9"/>
        <v>540.79759999999987</v>
      </c>
      <c r="J80" s="927"/>
    </row>
    <row r="81" spans="1:10" x14ac:dyDescent="0.3">
      <c r="A81" s="797" t="s">
        <v>2335</v>
      </c>
      <c r="B81" s="856" t="s">
        <v>2336</v>
      </c>
      <c r="C81" s="807" t="s">
        <v>44</v>
      </c>
      <c r="D81" s="800">
        <f>ROUND(1.7*D77,0.1)</f>
        <v>50</v>
      </c>
      <c r="E81" s="801"/>
      <c r="F81" s="803">
        <v>7</v>
      </c>
      <c r="G81" s="794">
        <f t="shared" si="7"/>
        <v>0</v>
      </c>
      <c r="H81" s="794">
        <f t="shared" si="8"/>
        <v>350</v>
      </c>
      <c r="I81" s="794">
        <f t="shared" si="9"/>
        <v>350</v>
      </c>
      <c r="J81" s="927"/>
    </row>
    <row r="82" spans="1:10" x14ac:dyDescent="0.3">
      <c r="A82" s="797" t="s">
        <v>2337</v>
      </c>
      <c r="B82" s="856" t="s">
        <v>2300</v>
      </c>
      <c r="C82" s="807" t="s">
        <v>44</v>
      </c>
      <c r="D82" s="800">
        <f>ROUND(0.7*D77,0.1)</f>
        <v>20</v>
      </c>
      <c r="E82" s="801"/>
      <c r="F82" s="803">
        <v>7</v>
      </c>
      <c r="G82" s="794">
        <f t="shared" si="7"/>
        <v>0</v>
      </c>
      <c r="H82" s="794">
        <f t="shared" si="8"/>
        <v>140</v>
      </c>
      <c r="I82" s="794">
        <f t="shared" si="9"/>
        <v>140</v>
      </c>
      <c r="J82" s="927"/>
    </row>
    <row r="83" spans="1:10" x14ac:dyDescent="0.3">
      <c r="A83" s="797" t="s">
        <v>2338</v>
      </c>
      <c r="B83" s="856" t="s">
        <v>2302</v>
      </c>
      <c r="C83" s="807" t="s">
        <v>44</v>
      </c>
      <c r="D83" s="800">
        <f>2*D80</f>
        <v>28.72</v>
      </c>
      <c r="E83" s="801"/>
      <c r="F83" s="803">
        <v>0.85</v>
      </c>
      <c r="G83" s="794">
        <f t="shared" si="7"/>
        <v>0</v>
      </c>
      <c r="H83" s="794">
        <f t="shared" si="8"/>
        <v>24.411999999999999</v>
      </c>
      <c r="I83" s="794">
        <f t="shared" si="9"/>
        <v>24.411999999999999</v>
      </c>
      <c r="J83" s="927"/>
    </row>
    <row r="84" spans="1:10" x14ac:dyDescent="0.3">
      <c r="A84" s="797" t="s">
        <v>2339</v>
      </c>
      <c r="B84" s="855" t="s">
        <v>2304</v>
      </c>
      <c r="C84" s="807" t="s">
        <v>44</v>
      </c>
      <c r="D84" s="800">
        <f>ROUND(1.4*D77,0.1)</f>
        <v>41</v>
      </c>
      <c r="E84" s="801"/>
      <c r="F84" s="803">
        <v>7</v>
      </c>
      <c r="G84" s="794">
        <f t="shared" si="7"/>
        <v>0</v>
      </c>
      <c r="H84" s="794">
        <f t="shared" si="8"/>
        <v>287</v>
      </c>
      <c r="I84" s="794">
        <f t="shared" si="9"/>
        <v>287</v>
      </c>
      <c r="J84" s="927"/>
    </row>
    <row r="85" spans="1:10" x14ac:dyDescent="0.3">
      <c r="A85" s="788" t="s">
        <v>2340</v>
      </c>
      <c r="B85" s="825" t="s">
        <v>2250</v>
      </c>
      <c r="C85" s="826" t="s">
        <v>74</v>
      </c>
      <c r="D85" s="842">
        <f>5.04+390.06+28.29+158.01</f>
        <v>581.40000000000009</v>
      </c>
      <c r="E85" s="791">
        <v>90</v>
      </c>
      <c r="F85" s="843">
        <f>(I86+I87)/D85</f>
        <v>43.357999999999997</v>
      </c>
      <c r="G85" s="794">
        <f t="shared" si="7"/>
        <v>52326.000000000007</v>
      </c>
      <c r="H85" s="830">
        <f t="shared" si="8"/>
        <v>25208.341200000003</v>
      </c>
      <c r="I85" s="794">
        <f t="shared" si="9"/>
        <v>77534.34120000001</v>
      </c>
      <c r="J85" s="927"/>
    </row>
    <row r="86" spans="1:10" x14ac:dyDescent="0.3">
      <c r="A86" s="797" t="s">
        <v>2341</v>
      </c>
      <c r="B86" s="424" t="s">
        <v>2342</v>
      </c>
      <c r="C86" s="425" t="s">
        <v>79</v>
      </c>
      <c r="D86" s="844">
        <f>0.8*D85</f>
        <v>465.12000000000012</v>
      </c>
      <c r="E86" s="801"/>
      <c r="F86" s="817">
        <v>17.010000000000002</v>
      </c>
      <c r="G86" s="794">
        <f t="shared" si="7"/>
        <v>0</v>
      </c>
      <c r="H86" s="794">
        <f t="shared" si="8"/>
        <v>7911.6912000000029</v>
      </c>
      <c r="I86" s="794">
        <f t="shared" si="9"/>
        <v>7911.6912000000029</v>
      </c>
      <c r="J86" s="927"/>
    </row>
    <row r="87" spans="1:10" x14ac:dyDescent="0.3">
      <c r="A87" s="797" t="s">
        <v>2343</v>
      </c>
      <c r="B87" s="831" t="s">
        <v>2233</v>
      </c>
      <c r="C87" s="832" t="s">
        <v>311</v>
      </c>
      <c r="D87" s="833">
        <f>D85*0.35</f>
        <v>203.49</v>
      </c>
      <c r="E87" s="801"/>
      <c r="F87" s="817">
        <v>85</v>
      </c>
      <c r="G87" s="794">
        <f t="shared" si="7"/>
        <v>0</v>
      </c>
      <c r="H87" s="794">
        <f t="shared" si="8"/>
        <v>17296.650000000001</v>
      </c>
      <c r="I87" s="794">
        <f t="shared" si="9"/>
        <v>17296.650000000001</v>
      </c>
      <c r="J87" s="927"/>
    </row>
    <row r="88" spans="1:10" s="795" customFormat="1" x14ac:dyDescent="0.3">
      <c r="A88" s="788" t="s">
        <v>2344</v>
      </c>
      <c r="B88" s="825" t="s">
        <v>2255</v>
      </c>
      <c r="C88" s="826" t="s">
        <v>74</v>
      </c>
      <c r="D88" s="842">
        <f>5.04+390.06+28.29+158.01</f>
        <v>581.40000000000009</v>
      </c>
      <c r="E88" s="791">
        <v>100</v>
      </c>
      <c r="F88" s="854">
        <f>(I89+I90)/D88</f>
        <v>53.288200000000003</v>
      </c>
      <c r="G88" s="794">
        <f t="shared" si="7"/>
        <v>58140.000000000007</v>
      </c>
      <c r="H88" s="830">
        <f t="shared" si="8"/>
        <v>30981.759480000008</v>
      </c>
      <c r="I88" s="794">
        <f>G88</f>
        <v>58140.000000000007</v>
      </c>
      <c r="J88" s="927"/>
    </row>
    <row r="89" spans="1:10" ht="28.8" x14ac:dyDescent="0.3">
      <c r="A89" s="797" t="s">
        <v>2345</v>
      </c>
      <c r="B89" s="424" t="s">
        <v>2257</v>
      </c>
      <c r="C89" s="425" t="s">
        <v>79</v>
      </c>
      <c r="D89" s="844">
        <f>D88*0.34</f>
        <v>197.67600000000004</v>
      </c>
      <c r="E89" s="801"/>
      <c r="F89" s="817">
        <v>69.23</v>
      </c>
      <c r="G89" s="794">
        <f t="shared" si="7"/>
        <v>0</v>
      </c>
      <c r="H89" s="794">
        <f t="shared" si="8"/>
        <v>13685.109480000005</v>
      </c>
      <c r="I89" s="794">
        <f t="shared" si="9"/>
        <v>13685.109480000005</v>
      </c>
      <c r="J89" s="927"/>
    </row>
    <row r="90" spans="1:10" x14ac:dyDescent="0.3">
      <c r="A90" s="797" t="s">
        <v>2346</v>
      </c>
      <c r="B90" s="831" t="s">
        <v>2233</v>
      </c>
      <c r="C90" s="832" t="s">
        <v>311</v>
      </c>
      <c r="D90" s="833">
        <f>D88*0.35</f>
        <v>203.49</v>
      </c>
      <c r="E90" s="801"/>
      <c r="F90" s="817">
        <v>85</v>
      </c>
      <c r="G90" s="794">
        <f t="shared" si="7"/>
        <v>0</v>
      </c>
      <c r="H90" s="794">
        <f t="shared" si="8"/>
        <v>17296.650000000001</v>
      </c>
      <c r="I90" s="794">
        <f t="shared" si="9"/>
        <v>17296.650000000001</v>
      </c>
      <c r="J90" s="927"/>
    </row>
    <row r="91" spans="1:10" s="795" customFormat="1" ht="28.8" x14ac:dyDescent="0.3">
      <c r="A91" s="788" t="s">
        <v>2347</v>
      </c>
      <c r="B91" s="796" t="s">
        <v>2348</v>
      </c>
      <c r="C91" s="789" t="s">
        <v>74</v>
      </c>
      <c r="D91" s="867">
        <f>6.59*2+5.9*2+6.03*2+6.8*2+6.7*2+19.2*2+3.5*2+4*2</f>
        <v>117.44</v>
      </c>
      <c r="E91" s="868">
        <v>200</v>
      </c>
      <c r="F91" s="869">
        <f>(I92+I93+I94)/D91</f>
        <v>272.89465286103541</v>
      </c>
      <c r="G91" s="794">
        <f t="shared" si="7"/>
        <v>23488</v>
      </c>
      <c r="H91" s="830">
        <f t="shared" si="8"/>
        <v>32048.748032</v>
      </c>
      <c r="I91" s="794">
        <f>G91</f>
        <v>23488</v>
      </c>
      <c r="J91" s="927"/>
    </row>
    <row r="92" spans="1:10" s="795" customFormat="1" ht="31.3" x14ac:dyDescent="0.3">
      <c r="A92" s="797" t="s">
        <v>2349</v>
      </c>
      <c r="B92" s="870" t="s">
        <v>2350</v>
      </c>
      <c r="C92" s="799" t="s">
        <v>34</v>
      </c>
      <c r="D92" s="799">
        <f>D91*0.04*1.03</f>
        <v>4.8385280000000002</v>
      </c>
      <c r="E92" s="871"/>
      <c r="F92" s="872">
        <v>5526</v>
      </c>
      <c r="G92" s="794">
        <f t="shared" si="7"/>
        <v>0</v>
      </c>
      <c r="H92" s="794">
        <f t="shared" si="8"/>
        <v>26737.705728000001</v>
      </c>
      <c r="I92" s="794">
        <f t="shared" si="9"/>
        <v>26737.705728000001</v>
      </c>
      <c r="J92" s="927"/>
    </row>
    <row r="93" spans="1:10" s="795" customFormat="1" ht="15.65" x14ac:dyDescent="0.3">
      <c r="A93" s="797" t="s">
        <v>2351</v>
      </c>
      <c r="B93" s="870" t="s">
        <v>2352</v>
      </c>
      <c r="C93" s="799" t="s">
        <v>44</v>
      </c>
      <c r="D93" s="799">
        <f>ROUND(D91*8,0.1)</f>
        <v>940</v>
      </c>
      <c r="E93" s="873"/>
      <c r="F93" s="846">
        <v>2.9</v>
      </c>
      <c r="G93" s="794">
        <f t="shared" si="7"/>
        <v>0</v>
      </c>
      <c r="H93" s="794">
        <f t="shared" si="8"/>
        <v>2726</v>
      </c>
      <c r="I93" s="794">
        <f t="shared" si="9"/>
        <v>2726</v>
      </c>
      <c r="J93" s="927"/>
    </row>
    <row r="94" spans="1:10" s="795" customFormat="1" ht="15.65" x14ac:dyDescent="0.3">
      <c r="A94" s="797" t="s">
        <v>2353</v>
      </c>
      <c r="B94" s="870" t="s">
        <v>2354</v>
      </c>
      <c r="C94" s="799" t="s">
        <v>74</v>
      </c>
      <c r="D94" s="799">
        <f>D91*1.02</f>
        <v>119.78879999999999</v>
      </c>
      <c r="E94" s="873"/>
      <c r="F94" s="846">
        <v>21.58</v>
      </c>
      <c r="G94" s="794">
        <f t="shared" si="7"/>
        <v>0</v>
      </c>
      <c r="H94" s="794">
        <f t="shared" si="8"/>
        <v>2585.0423039999996</v>
      </c>
      <c r="I94" s="794">
        <f t="shared" si="9"/>
        <v>2585.0423039999996</v>
      </c>
      <c r="J94" s="927"/>
    </row>
    <row r="95" spans="1:10" s="795" customFormat="1" x14ac:dyDescent="0.3">
      <c r="A95" s="788" t="s">
        <v>2355</v>
      </c>
      <c r="B95" s="857" t="s">
        <v>2356</v>
      </c>
      <c r="C95" s="789" t="s">
        <v>74</v>
      </c>
      <c r="D95" s="789">
        <f>2.93*2.725*2</f>
        <v>15.968500000000001</v>
      </c>
      <c r="E95" s="858">
        <v>200</v>
      </c>
      <c r="F95" s="859">
        <f>(I96+I97)/D95</f>
        <v>389.05</v>
      </c>
      <c r="G95" s="794">
        <f t="shared" si="7"/>
        <v>3193.7000000000003</v>
      </c>
      <c r="H95" s="830">
        <f t="shared" si="8"/>
        <v>6212.5449250000001</v>
      </c>
      <c r="I95" s="794">
        <f>G95</f>
        <v>3193.7000000000003</v>
      </c>
      <c r="J95" s="927"/>
    </row>
    <row r="96" spans="1:10" s="795" customFormat="1" ht="28.8" x14ac:dyDescent="0.3">
      <c r="A96" s="797" t="s">
        <v>2357</v>
      </c>
      <c r="B96" s="874" t="s">
        <v>2358</v>
      </c>
      <c r="C96" s="860" t="s">
        <v>34</v>
      </c>
      <c r="D96" s="860">
        <f>D95*0.15*1.3</f>
        <v>3.1138574999999999</v>
      </c>
      <c r="E96" s="862"/>
      <c r="F96" s="846">
        <v>1870</v>
      </c>
      <c r="G96" s="794">
        <f t="shared" si="7"/>
        <v>0</v>
      </c>
      <c r="H96" s="794">
        <f t="shared" si="8"/>
        <v>5822.9135249999999</v>
      </c>
      <c r="I96" s="794">
        <f t="shared" si="9"/>
        <v>5822.9135249999999</v>
      </c>
      <c r="J96" s="927"/>
    </row>
    <row r="97" spans="1:10" s="795" customFormat="1" x14ac:dyDescent="0.3">
      <c r="A97" s="797" t="s">
        <v>2359</v>
      </c>
      <c r="B97" s="798" t="s">
        <v>106</v>
      </c>
      <c r="C97" s="799" t="s">
        <v>79</v>
      </c>
      <c r="D97" s="799">
        <f>D95*0.08</f>
        <v>1.2774800000000002</v>
      </c>
      <c r="E97" s="862"/>
      <c r="F97" s="846">
        <v>305</v>
      </c>
      <c r="G97" s="794">
        <f t="shared" si="7"/>
        <v>0</v>
      </c>
      <c r="H97" s="794">
        <f t="shared" si="8"/>
        <v>389.63140000000004</v>
      </c>
      <c r="I97" s="794">
        <f t="shared" si="9"/>
        <v>389.63140000000004</v>
      </c>
      <c r="J97" s="927"/>
    </row>
    <row r="98" spans="1:10" x14ac:dyDescent="0.3">
      <c r="A98" s="797"/>
      <c r="B98" s="847" t="s">
        <v>2273</v>
      </c>
      <c r="C98" s="425"/>
      <c r="D98" s="844"/>
      <c r="E98" s="801"/>
      <c r="F98" s="817"/>
      <c r="G98" s="794">
        <f t="shared" si="7"/>
        <v>0</v>
      </c>
      <c r="H98" s="794">
        <f t="shared" si="8"/>
        <v>0</v>
      </c>
      <c r="I98" s="794">
        <f t="shared" si="9"/>
        <v>0</v>
      </c>
      <c r="J98" s="927"/>
    </row>
    <row r="99" spans="1:10" s="795" customFormat="1" x14ac:dyDescent="0.3">
      <c r="A99" s="788" t="s">
        <v>2360</v>
      </c>
      <c r="B99" s="825" t="s">
        <v>2250</v>
      </c>
      <c r="C99" s="826" t="s">
        <v>74</v>
      </c>
      <c r="D99" s="842">
        <f>17.02+391.46+16.89</f>
        <v>425.36999999999995</v>
      </c>
      <c r="E99" s="791">
        <v>90</v>
      </c>
      <c r="F99" s="854">
        <f>(I100+I101)/D99</f>
        <v>43.750000000000007</v>
      </c>
      <c r="G99" s="794">
        <f t="shared" si="7"/>
        <v>38283.299999999996</v>
      </c>
      <c r="H99" s="830">
        <f t="shared" si="8"/>
        <v>18609.9375</v>
      </c>
      <c r="I99" s="794">
        <f>G99</f>
        <v>38283.299999999996</v>
      </c>
      <c r="J99" s="927"/>
    </row>
    <row r="100" spans="1:10" x14ac:dyDescent="0.3">
      <c r="A100" s="797" t="s">
        <v>2361</v>
      </c>
      <c r="B100" s="424" t="s">
        <v>2342</v>
      </c>
      <c r="C100" s="425" t="s">
        <v>79</v>
      </c>
      <c r="D100" s="844">
        <f>0.8*D99</f>
        <v>340.29599999999999</v>
      </c>
      <c r="E100" s="801"/>
      <c r="F100" s="817">
        <v>17.5</v>
      </c>
      <c r="G100" s="794">
        <f t="shared" si="7"/>
        <v>0</v>
      </c>
      <c r="H100" s="794">
        <f t="shared" si="8"/>
        <v>5955.18</v>
      </c>
      <c r="I100" s="794">
        <f t="shared" si="9"/>
        <v>5955.18</v>
      </c>
      <c r="J100" s="927"/>
    </row>
    <row r="101" spans="1:10" x14ac:dyDescent="0.3">
      <c r="A101" s="797" t="s">
        <v>2362</v>
      </c>
      <c r="B101" s="831" t="s">
        <v>2233</v>
      </c>
      <c r="C101" s="832" t="s">
        <v>311</v>
      </c>
      <c r="D101" s="833">
        <f>D99*0.35</f>
        <v>148.87949999999998</v>
      </c>
      <c r="E101" s="801"/>
      <c r="F101" s="817">
        <v>85</v>
      </c>
      <c r="G101" s="794">
        <f t="shared" si="7"/>
        <v>0</v>
      </c>
      <c r="H101" s="794">
        <f t="shared" si="8"/>
        <v>12654.757499999998</v>
      </c>
      <c r="I101" s="794">
        <f t="shared" si="9"/>
        <v>12654.757499999998</v>
      </c>
      <c r="J101" s="927"/>
    </row>
    <row r="102" spans="1:10" x14ac:dyDescent="0.3">
      <c r="A102" s="788" t="s">
        <v>2363</v>
      </c>
      <c r="B102" s="825" t="s">
        <v>2255</v>
      </c>
      <c r="C102" s="826" t="s">
        <v>74</v>
      </c>
      <c r="D102" s="842">
        <f>17.02+391.46+16.89</f>
        <v>425.36999999999995</v>
      </c>
      <c r="E102" s="791">
        <v>100</v>
      </c>
      <c r="F102" s="843">
        <f>(I103+I104)/D102</f>
        <v>53.288200000000003</v>
      </c>
      <c r="G102" s="794">
        <f t="shared" si="7"/>
        <v>42536.999999999993</v>
      </c>
      <c r="H102" s="830">
        <f t="shared" si="8"/>
        <v>22667.201633999997</v>
      </c>
      <c r="I102" s="794">
        <f>G102</f>
        <v>42536.999999999993</v>
      </c>
      <c r="J102" s="927"/>
    </row>
    <row r="103" spans="1:10" s="795" customFormat="1" ht="31.3" x14ac:dyDescent="0.3">
      <c r="A103" s="797" t="s">
        <v>2364</v>
      </c>
      <c r="B103" s="850" t="s">
        <v>2289</v>
      </c>
      <c r="C103" s="425" t="s">
        <v>79</v>
      </c>
      <c r="D103" s="844">
        <f>D102*0.34</f>
        <v>144.6258</v>
      </c>
      <c r="E103" s="791"/>
      <c r="F103" s="803">
        <v>69.23</v>
      </c>
      <c r="G103" s="794">
        <f t="shared" si="7"/>
        <v>0</v>
      </c>
      <c r="H103" s="794">
        <f t="shared" si="8"/>
        <v>10012.444134000001</v>
      </c>
      <c r="I103" s="794">
        <f t="shared" si="9"/>
        <v>10012.444134000001</v>
      </c>
      <c r="J103" s="927"/>
    </row>
    <row r="104" spans="1:10" x14ac:dyDescent="0.3">
      <c r="A104" s="797" t="s">
        <v>2365</v>
      </c>
      <c r="B104" s="831" t="s">
        <v>2233</v>
      </c>
      <c r="C104" s="832" t="s">
        <v>311</v>
      </c>
      <c r="D104" s="833">
        <f>D102*0.35</f>
        <v>148.87949999999998</v>
      </c>
      <c r="E104" s="801"/>
      <c r="F104" s="817">
        <v>85</v>
      </c>
      <c r="G104" s="794">
        <f t="shared" si="7"/>
        <v>0</v>
      </c>
      <c r="H104" s="794">
        <f t="shared" si="8"/>
        <v>12654.757499999998</v>
      </c>
      <c r="I104" s="794">
        <f t="shared" si="9"/>
        <v>12654.757499999998</v>
      </c>
      <c r="J104" s="927"/>
    </row>
    <row r="105" spans="1:10" x14ac:dyDescent="0.3">
      <c r="A105" s="797"/>
      <c r="B105" s="863" t="s">
        <v>2366</v>
      </c>
      <c r="C105" s="820"/>
      <c r="D105" s="821"/>
      <c r="E105" s="801"/>
      <c r="F105" s="803"/>
      <c r="G105" s="794">
        <f t="shared" si="7"/>
        <v>0</v>
      </c>
      <c r="H105" s="794">
        <f t="shared" si="8"/>
        <v>0</v>
      </c>
      <c r="I105" s="794">
        <f t="shared" si="9"/>
        <v>0</v>
      </c>
      <c r="J105" s="927"/>
    </row>
    <row r="106" spans="1:10" s="795" customFormat="1" x14ac:dyDescent="0.3">
      <c r="A106" s="788" t="s">
        <v>2367</v>
      </c>
      <c r="B106" s="848" t="s">
        <v>2368</v>
      </c>
      <c r="C106" s="826" t="s">
        <v>74</v>
      </c>
      <c r="D106" s="827">
        <f>265.7+162.53</f>
        <v>428.23</v>
      </c>
      <c r="E106" s="791">
        <v>150</v>
      </c>
      <c r="F106" s="792"/>
      <c r="G106" s="794">
        <f t="shared" si="7"/>
        <v>64234.5</v>
      </c>
      <c r="H106" s="794">
        <f t="shared" si="8"/>
        <v>0</v>
      </c>
      <c r="I106" s="794">
        <f>G106</f>
        <v>64234.5</v>
      </c>
      <c r="J106" s="927"/>
    </row>
    <row r="107" spans="1:10" s="795" customFormat="1" x14ac:dyDescent="0.3">
      <c r="A107" s="797" t="s">
        <v>2369</v>
      </c>
      <c r="B107" s="424" t="s">
        <v>2370</v>
      </c>
      <c r="C107" s="425" t="s">
        <v>79</v>
      </c>
      <c r="D107" s="875">
        <f>15*D106</f>
        <v>6423.4500000000007</v>
      </c>
      <c r="E107" s="801"/>
      <c r="F107" s="803"/>
      <c r="G107" s="794">
        <f t="shared" si="7"/>
        <v>0</v>
      </c>
      <c r="H107" s="794">
        <f t="shared" si="8"/>
        <v>0</v>
      </c>
      <c r="I107" s="794">
        <f t="shared" si="9"/>
        <v>0</v>
      </c>
      <c r="J107" s="927"/>
    </row>
    <row r="108" spans="1:10" s="795" customFormat="1" ht="32.25" customHeight="1" x14ac:dyDescent="0.3">
      <c r="A108" s="788" t="s">
        <v>2371</v>
      </c>
      <c r="B108" s="876" t="s">
        <v>2372</v>
      </c>
      <c r="C108" s="826" t="s">
        <v>74</v>
      </c>
      <c r="D108" s="827">
        <f>402.3+41.41+152.6+5.07+19.33+11.47+38.14+17.25</f>
        <v>687.57000000000016</v>
      </c>
      <c r="E108" s="791">
        <v>330</v>
      </c>
      <c r="F108" s="792"/>
      <c r="G108" s="794">
        <f t="shared" si="7"/>
        <v>226898.10000000006</v>
      </c>
      <c r="H108" s="794">
        <f t="shared" si="8"/>
        <v>0</v>
      </c>
      <c r="I108" s="794">
        <f t="shared" si="9"/>
        <v>226898.10000000006</v>
      </c>
      <c r="J108" s="927"/>
    </row>
    <row r="109" spans="1:10" s="795" customFormat="1" x14ac:dyDescent="0.3">
      <c r="A109" s="797" t="s">
        <v>2373</v>
      </c>
      <c r="B109" s="877" t="s">
        <v>2374</v>
      </c>
      <c r="C109" s="878" t="s">
        <v>34</v>
      </c>
      <c r="D109" s="878">
        <f>ROUND(D108*0.05*1.03,2)</f>
        <v>35.409999999999997</v>
      </c>
      <c r="E109" s="879"/>
      <c r="F109" s="880"/>
      <c r="G109" s="794">
        <f t="shared" si="7"/>
        <v>0</v>
      </c>
      <c r="H109" s="794">
        <f t="shared" si="8"/>
        <v>0</v>
      </c>
      <c r="I109" s="794">
        <f t="shared" si="9"/>
        <v>0</v>
      </c>
      <c r="J109" s="927"/>
    </row>
    <row r="110" spans="1:10" s="795" customFormat="1" x14ac:dyDescent="0.3">
      <c r="A110" s="797" t="s">
        <v>2375</v>
      </c>
      <c r="B110" s="877" t="s">
        <v>2376</v>
      </c>
      <c r="C110" s="878" t="s">
        <v>74</v>
      </c>
      <c r="D110" s="878">
        <f>ROUND(D108*1.03,0)</f>
        <v>708</v>
      </c>
      <c r="E110" s="879"/>
      <c r="F110" s="880"/>
      <c r="G110" s="794">
        <f t="shared" si="7"/>
        <v>0</v>
      </c>
      <c r="H110" s="794">
        <f t="shared" si="8"/>
        <v>0</v>
      </c>
      <c r="I110" s="794">
        <f t="shared" si="9"/>
        <v>0</v>
      </c>
      <c r="J110" s="927"/>
    </row>
    <row r="111" spans="1:10" s="795" customFormat="1" ht="28.8" x14ac:dyDescent="0.3">
      <c r="A111" s="788" t="s">
        <v>2377</v>
      </c>
      <c r="B111" s="876" t="s">
        <v>2378</v>
      </c>
      <c r="C111" s="826" t="s">
        <v>74</v>
      </c>
      <c r="D111" s="827">
        <f>6.35</f>
        <v>6.35</v>
      </c>
      <c r="E111" s="791">
        <v>330</v>
      </c>
      <c r="F111" s="792"/>
      <c r="G111" s="794">
        <f t="shared" si="7"/>
        <v>2095.5</v>
      </c>
      <c r="H111" s="794">
        <f t="shared" si="8"/>
        <v>0</v>
      </c>
      <c r="I111" s="794">
        <f t="shared" si="9"/>
        <v>2095.5</v>
      </c>
      <c r="J111" s="927"/>
    </row>
    <row r="112" spans="1:10" s="795" customFormat="1" x14ac:dyDescent="0.3">
      <c r="A112" s="797" t="s">
        <v>2379</v>
      </c>
      <c r="B112" s="877" t="s">
        <v>2374</v>
      </c>
      <c r="C112" s="878" t="s">
        <v>34</v>
      </c>
      <c r="D112" s="881">
        <f>ROUND(D111*0.04*1.03,2)</f>
        <v>0.26</v>
      </c>
      <c r="E112" s="879"/>
      <c r="F112" s="880"/>
      <c r="G112" s="794">
        <f t="shared" si="7"/>
        <v>0</v>
      </c>
      <c r="H112" s="794">
        <f t="shared" si="8"/>
        <v>0</v>
      </c>
      <c r="I112" s="794">
        <f t="shared" si="9"/>
        <v>0</v>
      </c>
      <c r="J112" s="927"/>
    </row>
    <row r="113" spans="1:10" s="795" customFormat="1" x14ac:dyDescent="0.3">
      <c r="A113" s="797" t="s">
        <v>2380</v>
      </c>
      <c r="B113" s="877" t="s">
        <v>2376</v>
      </c>
      <c r="C113" s="878" t="s">
        <v>74</v>
      </c>
      <c r="D113" s="878">
        <f>ROUND(D111*1.03,0)</f>
        <v>7</v>
      </c>
      <c r="E113" s="791"/>
      <c r="F113" s="792"/>
      <c r="G113" s="794">
        <f t="shared" si="7"/>
        <v>0</v>
      </c>
      <c r="H113" s="794">
        <f t="shared" si="8"/>
        <v>0</v>
      </c>
      <c r="I113" s="794">
        <f t="shared" si="9"/>
        <v>0</v>
      </c>
      <c r="J113" s="927"/>
    </row>
    <row r="114" spans="1:10" s="795" customFormat="1" ht="28.8" x14ac:dyDescent="0.3">
      <c r="A114" s="788" t="s">
        <v>2381</v>
      </c>
      <c r="B114" s="876" t="s">
        <v>2382</v>
      </c>
      <c r="C114" s="826" t="s">
        <v>74</v>
      </c>
      <c r="D114" s="827">
        <f>77.84</f>
        <v>77.84</v>
      </c>
      <c r="E114" s="791">
        <v>420</v>
      </c>
      <c r="F114" s="792"/>
      <c r="G114" s="794">
        <f t="shared" si="7"/>
        <v>32692.800000000003</v>
      </c>
      <c r="H114" s="794">
        <f t="shared" si="8"/>
        <v>0</v>
      </c>
      <c r="I114" s="794">
        <f t="shared" si="9"/>
        <v>32692.800000000003</v>
      </c>
      <c r="J114" s="927"/>
    </row>
    <row r="115" spans="1:10" x14ac:dyDescent="0.3">
      <c r="A115" s="797" t="s">
        <v>2383</v>
      </c>
      <c r="B115" s="877" t="s">
        <v>2374</v>
      </c>
      <c r="C115" s="878" t="s">
        <v>34</v>
      </c>
      <c r="D115" s="878">
        <f>ROUND(D114*0.075*1.03,2)</f>
        <v>6.01</v>
      </c>
      <c r="E115" s="851"/>
      <c r="F115" s="882"/>
      <c r="G115" s="794">
        <f t="shared" si="7"/>
        <v>0</v>
      </c>
      <c r="H115" s="794">
        <f t="shared" si="8"/>
        <v>0</v>
      </c>
      <c r="I115" s="794">
        <f t="shared" si="9"/>
        <v>0</v>
      </c>
      <c r="J115" s="927"/>
    </row>
    <row r="116" spans="1:10" x14ac:dyDescent="0.3">
      <c r="A116" s="797" t="s">
        <v>2384</v>
      </c>
      <c r="B116" s="877" t="s">
        <v>2376</v>
      </c>
      <c r="C116" s="878" t="s">
        <v>74</v>
      </c>
      <c r="D116" s="878">
        <f>ROUND(D114*1.03,0)</f>
        <v>80</v>
      </c>
      <c r="E116" s="851"/>
      <c r="F116" s="882"/>
      <c r="G116" s="794">
        <f t="shared" si="7"/>
        <v>0</v>
      </c>
      <c r="H116" s="794">
        <f t="shared" si="8"/>
        <v>0</v>
      </c>
      <c r="I116" s="794">
        <f t="shared" si="9"/>
        <v>0</v>
      </c>
      <c r="J116" s="927"/>
    </row>
    <row r="117" spans="1:10" s="795" customFormat="1" ht="28.8" x14ac:dyDescent="0.3">
      <c r="A117" s="788" t="s">
        <v>2385</v>
      </c>
      <c r="B117" s="876" t="s">
        <v>2386</v>
      </c>
      <c r="C117" s="826" t="s">
        <v>74</v>
      </c>
      <c r="D117" s="827">
        <f>608.88</f>
        <v>608.88</v>
      </c>
      <c r="E117" s="791">
        <v>420</v>
      </c>
      <c r="F117" s="792"/>
      <c r="G117" s="794">
        <f t="shared" si="7"/>
        <v>255729.6</v>
      </c>
      <c r="H117" s="794">
        <f t="shared" si="8"/>
        <v>0</v>
      </c>
      <c r="I117" s="794">
        <f t="shared" si="9"/>
        <v>255729.6</v>
      </c>
      <c r="J117" s="927"/>
    </row>
    <row r="118" spans="1:10" x14ac:dyDescent="0.3">
      <c r="A118" s="797" t="s">
        <v>2387</v>
      </c>
      <c r="B118" s="877" t="s">
        <v>2374</v>
      </c>
      <c r="C118" s="878" t="s">
        <v>34</v>
      </c>
      <c r="D118" s="878">
        <f>ROUND(D117*0.07*1.03,2)</f>
        <v>43.9</v>
      </c>
      <c r="E118" s="883"/>
      <c r="F118" s="865"/>
      <c r="G118" s="794">
        <f t="shared" si="7"/>
        <v>0</v>
      </c>
      <c r="H118" s="794">
        <f t="shared" si="8"/>
        <v>0</v>
      </c>
      <c r="I118" s="794">
        <f t="shared" si="9"/>
        <v>0</v>
      </c>
      <c r="J118" s="927"/>
    </row>
    <row r="119" spans="1:10" x14ac:dyDescent="0.3">
      <c r="A119" s="797" t="s">
        <v>2388</v>
      </c>
      <c r="B119" s="877" t="s">
        <v>2376</v>
      </c>
      <c r="C119" s="878" t="s">
        <v>74</v>
      </c>
      <c r="D119" s="878">
        <f>ROUND(D117*1.03,0)</f>
        <v>627</v>
      </c>
      <c r="E119" s="851"/>
      <c r="F119" s="882"/>
      <c r="G119" s="794">
        <f t="shared" si="7"/>
        <v>0</v>
      </c>
      <c r="H119" s="794">
        <f t="shared" si="8"/>
        <v>0</v>
      </c>
      <c r="I119" s="794">
        <f t="shared" si="9"/>
        <v>0</v>
      </c>
      <c r="J119" s="927"/>
    </row>
    <row r="120" spans="1:10" s="795" customFormat="1" x14ac:dyDescent="0.3">
      <c r="A120" s="788" t="s">
        <v>2389</v>
      </c>
      <c r="B120" s="876" t="s">
        <v>2390</v>
      </c>
      <c r="C120" s="826" t="s">
        <v>74</v>
      </c>
      <c r="D120" s="827">
        <f>10130.13+1274.85+2606.42</f>
        <v>14011.4</v>
      </c>
      <c r="E120" s="791">
        <v>380</v>
      </c>
      <c r="F120" s="792"/>
      <c r="G120" s="794">
        <f t="shared" si="7"/>
        <v>5324332</v>
      </c>
      <c r="H120" s="794">
        <f t="shared" si="8"/>
        <v>0</v>
      </c>
      <c r="I120" s="794">
        <f t="shared" si="9"/>
        <v>5324332</v>
      </c>
      <c r="J120" s="927"/>
    </row>
    <row r="121" spans="1:10" x14ac:dyDescent="0.3">
      <c r="A121" s="797" t="s">
        <v>2391</v>
      </c>
      <c r="B121" s="884" t="s">
        <v>2392</v>
      </c>
      <c r="C121" s="425" t="s">
        <v>34</v>
      </c>
      <c r="D121" s="878">
        <f>ROUND(D120*0.04*1.03,2)</f>
        <v>577.27</v>
      </c>
      <c r="E121" s="791"/>
      <c r="F121" s="803"/>
      <c r="G121" s="794">
        <f t="shared" si="7"/>
        <v>0</v>
      </c>
      <c r="H121" s="794">
        <f t="shared" si="8"/>
        <v>0</v>
      </c>
      <c r="I121" s="794">
        <f t="shared" si="9"/>
        <v>0</v>
      </c>
      <c r="J121" s="927"/>
    </row>
    <row r="122" spans="1:10" ht="28.8" x14ac:dyDescent="0.3">
      <c r="A122" s="788" t="s">
        <v>2393</v>
      </c>
      <c r="B122" s="876" t="s">
        <v>2394</v>
      </c>
      <c r="C122" s="826" t="s">
        <v>74</v>
      </c>
      <c r="D122" s="827">
        <f>3.77</f>
        <v>3.77</v>
      </c>
      <c r="E122" s="791"/>
      <c r="F122" s="803"/>
      <c r="G122" s="794">
        <f t="shared" si="7"/>
        <v>0</v>
      </c>
      <c r="H122" s="794">
        <f t="shared" si="8"/>
        <v>0</v>
      </c>
      <c r="I122" s="794">
        <f t="shared" si="9"/>
        <v>0</v>
      </c>
      <c r="J122" s="927"/>
    </row>
    <row r="123" spans="1:10" x14ac:dyDescent="0.3">
      <c r="A123" s="797" t="s">
        <v>2395</v>
      </c>
      <c r="B123" s="884" t="s">
        <v>2392</v>
      </c>
      <c r="C123" s="425" t="s">
        <v>34</v>
      </c>
      <c r="D123" s="878">
        <f>ROUND(D122*0.03*1.03,2)</f>
        <v>0.12</v>
      </c>
      <c r="E123" s="791"/>
      <c r="F123" s="803"/>
      <c r="G123" s="794">
        <f t="shared" si="7"/>
        <v>0</v>
      </c>
      <c r="H123" s="794">
        <f t="shared" si="8"/>
        <v>0</v>
      </c>
      <c r="I123" s="794">
        <f t="shared" si="9"/>
        <v>0</v>
      </c>
      <c r="J123" s="927"/>
    </row>
    <row r="124" spans="1:10" x14ac:dyDescent="0.3">
      <c r="A124" s="788" t="s">
        <v>2396</v>
      </c>
      <c r="B124" s="825" t="s">
        <v>2397</v>
      </c>
      <c r="C124" s="826" t="s">
        <v>74</v>
      </c>
      <c r="D124" s="827">
        <f>402.3+41.41+152.6+5.07+6.35+608.88</f>
        <v>1216.6100000000001</v>
      </c>
      <c r="E124" s="791">
        <v>50</v>
      </c>
      <c r="F124" s="803"/>
      <c r="G124" s="794">
        <f t="shared" si="7"/>
        <v>60830.500000000007</v>
      </c>
      <c r="H124" s="794">
        <f t="shared" si="8"/>
        <v>0</v>
      </c>
      <c r="I124" s="794">
        <f t="shared" si="9"/>
        <v>60830.500000000007</v>
      </c>
      <c r="J124" s="927"/>
    </row>
    <row r="125" spans="1:10" x14ac:dyDescent="0.3">
      <c r="A125" s="797" t="s">
        <v>2398</v>
      </c>
      <c r="B125" s="424" t="s">
        <v>2399</v>
      </c>
      <c r="C125" s="425" t="s">
        <v>74</v>
      </c>
      <c r="D125" s="875">
        <f>D124*1.01</f>
        <v>1228.7761</v>
      </c>
      <c r="E125" s="791"/>
      <c r="F125" s="803"/>
      <c r="G125" s="794">
        <f t="shared" si="7"/>
        <v>0</v>
      </c>
      <c r="H125" s="794">
        <f t="shared" si="8"/>
        <v>0</v>
      </c>
      <c r="I125" s="794">
        <f t="shared" si="9"/>
        <v>0</v>
      </c>
      <c r="J125" s="927"/>
    </row>
    <row r="126" spans="1:10" ht="28.8" x14ac:dyDescent="0.3">
      <c r="A126" s="788" t="s">
        <v>2400</v>
      </c>
      <c r="B126" s="876" t="s">
        <v>2401</v>
      </c>
      <c r="C126" s="826" t="s">
        <v>74</v>
      </c>
      <c r="D126" s="827">
        <f>41.41+5.07+6.35+162.53+1274.85</f>
        <v>1490.21</v>
      </c>
      <c r="E126" s="791">
        <v>100</v>
      </c>
      <c r="F126" s="854">
        <f>(I127+I128)/D126</f>
        <v>268.31935096395807</v>
      </c>
      <c r="G126" s="794">
        <f t="shared" si="7"/>
        <v>149021</v>
      </c>
      <c r="H126" s="830">
        <f t="shared" si="8"/>
        <v>399852.18</v>
      </c>
      <c r="I126" s="794">
        <f>G126</f>
        <v>149021</v>
      </c>
      <c r="J126" s="927"/>
    </row>
    <row r="127" spans="1:10" s="795" customFormat="1" ht="16.45" customHeight="1" x14ac:dyDescent="0.3">
      <c r="A127" s="885" t="s">
        <v>2402</v>
      </c>
      <c r="B127" s="424" t="s">
        <v>2403</v>
      </c>
      <c r="C127" s="886" t="s">
        <v>311</v>
      </c>
      <c r="D127" s="881">
        <f>ROUND(D126*0.35*2*1.03,0)</f>
        <v>1074</v>
      </c>
      <c r="E127" s="887"/>
      <c r="F127" s="803">
        <v>80.92</v>
      </c>
      <c r="G127" s="794">
        <f t="shared" si="7"/>
        <v>0</v>
      </c>
      <c r="H127" s="794">
        <f t="shared" si="8"/>
        <v>86908.08</v>
      </c>
      <c r="I127" s="794">
        <f t="shared" si="9"/>
        <v>86908.08</v>
      </c>
      <c r="J127" s="927"/>
    </row>
    <row r="128" spans="1:10" x14ac:dyDescent="0.3">
      <c r="A128" s="885" t="s">
        <v>2404</v>
      </c>
      <c r="B128" s="424" t="s">
        <v>2405</v>
      </c>
      <c r="C128" s="886" t="s">
        <v>79</v>
      </c>
      <c r="D128" s="881">
        <f>D126*2.8</f>
        <v>4172.5879999999997</v>
      </c>
      <c r="E128" s="791"/>
      <c r="F128" s="802">
        <v>75</v>
      </c>
      <c r="G128" s="794">
        <f t="shared" si="7"/>
        <v>0</v>
      </c>
      <c r="H128" s="794">
        <f t="shared" si="8"/>
        <v>312944.09999999998</v>
      </c>
      <c r="I128" s="794">
        <f t="shared" si="9"/>
        <v>312944.09999999998</v>
      </c>
      <c r="J128" s="927"/>
    </row>
    <row r="129" spans="1:10" x14ac:dyDescent="0.3">
      <c r="A129" s="788" t="s">
        <v>2406</v>
      </c>
      <c r="B129" s="825" t="s">
        <v>2407</v>
      </c>
      <c r="C129" s="826" t="s">
        <v>74</v>
      </c>
      <c r="D129" s="827">
        <v>608.88</v>
      </c>
      <c r="E129" s="791">
        <v>120</v>
      </c>
      <c r="F129" s="854">
        <f>(I130+I131)/D129</f>
        <v>79.637945079490223</v>
      </c>
      <c r="G129" s="794">
        <f t="shared" si="7"/>
        <v>73065.600000000006</v>
      </c>
      <c r="H129" s="830">
        <f t="shared" si="8"/>
        <v>48489.952000000005</v>
      </c>
      <c r="I129" s="794">
        <f>G129</f>
        <v>73065.600000000006</v>
      </c>
      <c r="J129" s="927"/>
    </row>
    <row r="130" spans="1:10" x14ac:dyDescent="0.3">
      <c r="A130" s="797" t="s">
        <v>2408</v>
      </c>
      <c r="B130" s="424" t="s">
        <v>552</v>
      </c>
      <c r="C130" s="844" t="s">
        <v>74</v>
      </c>
      <c r="D130" s="888">
        <f>D129*1.05</f>
        <v>639.32400000000007</v>
      </c>
      <c r="E130" s="791"/>
      <c r="F130" s="802">
        <v>48</v>
      </c>
      <c r="G130" s="794">
        <f t="shared" si="7"/>
        <v>0</v>
      </c>
      <c r="H130" s="794">
        <f t="shared" si="8"/>
        <v>30687.552000000003</v>
      </c>
      <c r="I130" s="794">
        <f t="shared" si="9"/>
        <v>30687.552000000003</v>
      </c>
      <c r="J130" s="927"/>
    </row>
    <row r="131" spans="1:10" x14ac:dyDescent="0.3">
      <c r="A131" s="797" t="s">
        <v>2409</v>
      </c>
      <c r="B131" s="424" t="s">
        <v>2403</v>
      </c>
      <c r="C131" s="886" t="s">
        <v>311</v>
      </c>
      <c r="D131" s="881">
        <f>ROUND(D129*0.35*1.03,0)</f>
        <v>220</v>
      </c>
      <c r="E131" s="791"/>
      <c r="F131" s="802">
        <v>80.92</v>
      </c>
      <c r="G131" s="794">
        <f t="shared" si="7"/>
        <v>0</v>
      </c>
      <c r="H131" s="794">
        <f t="shared" si="8"/>
        <v>17802.400000000001</v>
      </c>
      <c r="I131" s="794">
        <f t="shared" si="9"/>
        <v>17802.400000000001</v>
      </c>
      <c r="J131" s="927"/>
    </row>
    <row r="132" spans="1:10" x14ac:dyDescent="0.3">
      <c r="A132" s="788" t="s">
        <v>2410</v>
      </c>
      <c r="B132" s="825" t="s">
        <v>2411</v>
      </c>
      <c r="C132" s="826" t="s">
        <v>74</v>
      </c>
      <c r="D132" s="827">
        <f>17.25</f>
        <v>17.25</v>
      </c>
      <c r="E132" s="791">
        <v>150</v>
      </c>
      <c r="F132" s="854">
        <f>(I133+I134)/D132</f>
        <v>351.12608695652182</v>
      </c>
      <c r="G132" s="794">
        <f t="shared" si="7"/>
        <v>2587.5</v>
      </c>
      <c r="H132" s="830">
        <f t="shared" si="8"/>
        <v>6056.9250000000011</v>
      </c>
      <c r="I132" s="794">
        <f>G132</f>
        <v>2587.5</v>
      </c>
      <c r="J132" s="927"/>
    </row>
    <row r="133" spans="1:10" x14ac:dyDescent="0.3">
      <c r="A133" s="797" t="s">
        <v>2412</v>
      </c>
      <c r="B133" s="424" t="s">
        <v>2413</v>
      </c>
      <c r="C133" s="844" t="s">
        <v>74</v>
      </c>
      <c r="D133" s="888">
        <f>D132*1.05*2</f>
        <v>36.225000000000001</v>
      </c>
      <c r="E133" s="791"/>
      <c r="F133" s="802">
        <v>153.80000000000001</v>
      </c>
      <c r="G133" s="794">
        <f t="shared" si="7"/>
        <v>0</v>
      </c>
      <c r="H133" s="794">
        <f t="shared" si="8"/>
        <v>5571.4050000000007</v>
      </c>
      <c r="I133" s="794">
        <f t="shared" si="9"/>
        <v>5571.4050000000007</v>
      </c>
      <c r="J133" s="927"/>
    </row>
    <row r="134" spans="1:10" x14ac:dyDescent="0.3">
      <c r="A134" s="797" t="s">
        <v>2414</v>
      </c>
      <c r="B134" s="424" t="s">
        <v>2403</v>
      </c>
      <c r="C134" s="886" t="s">
        <v>311</v>
      </c>
      <c r="D134" s="881">
        <f>ROUND(D132*0.35*1.03,0)</f>
        <v>6</v>
      </c>
      <c r="E134" s="791"/>
      <c r="F134" s="802">
        <v>80.92</v>
      </c>
      <c r="G134" s="794">
        <f t="shared" si="7"/>
        <v>0</v>
      </c>
      <c r="H134" s="794">
        <f t="shared" si="8"/>
        <v>485.52</v>
      </c>
      <c r="I134" s="794">
        <f t="shared" si="9"/>
        <v>485.52</v>
      </c>
      <c r="J134" s="927"/>
    </row>
    <row r="135" spans="1:10" x14ac:dyDescent="0.3">
      <c r="A135" s="788" t="s">
        <v>2415</v>
      </c>
      <c r="B135" s="825" t="s">
        <v>2416</v>
      </c>
      <c r="C135" s="826" t="s">
        <v>74</v>
      </c>
      <c r="D135" s="827">
        <f>402.3+41.41+152.6+5.07+6.35+608.88</f>
        <v>1216.6100000000001</v>
      </c>
      <c r="E135" s="791">
        <v>120</v>
      </c>
      <c r="F135" s="854">
        <f>(I136+I137)/D135</f>
        <v>150.78369074724031</v>
      </c>
      <c r="G135" s="794">
        <f t="shared" si="7"/>
        <v>145993.20000000001</v>
      </c>
      <c r="H135" s="830">
        <f t="shared" si="8"/>
        <v>183444.94600000005</v>
      </c>
      <c r="I135" s="794">
        <f>G135</f>
        <v>145993.20000000001</v>
      </c>
      <c r="J135" s="927"/>
    </row>
    <row r="136" spans="1:10" x14ac:dyDescent="0.3">
      <c r="A136" s="797" t="s">
        <v>2417</v>
      </c>
      <c r="B136" s="424" t="s">
        <v>2418</v>
      </c>
      <c r="C136" s="425" t="s">
        <v>34</v>
      </c>
      <c r="D136" s="875">
        <f>(402.3+41.41+152.6+5.07+6.35)*0.05</f>
        <v>30.386500000000009</v>
      </c>
      <c r="E136" s="801"/>
      <c r="F136" s="802">
        <v>4420</v>
      </c>
      <c r="G136" s="794">
        <f t="shared" si="7"/>
        <v>0</v>
      </c>
      <c r="H136" s="794">
        <f t="shared" si="8"/>
        <v>134308.33000000005</v>
      </c>
      <c r="I136" s="794">
        <f t="shared" si="9"/>
        <v>134308.33000000005</v>
      </c>
      <c r="J136" s="927"/>
    </row>
    <row r="137" spans="1:10" x14ac:dyDescent="0.3">
      <c r="A137" s="797" t="s">
        <v>2419</v>
      </c>
      <c r="B137" s="424" t="s">
        <v>2420</v>
      </c>
      <c r="C137" s="425" t="s">
        <v>34</v>
      </c>
      <c r="D137" s="875">
        <f>608.88*0.02</f>
        <v>12.1776</v>
      </c>
      <c r="E137" s="801"/>
      <c r="F137" s="802">
        <v>4035</v>
      </c>
      <c r="G137" s="794">
        <f t="shared" si="7"/>
        <v>0</v>
      </c>
      <c r="H137" s="794">
        <f t="shared" si="8"/>
        <v>49136.616000000002</v>
      </c>
      <c r="I137" s="794">
        <f t="shared" si="9"/>
        <v>49136.616000000002</v>
      </c>
      <c r="J137" s="927"/>
    </row>
    <row r="138" spans="1:10" s="795" customFormat="1" ht="28.8" x14ac:dyDescent="0.3">
      <c r="A138" s="788" t="s">
        <v>2421</v>
      </c>
      <c r="B138" s="825" t="s">
        <v>2422</v>
      </c>
      <c r="C138" s="826" t="s">
        <v>74</v>
      </c>
      <c r="D138" s="827">
        <f>(D139+D140+D141)/1.1</f>
        <v>3303.3999999999996</v>
      </c>
      <c r="E138" s="791">
        <v>350</v>
      </c>
      <c r="F138" s="854">
        <f>(I139+I140+I141+I142+I143+I144)/D138</f>
        <v>715.64278985287888</v>
      </c>
      <c r="G138" s="794">
        <f t="shared" si="7"/>
        <v>1156189.9999999998</v>
      </c>
      <c r="H138" s="830">
        <f t="shared" si="8"/>
        <v>2364054.392</v>
      </c>
      <c r="I138" s="794">
        <f>G138</f>
        <v>1156189.9999999998</v>
      </c>
      <c r="J138" s="927"/>
    </row>
    <row r="139" spans="1:10" x14ac:dyDescent="0.3">
      <c r="A139" s="797" t="s">
        <v>2423</v>
      </c>
      <c r="B139" s="424" t="s">
        <v>1726</v>
      </c>
      <c r="C139" s="425" t="s">
        <v>74</v>
      </c>
      <c r="D139" s="875">
        <f>(3.79+3.77+77.84)*1.1</f>
        <v>93.940000000000012</v>
      </c>
      <c r="E139" s="801"/>
      <c r="F139" s="802">
        <v>1250</v>
      </c>
      <c r="G139" s="794">
        <f t="shared" si="7"/>
        <v>0</v>
      </c>
      <c r="H139" s="794">
        <f t="shared" si="8"/>
        <v>117425.00000000001</v>
      </c>
      <c r="I139" s="794">
        <f t="shared" si="9"/>
        <v>117425.00000000001</v>
      </c>
      <c r="J139" s="927"/>
    </row>
    <row r="140" spans="1:10" x14ac:dyDescent="0.3">
      <c r="A140" s="797" t="s">
        <v>2424</v>
      </c>
      <c r="B140" s="424" t="s">
        <v>2425</v>
      </c>
      <c r="C140" s="425" t="s">
        <v>74</v>
      </c>
      <c r="D140" s="875">
        <f>(152.6+5.07+6.35+19.33+2606.42+265.7)*1.1</f>
        <v>3361.0169999999998</v>
      </c>
      <c r="E140" s="801"/>
      <c r="F140" s="802">
        <v>395</v>
      </c>
      <c r="G140" s="794">
        <f t="shared" si="7"/>
        <v>0</v>
      </c>
      <c r="H140" s="794">
        <f t="shared" si="8"/>
        <v>1327601.7149999999</v>
      </c>
      <c r="I140" s="794">
        <f t="shared" si="9"/>
        <v>1327601.7149999999</v>
      </c>
      <c r="J140" s="927"/>
    </row>
    <row r="141" spans="1:10" x14ac:dyDescent="0.3">
      <c r="A141" s="797" t="s">
        <v>2426</v>
      </c>
      <c r="B141" s="424" t="s">
        <v>2427</v>
      </c>
      <c r="C141" s="425" t="s">
        <v>74</v>
      </c>
      <c r="D141" s="875">
        <f>162.53*1.1</f>
        <v>178.78300000000002</v>
      </c>
      <c r="E141" s="801"/>
      <c r="F141" s="802">
        <v>515</v>
      </c>
      <c r="G141" s="794">
        <f t="shared" si="7"/>
        <v>0</v>
      </c>
      <c r="H141" s="794">
        <f t="shared" si="8"/>
        <v>92073.24500000001</v>
      </c>
      <c r="I141" s="794">
        <f t="shared" si="9"/>
        <v>92073.24500000001</v>
      </c>
      <c r="J141" s="927"/>
    </row>
    <row r="142" spans="1:10" x14ac:dyDescent="0.3">
      <c r="A142" s="797" t="s">
        <v>2428</v>
      </c>
      <c r="B142" s="424" t="s">
        <v>2429</v>
      </c>
      <c r="C142" s="425" t="s">
        <v>79</v>
      </c>
      <c r="D142" s="888">
        <f>ROUND(D139*12,2)</f>
        <v>1127.28</v>
      </c>
      <c r="E142" s="801"/>
      <c r="F142" s="802">
        <v>18.399999999999999</v>
      </c>
      <c r="G142" s="794">
        <f t="shared" ref="G142:G149" si="10">D142*E142</f>
        <v>0</v>
      </c>
      <c r="H142" s="794">
        <f t="shared" ref="H142:H149" si="11">D142*F142</f>
        <v>20741.951999999997</v>
      </c>
      <c r="I142" s="794">
        <f t="shared" ref="I142:I149" si="12">G142+H142</f>
        <v>20741.951999999997</v>
      </c>
      <c r="J142" s="927"/>
    </row>
    <row r="143" spans="1:10" x14ac:dyDescent="0.3">
      <c r="A143" s="797" t="s">
        <v>2430</v>
      </c>
      <c r="B143" s="424" t="s">
        <v>2431</v>
      </c>
      <c r="C143" s="425" t="s">
        <v>79</v>
      </c>
      <c r="D143" s="888">
        <f>ROUND(D140*12,2)</f>
        <v>40332.199999999997</v>
      </c>
      <c r="E143" s="801"/>
      <c r="F143" s="802">
        <v>18.399999999999999</v>
      </c>
      <c r="G143" s="794">
        <f t="shared" si="10"/>
        <v>0</v>
      </c>
      <c r="H143" s="794">
        <f t="shared" si="11"/>
        <v>742112.47999999986</v>
      </c>
      <c r="I143" s="794">
        <f t="shared" si="12"/>
        <v>742112.47999999986</v>
      </c>
      <c r="J143" s="927"/>
    </row>
    <row r="144" spans="1:10" x14ac:dyDescent="0.3">
      <c r="A144" s="797" t="s">
        <v>2432</v>
      </c>
      <c r="B144" s="424" t="s">
        <v>2433</v>
      </c>
      <c r="C144" s="425" t="s">
        <v>79</v>
      </c>
      <c r="D144" s="888">
        <f>ROUND(D138*0.194,0)</f>
        <v>641</v>
      </c>
      <c r="E144" s="801"/>
      <c r="F144" s="802">
        <v>100</v>
      </c>
      <c r="G144" s="794">
        <f t="shared" si="10"/>
        <v>0</v>
      </c>
      <c r="H144" s="794">
        <f t="shared" si="11"/>
        <v>64100</v>
      </c>
      <c r="I144" s="794">
        <f t="shared" si="12"/>
        <v>64100</v>
      </c>
      <c r="J144" s="927"/>
    </row>
    <row r="145" spans="1:10" s="795" customFormat="1" x14ac:dyDescent="0.3">
      <c r="A145" s="788" t="s">
        <v>2434</v>
      </c>
      <c r="B145" s="825" t="s">
        <v>2435</v>
      </c>
      <c r="C145" s="826" t="s">
        <v>318</v>
      </c>
      <c r="D145" s="845">
        <f>2375.201</f>
        <v>2375.201</v>
      </c>
      <c r="E145" s="791">
        <v>100</v>
      </c>
      <c r="F145" s="854">
        <f>(I146+I147)/D145</f>
        <v>24.016668905073715</v>
      </c>
      <c r="G145" s="794">
        <f t="shared" si="10"/>
        <v>237520.1</v>
      </c>
      <c r="H145" s="830">
        <f t="shared" si="11"/>
        <v>57044.41599999999</v>
      </c>
      <c r="I145" s="794">
        <f>G145</f>
        <v>237520.1</v>
      </c>
      <c r="J145" s="927"/>
    </row>
    <row r="146" spans="1:10" x14ac:dyDescent="0.3">
      <c r="A146" s="797" t="s">
        <v>2436</v>
      </c>
      <c r="B146" s="424" t="s">
        <v>1728</v>
      </c>
      <c r="C146" s="425" t="s">
        <v>79</v>
      </c>
      <c r="D146" s="888">
        <f>ROUND((D145*0.1)*12,2)</f>
        <v>2850.24</v>
      </c>
      <c r="E146" s="801"/>
      <c r="F146" s="802">
        <v>18.399999999999999</v>
      </c>
      <c r="G146" s="794">
        <f t="shared" si="10"/>
        <v>0</v>
      </c>
      <c r="H146" s="794">
        <f t="shared" si="11"/>
        <v>52444.41599999999</v>
      </c>
      <c r="I146" s="794">
        <f t="shared" si="12"/>
        <v>52444.41599999999</v>
      </c>
      <c r="J146" s="927"/>
    </row>
    <row r="147" spans="1:10" x14ac:dyDescent="0.3">
      <c r="A147" s="797" t="s">
        <v>2437</v>
      </c>
      <c r="B147" s="424" t="s">
        <v>2433</v>
      </c>
      <c r="C147" s="425" t="s">
        <v>79</v>
      </c>
      <c r="D147" s="888">
        <f>ROUND((D145*0.1)*0.194,0)</f>
        <v>46</v>
      </c>
      <c r="E147" s="801"/>
      <c r="F147" s="802">
        <v>100</v>
      </c>
      <c r="G147" s="794">
        <f t="shared" si="10"/>
        <v>0</v>
      </c>
      <c r="H147" s="794">
        <f t="shared" si="11"/>
        <v>4600</v>
      </c>
      <c r="I147" s="794">
        <f t="shared" si="12"/>
        <v>4600</v>
      </c>
      <c r="J147" s="927"/>
    </row>
    <row r="148" spans="1:10" x14ac:dyDescent="0.3">
      <c r="A148" s="788" t="s">
        <v>2438</v>
      </c>
      <c r="B148" s="825" t="s">
        <v>2439</v>
      </c>
      <c r="C148" s="826" t="s">
        <v>74</v>
      </c>
      <c r="D148" s="845">
        <f>11.47</f>
        <v>11.47</v>
      </c>
      <c r="E148" s="801">
        <v>100</v>
      </c>
      <c r="F148" s="854">
        <f>I149/D148</f>
        <v>480</v>
      </c>
      <c r="G148" s="794">
        <f t="shared" si="10"/>
        <v>1147</v>
      </c>
      <c r="H148" s="830">
        <f t="shared" si="11"/>
        <v>5505.6</v>
      </c>
      <c r="I148" s="794">
        <f>G148</f>
        <v>1147</v>
      </c>
      <c r="J148" s="927"/>
    </row>
    <row r="149" spans="1:10" x14ac:dyDescent="0.3">
      <c r="A149" s="797" t="s">
        <v>2440</v>
      </c>
      <c r="B149" s="424" t="s">
        <v>2441</v>
      </c>
      <c r="C149" s="425" t="s">
        <v>34</v>
      </c>
      <c r="D149" s="875">
        <f>D148*0.3</f>
        <v>3.4410000000000003</v>
      </c>
      <c r="E149" s="801"/>
      <c r="F149" s="802">
        <v>1600</v>
      </c>
      <c r="G149" s="794">
        <f t="shared" si="10"/>
        <v>0</v>
      </c>
      <c r="H149" s="794">
        <f t="shared" si="11"/>
        <v>5505.6</v>
      </c>
      <c r="I149" s="794">
        <f t="shared" si="12"/>
        <v>5505.6</v>
      </c>
      <c r="J149" s="927"/>
    </row>
    <row r="150" spans="1:10" x14ac:dyDescent="0.3">
      <c r="A150" s="784" t="s">
        <v>866</v>
      </c>
      <c r="B150" s="785" t="s">
        <v>553</v>
      </c>
      <c r="C150" s="786"/>
      <c r="D150" s="787"/>
      <c r="E150" s="810"/>
      <c r="F150" s="811"/>
      <c r="G150" s="812"/>
      <c r="H150" s="812"/>
      <c r="I150" s="812">
        <f>I151</f>
        <v>197080</v>
      </c>
      <c r="J150" s="927"/>
    </row>
    <row r="151" spans="1:10" x14ac:dyDescent="0.3">
      <c r="A151" s="788" t="s">
        <v>2456</v>
      </c>
      <c r="B151" s="798" t="s">
        <v>554</v>
      </c>
      <c r="C151" s="799" t="s">
        <v>44</v>
      </c>
      <c r="D151" s="813">
        <v>26</v>
      </c>
      <c r="E151" s="801">
        <v>100</v>
      </c>
      <c r="F151" s="803">
        <v>7480</v>
      </c>
      <c r="G151" s="794">
        <f>D151*E151</f>
        <v>2600</v>
      </c>
      <c r="H151" s="794">
        <f>D151*F151</f>
        <v>194480</v>
      </c>
      <c r="I151" s="794">
        <f>G151+H151</f>
        <v>197080</v>
      </c>
      <c r="J151" s="927"/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scale="3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K21" sqref="K21"/>
    </sheetView>
  </sheetViews>
  <sheetFormatPr defaultColWidth="96.6640625" defaultRowHeight="15.05" x14ac:dyDescent="0.3"/>
  <cols>
    <col min="1" max="1" width="3.5546875" bestFit="1" customWidth="1"/>
    <col min="2" max="2" width="76.88671875" bestFit="1" customWidth="1"/>
    <col min="3" max="3" width="4.6640625" bestFit="1" customWidth="1"/>
    <col min="4" max="4" width="7.88671875" bestFit="1" customWidth="1"/>
    <col min="5" max="5" width="9" bestFit="1" customWidth="1"/>
    <col min="6" max="6" width="10.6640625" bestFit="1" customWidth="1"/>
    <col min="7" max="7" width="11.33203125" bestFit="1" customWidth="1"/>
    <col min="8" max="9" width="13.109375" bestFit="1" customWidth="1"/>
    <col min="10" max="10" width="20.44140625" bestFit="1" customWidth="1"/>
  </cols>
  <sheetData>
    <row r="1" spans="1:10" x14ac:dyDescent="0.3">
      <c r="A1" s="301">
        <v>5</v>
      </c>
      <c r="B1" s="302" t="s">
        <v>1089</v>
      </c>
      <c r="C1" s="303"/>
      <c r="D1" s="304"/>
      <c r="E1" s="305"/>
      <c r="F1" s="305"/>
      <c r="G1" s="305"/>
      <c r="H1" s="305"/>
      <c r="I1" s="306"/>
      <c r="J1" t="s">
        <v>1103</v>
      </c>
    </row>
    <row r="2" spans="1:10" x14ac:dyDescent="0.3">
      <c r="A2" s="307" t="s">
        <v>250</v>
      </c>
      <c r="B2" s="308" t="s">
        <v>280</v>
      </c>
      <c r="C2" s="309" t="s">
        <v>281</v>
      </c>
      <c r="D2" s="310">
        <f>38.4</f>
        <v>38.4</v>
      </c>
      <c r="E2" s="311">
        <v>2500</v>
      </c>
      <c r="F2" s="311"/>
      <c r="G2" s="311">
        <f t="shared" ref="G2:G13" si="0">ROUND(D2*E2,0)</f>
        <v>96000</v>
      </c>
      <c r="H2" s="311"/>
      <c r="I2" s="311">
        <f t="shared" ref="I2:I13" si="1">G2+H2</f>
        <v>96000</v>
      </c>
      <c r="J2" t="s">
        <v>278</v>
      </c>
    </row>
    <row r="3" spans="1:10" x14ac:dyDescent="0.3">
      <c r="A3" s="307"/>
      <c r="B3" s="312" t="s">
        <v>1090</v>
      </c>
      <c r="C3" s="313" t="s">
        <v>43</v>
      </c>
      <c r="D3" s="314">
        <f>D2</f>
        <v>38.4</v>
      </c>
      <c r="E3" s="315"/>
      <c r="F3" s="315">
        <v>2700</v>
      </c>
      <c r="G3" s="311"/>
      <c r="H3" s="311">
        <f t="shared" ref="H3:H13" si="2">ROUND(F3*D3,0)</f>
        <v>103680</v>
      </c>
      <c r="I3" s="311">
        <f t="shared" si="1"/>
        <v>103680</v>
      </c>
    </row>
    <row r="4" spans="1:10" x14ac:dyDescent="0.3">
      <c r="A4" s="307"/>
      <c r="B4" s="312" t="s">
        <v>284</v>
      </c>
      <c r="C4" s="313" t="s">
        <v>44</v>
      </c>
      <c r="D4" s="314">
        <v>4</v>
      </c>
      <c r="E4" s="315"/>
      <c r="F4" s="315">
        <v>15000</v>
      </c>
      <c r="G4" s="311"/>
      <c r="H4" s="311">
        <f t="shared" si="2"/>
        <v>60000</v>
      </c>
      <c r="I4" s="311">
        <f t="shared" si="1"/>
        <v>60000</v>
      </c>
    </row>
    <row r="5" spans="1:10" x14ac:dyDescent="0.3">
      <c r="A5" s="307"/>
      <c r="B5" s="312" t="s">
        <v>285</v>
      </c>
      <c r="C5" s="313" t="s">
        <v>44</v>
      </c>
      <c r="D5" s="314">
        <v>30</v>
      </c>
      <c r="E5" s="315"/>
      <c r="F5" s="315">
        <v>878.83</v>
      </c>
      <c r="G5" s="311"/>
      <c r="H5" s="311">
        <f t="shared" si="2"/>
        <v>26365</v>
      </c>
      <c r="I5" s="311">
        <f t="shared" si="1"/>
        <v>26365</v>
      </c>
    </row>
    <row r="6" spans="1:10" x14ac:dyDescent="0.3">
      <c r="A6" s="307" t="s">
        <v>270</v>
      </c>
      <c r="B6" s="316" t="s">
        <v>1091</v>
      </c>
      <c r="C6" s="309" t="s">
        <v>62</v>
      </c>
      <c r="D6" s="310">
        <v>2.5</v>
      </c>
      <c r="E6" s="311">
        <v>25000</v>
      </c>
      <c r="F6" s="311">
        <v>45000</v>
      </c>
      <c r="G6" s="311">
        <f t="shared" si="0"/>
        <v>62500</v>
      </c>
      <c r="H6" s="311">
        <f t="shared" si="2"/>
        <v>112500</v>
      </c>
      <c r="I6" s="311">
        <f t="shared" si="1"/>
        <v>175000</v>
      </c>
      <c r="J6" t="s">
        <v>277</v>
      </c>
    </row>
    <row r="7" spans="1:10" x14ac:dyDescent="0.3">
      <c r="A7" s="307" t="s">
        <v>388</v>
      </c>
      <c r="B7" s="308" t="s">
        <v>1092</v>
      </c>
      <c r="C7" s="309" t="s">
        <v>44</v>
      </c>
      <c r="D7" s="310">
        <v>2</v>
      </c>
      <c r="E7" s="311">
        <v>400</v>
      </c>
      <c r="F7" s="311">
        <v>1500</v>
      </c>
      <c r="G7" s="311">
        <f t="shared" si="0"/>
        <v>800</v>
      </c>
      <c r="H7" s="311">
        <f t="shared" si="2"/>
        <v>3000</v>
      </c>
      <c r="I7" s="311">
        <f t="shared" si="1"/>
        <v>3800</v>
      </c>
      <c r="J7" t="s">
        <v>1104</v>
      </c>
    </row>
    <row r="8" spans="1:10" x14ac:dyDescent="0.3">
      <c r="A8" s="307" t="s">
        <v>394</v>
      </c>
      <c r="B8" s="316" t="s">
        <v>1093</v>
      </c>
      <c r="C8" s="309" t="s">
        <v>62</v>
      </c>
      <c r="D8" s="310">
        <v>0.25700000000000001</v>
      </c>
      <c r="E8" s="317">
        <v>25000</v>
      </c>
      <c r="F8" s="317">
        <v>42000</v>
      </c>
      <c r="G8" s="311">
        <f t="shared" si="0"/>
        <v>6425</v>
      </c>
      <c r="H8" s="311">
        <f t="shared" si="2"/>
        <v>10794</v>
      </c>
      <c r="I8" s="311">
        <f t="shared" si="1"/>
        <v>17219</v>
      </c>
      <c r="J8" t="s">
        <v>1105</v>
      </c>
    </row>
    <row r="9" spans="1:10" x14ac:dyDescent="0.3">
      <c r="A9" s="307" t="s">
        <v>404</v>
      </c>
      <c r="B9" s="316" t="s">
        <v>678</v>
      </c>
      <c r="C9" s="309" t="s">
        <v>62</v>
      </c>
      <c r="D9" s="310">
        <v>0.18</v>
      </c>
      <c r="E9" s="317">
        <v>25000</v>
      </c>
      <c r="F9" s="317">
        <v>42000</v>
      </c>
      <c r="G9" s="311">
        <f t="shared" si="0"/>
        <v>4500</v>
      </c>
      <c r="H9" s="311">
        <f t="shared" si="2"/>
        <v>7560</v>
      </c>
      <c r="I9" s="311">
        <f t="shared" si="1"/>
        <v>12060</v>
      </c>
      <c r="J9" t="s">
        <v>1105</v>
      </c>
    </row>
    <row r="10" spans="1:10" x14ac:dyDescent="0.3">
      <c r="A10" s="307" t="s">
        <v>415</v>
      </c>
      <c r="B10" s="316" t="s">
        <v>1094</v>
      </c>
      <c r="C10" s="309" t="s">
        <v>62</v>
      </c>
      <c r="D10" s="310">
        <v>0.75600000000000001</v>
      </c>
      <c r="E10" s="317">
        <v>25000</v>
      </c>
      <c r="F10" s="317">
        <v>42000</v>
      </c>
      <c r="G10" s="311">
        <f t="shared" si="0"/>
        <v>18900</v>
      </c>
      <c r="H10" s="311">
        <f t="shared" si="2"/>
        <v>31752</v>
      </c>
      <c r="I10" s="311">
        <f t="shared" si="1"/>
        <v>50652</v>
      </c>
      <c r="J10" t="s">
        <v>278</v>
      </c>
    </row>
    <row r="11" spans="1:10" x14ac:dyDescent="0.3">
      <c r="A11" s="307" t="s">
        <v>1095</v>
      </c>
      <c r="B11" s="316" t="s">
        <v>1106</v>
      </c>
      <c r="C11" s="309" t="s">
        <v>62</v>
      </c>
      <c r="D11" s="310">
        <v>0.51200000000000001</v>
      </c>
      <c r="E11" s="317">
        <v>25000</v>
      </c>
      <c r="F11" s="317">
        <v>42000</v>
      </c>
      <c r="G11" s="311">
        <f t="shared" si="0"/>
        <v>12800</v>
      </c>
      <c r="H11" s="311">
        <f t="shared" si="2"/>
        <v>21504</v>
      </c>
      <c r="I11" s="311">
        <f t="shared" si="1"/>
        <v>34304</v>
      </c>
      <c r="J11" t="s">
        <v>278</v>
      </c>
    </row>
    <row r="12" spans="1:10" x14ac:dyDescent="0.3">
      <c r="A12" s="307" t="s">
        <v>1096</v>
      </c>
      <c r="B12" s="316" t="s">
        <v>1097</v>
      </c>
      <c r="C12" s="309" t="s">
        <v>44</v>
      </c>
      <c r="D12" s="310">
        <v>190</v>
      </c>
      <c r="E12" s="311">
        <v>800</v>
      </c>
      <c r="F12" s="311">
        <v>4100</v>
      </c>
      <c r="G12" s="311">
        <f t="shared" si="0"/>
        <v>152000</v>
      </c>
      <c r="H12" s="311">
        <f t="shared" si="2"/>
        <v>779000</v>
      </c>
      <c r="I12" s="311">
        <f t="shared" si="1"/>
        <v>931000</v>
      </c>
      <c r="J12" t="s">
        <v>279</v>
      </c>
    </row>
    <row r="13" spans="1:10" x14ac:dyDescent="0.3">
      <c r="A13" s="307" t="s">
        <v>1098</v>
      </c>
      <c r="B13" s="316" t="s">
        <v>1099</v>
      </c>
      <c r="C13" s="309" t="s">
        <v>44</v>
      </c>
      <c r="D13" s="310">
        <f>D12*2</f>
        <v>380</v>
      </c>
      <c r="E13" s="311">
        <v>250</v>
      </c>
      <c r="F13" s="311">
        <v>800</v>
      </c>
      <c r="G13" s="311">
        <f t="shared" si="0"/>
        <v>95000</v>
      </c>
      <c r="H13" s="311">
        <f t="shared" si="2"/>
        <v>304000</v>
      </c>
      <c r="I13" s="311">
        <f t="shared" si="1"/>
        <v>399000</v>
      </c>
      <c r="J13" t="s">
        <v>279</v>
      </c>
    </row>
    <row r="14" spans="1:10" x14ac:dyDescent="0.3">
      <c r="A14" s="318"/>
      <c r="B14" s="319" t="s">
        <v>868</v>
      </c>
      <c r="C14" s="320"/>
      <c r="D14" s="310"/>
      <c r="E14" s="321"/>
      <c r="F14" s="321"/>
      <c r="G14" s="322">
        <f>SUM(G2:G13)</f>
        <v>448925</v>
      </c>
      <c r="H14" s="322">
        <f>SUM(H2:H13)</f>
        <v>1460155</v>
      </c>
      <c r="I14" s="322">
        <f>SUM(I2:I13)</f>
        <v>1909080</v>
      </c>
    </row>
    <row r="15" spans="1:10" x14ac:dyDescent="0.3">
      <c r="A15" s="307"/>
      <c r="B15" s="316" t="s">
        <v>1100</v>
      </c>
      <c r="C15" s="309"/>
      <c r="D15" s="310"/>
      <c r="E15" s="311"/>
      <c r="F15" s="311"/>
      <c r="G15" s="317">
        <f>ROUND(G14*0.11,0)</f>
        <v>49382</v>
      </c>
      <c r="H15" s="311"/>
      <c r="I15" s="311">
        <f>G15</f>
        <v>49382</v>
      </c>
    </row>
    <row r="16" spans="1:10" x14ac:dyDescent="0.3">
      <c r="A16" s="307"/>
      <c r="B16" s="316" t="s">
        <v>1101</v>
      </c>
      <c r="C16" s="309"/>
      <c r="D16" s="310"/>
      <c r="E16" s="311"/>
      <c r="F16" s="311"/>
      <c r="G16" s="317">
        <f>ROUND(G14*0.05,0)</f>
        <v>22446</v>
      </c>
      <c r="H16" s="311"/>
      <c r="I16" s="311">
        <f>G16</f>
        <v>22446</v>
      </c>
    </row>
    <row r="17" spans="1:9" x14ac:dyDescent="0.3">
      <c r="A17" s="323"/>
      <c r="B17" s="324" t="s">
        <v>1102</v>
      </c>
      <c r="C17" s="323"/>
      <c r="D17" s="325"/>
      <c r="E17" s="326"/>
      <c r="F17" s="326"/>
      <c r="G17" s="326">
        <f>SUM(G14:G16)</f>
        <v>520753</v>
      </c>
      <c r="H17" s="326">
        <f>SUM(H14:H16)</f>
        <v>1460155</v>
      </c>
      <c r="I17" s="327">
        <f>SUM(I14:I16)</f>
        <v>1980908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5"/>
  <sheetViews>
    <sheetView zoomScale="130" zoomScaleNormal="130" workbookViewId="0">
      <pane ySplit="3" topLeftCell="A4" activePane="bottomLeft" state="frozen"/>
      <selection pane="bottomLeft" activeCell="A4" sqref="A4:XFD178"/>
    </sheetView>
  </sheetViews>
  <sheetFormatPr defaultColWidth="9.6640625" defaultRowHeight="13.15" outlineLevelRow="2" x14ac:dyDescent="0.25"/>
  <cols>
    <col min="1" max="1" width="6.33203125" style="770" bestFit="1" customWidth="1"/>
    <col min="2" max="2" width="88.5546875" style="725" bestFit="1" customWidth="1"/>
    <col min="3" max="3" width="8.109375" style="770" bestFit="1" customWidth="1"/>
    <col min="4" max="4" width="11" style="770" bestFit="1" customWidth="1"/>
    <col min="5" max="5" width="8.6640625" style="770" bestFit="1" customWidth="1"/>
    <col min="6" max="6" width="11.5546875" style="770" bestFit="1" customWidth="1"/>
    <col min="7" max="7" width="11.6640625" style="770" bestFit="1" customWidth="1"/>
    <col min="8" max="9" width="12.44140625" style="770" bestFit="1" customWidth="1"/>
    <col min="10" max="226" width="9.6640625" style="725"/>
    <col min="227" max="227" width="6.33203125" style="725" bestFit="1" customWidth="1"/>
    <col min="228" max="228" width="88.5546875" style="725" bestFit="1" customWidth="1"/>
    <col min="229" max="229" width="27.5546875" style="725" bestFit="1" customWidth="1"/>
    <col min="230" max="230" width="28.33203125" style="725" bestFit="1" customWidth="1"/>
    <col min="231" max="231" width="8.109375" style="725" bestFit="1" customWidth="1"/>
    <col min="232" max="232" width="7.6640625" style="725" bestFit="1" customWidth="1"/>
    <col min="233" max="233" width="8.6640625" style="725" bestFit="1" customWidth="1"/>
    <col min="234" max="234" width="11.5546875" style="725" bestFit="1" customWidth="1"/>
    <col min="235" max="235" width="11.6640625" style="725" bestFit="1" customWidth="1"/>
    <col min="236" max="237" width="12.44140625" style="725" bestFit="1" customWidth="1"/>
    <col min="238" max="238" width="49.5546875" style="725" bestFit="1" customWidth="1"/>
    <col min="239" max="239" width="13" style="725" bestFit="1" customWidth="1"/>
    <col min="240" max="240" width="15.88671875" style="725" bestFit="1" customWidth="1"/>
    <col min="241" max="241" width="7.44140625" style="725" bestFit="1" customWidth="1"/>
    <col min="242" max="242" width="11.44140625" style="725" bestFit="1" customWidth="1"/>
    <col min="243" max="243" width="7.44140625" style="725" bestFit="1" customWidth="1"/>
    <col min="244" max="244" width="11.44140625" style="725" bestFit="1" customWidth="1"/>
    <col min="245" max="245" width="7.44140625" style="725" bestFit="1" customWidth="1"/>
    <col min="246" max="246" width="12.33203125" style="725" bestFit="1" customWidth="1"/>
    <col min="247" max="482" width="9.6640625" style="725"/>
    <col min="483" max="483" width="6.33203125" style="725" bestFit="1" customWidth="1"/>
    <col min="484" max="484" width="88.5546875" style="725" bestFit="1" customWidth="1"/>
    <col min="485" max="485" width="27.5546875" style="725" bestFit="1" customWidth="1"/>
    <col min="486" max="486" width="28.33203125" style="725" bestFit="1" customWidth="1"/>
    <col min="487" max="487" width="8.109375" style="725" bestFit="1" customWidth="1"/>
    <col min="488" max="488" width="7.6640625" style="725" bestFit="1" customWidth="1"/>
    <col min="489" max="489" width="8.6640625" style="725" bestFit="1" customWidth="1"/>
    <col min="490" max="490" width="11.5546875" style="725" bestFit="1" customWidth="1"/>
    <col min="491" max="491" width="11.6640625" style="725" bestFit="1" customWidth="1"/>
    <col min="492" max="493" width="12.44140625" style="725" bestFit="1" customWidth="1"/>
    <col min="494" max="494" width="49.5546875" style="725" bestFit="1" customWidth="1"/>
    <col min="495" max="495" width="13" style="725" bestFit="1" customWidth="1"/>
    <col min="496" max="496" width="15.88671875" style="725" bestFit="1" customWidth="1"/>
    <col min="497" max="497" width="7.44140625" style="725" bestFit="1" customWidth="1"/>
    <col min="498" max="498" width="11.44140625" style="725" bestFit="1" customWidth="1"/>
    <col min="499" max="499" width="7.44140625" style="725" bestFit="1" customWidth="1"/>
    <col min="500" max="500" width="11.44140625" style="725" bestFit="1" customWidth="1"/>
    <col min="501" max="501" width="7.44140625" style="725" bestFit="1" customWidth="1"/>
    <col min="502" max="502" width="12.33203125" style="725" bestFit="1" customWidth="1"/>
    <col min="503" max="738" width="9.6640625" style="725"/>
    <col min="739" max="739" width="6.33203125" style="725" bestFit="1" customWidth="1"/>
    <col min="740" max="740" width="88.5546875" style="725" bestFit="1" customWidth="1"/>
    <col min="741" max="741" width="27.5546875" style="725" bestFit="1" customWidth="1"/>
    <col min="742" max="742" width="28.33203125" style="725" bestFit="1" customWidth="1"/>
    <col min="743" max="743" width="8.109375" style="725" bestFit="1" customWidth="1"/>
    <col min="744" max="744" width="7.6640625" style="725" bestFit="1" customWidth="1"/>
    <col min="745" max="745" width="8.6640625" style="725" bestFit="1" customWidth="1"/>
    <col min="746" max="746" width="11.5546875" style="725" bestFit="1" customWidth="1"/>
    <col min="747" max="747" width="11.6640625" style="725" bestFit="1" customWidth="1"/>
    <col min="748" max="749" width="12.44140625" style="725" bestFit="1" customWidth="1"/>
    <col min="750" max="750" width="49.5546875" style="725" bestFit="1" customWidth="1"/>
    <col min="751" max="751" width="13" style="725" bestFit="1" customWidth="1"/>
    <col min="752" max="752" width="15.88671875" style="725" bestFit="1" customWidth="1"/>
    <col min="753" max="753" width="7.44140625" style="725" bestFit="1" customWidth="1"/>
    <col min="754" max="754" width="11.44140625" style="725" bestFit="1" customWidth="1"/>
    <col min="755" max="755" width="7.44140625" style="725" bestFit="1" customWidth="1"/>
    <col min="756" max="756" width="11.44140625" style="725" bestFit="1" customWidth="1"/>
    <col min="757" max="757" width="7.44140625" style="725" bestFit="1" customWidth="1"/>
    <col min="758" max="758" width="12.33203125" style="725" bestFit="1" customWidth="1"/>
    <col min="759" max="994" width="9.6640625" style="725"/>
    <col min="995" max="995" width="6.33203125" style="725" bestFit="1" customWidth="1"/>
    <col min="996" max="996" width="88.5546875" style="725" bestFit="1" customWidth="1"/>
    <col min="997" max="997" width="27.5546875" style="725" bestFit="1" customWidth="1"/>
    <col min="998" max="998" width="28.33203125" style="725" bestFit="1" customWidth="1"/>
    <col min="999" max="999" width="8.109375" style="725" bestFit="1" customWidth="1"/>
    <col min="1000" max="1000" width="7.6640625" style="725" bestFit="1" customWidth="1"/>
    <col min="1001" max="1001" width="8.6640625" style="725" bestFit="1" customWidth="1"/>
    <col min="1002" max="1002" width="11.5546875" style="725" bestFit="1" customWidth="1"/>
    <col min="1003" max="1003" width="11.6640625" style="725" bestFit="1" customWidth="1"/>
    <col min="1004" max="1005" width="12.44140625" style="725" bestFit="1" customWidth="1"/>
    <col min="1006" max="1006" width="49.5546875" style="725" bestFit="1" customWidth="1"/>
    <col min="1007" max="1007" width="13" style="725" bestFit="1" customWidth="1"/>
    <col min="1008" max="1008" width="15.88671875" style="725" bestFit="1" customWidth="1"/>
    <col min="1009" max="1009" width="7.44140625" style="725" bestFit="1" customWidth="1"/>
    <col min="1010" max="1010" width="11.44140625" style="725" bestFit="1" customWidth="1"/>
    <col min="1011" max="1011" width="7.44140625" style="725" bestFit="1" customWidth="1"/>
    <col min="1012" max="1012" width="11.44140625" style="725" bestFit="1" customWidth="1"/>
    <col min="1013" max="1013" width="7.44140625" style="725" bestFit="1" customWidth="1"/>
    <col min="1014" max="1014" width="12.33203125" style="725" bestFit="1" customWidth="1"/>
    <col min="1015" max="1250" width="9.6640625" style="725"/>
    <col min="1251" max="1251" width="6.33203125" style="725" bestFit="1" customWidth="1"/>
    <col min="1252" max="1252" width="88.5546875" style="725" bestFit="1" customWidth="1"/>
    <col min="1253" max="1253" width="27.5546875" style="725" bestFit="1" customWidth="1"/>
    <col min="1254" max="1254" width="28.33203125" style="725" bestFit="1" customWidth="1"/>
    <col min="1255" max="1255" width="8.109375" style="725" bestFit="1" customWidth="1"/>
    <col min="1256" max="1256" width="7.6640625" style="725" bestFit="1" customWidth="1"/>
    <col min="1257" max="1257" width="8.6640625" style="725" bestFit="1" customWidth="1"/>
    <col min="1258" max="1258" width="11.5546875" style="725" bestFit="1" customWidth="1"/>
    <col min="1259" max="1259" width="11.6640625" style="725" bestFit="1" customWidth="1"/>
    <col min="1260" max="1261" width="12.44140625" style="725" bestFit="1" customWidth="1"/>
    <col min="1262" max="1262" width="49.5546875" style="725" bestFit="1" customWidth="1"/>
    <col min="1263" max="1263" width="13" style="725" bestFit="1" customWidth="1"/>
    <col min="1264" max="1264" width="15.88671875" style="725" bestFit="1" customWidth="1"/>
    <col min="1265" max="1265" width="7.44140625" style="725" bestFit="1" customWidth="1"/>
    <col min="1266" max="1266" width="11.44140625" style="725" bestFit="1" customWidth="1"/>
    <col min="1267" max="1267" width="7.44140625" style="725" bestFit="1" customWidth="1"/>
    <col min="1268" max="1268" width="11.44140625" style="725" bestFit="1" customWidth="1"/>
    <col min="1269" max="1269" width="7.44140625" style="725" bestFit="1" customWidth="1"/>
    <col min="1270" max="1270" width="12.33203125" style="725" bestFit="1" customWidth="1"/>
    <col min="1271" max="1506" width="9.6640625" style="725"/>
    <col min="1507" max="1507" width="6.33203125" style="725" bestFit="1" customWidth="1"/>
    <col min="1508" max="1508" width="88.5546875" style="725" bestFit="1" customWidth="1"/>
    <col min="1509" max="1509" width="27.5546875" style="725" bestFit="1" customWidth="1"/>
    <col min="1510" max="1510" width="28.33203125" style="725" bestFit="1" customWidth="1"/>
    <col min="1511" max="1511" width="8.109375" style="725" bestFit="1" customWidth="1"/>
    <col min="1512" max="1512" width="7.6640625" style="725" bestFit="1" customWidth="1"/>
    <col min="1513" max="1513" width="8.6640625" style="725" bestFit="1" customWidth="1"/>
    <col min="1514" max="1514" width="11.5546875" style="725" bestFit="1" customWidth="1"/>
    <col min="1515" max="1515" width="11.6640625" style="725" bestFit="1" customWidth="1"/>
    <col min="1516" max="1517" width="12.44140625" style="725" bestFit="1" customWidth="1"/>
    <col min="1518" max="1518" width="49.5546875" style="725" bestFit="1" customWidth="1"/>
    <col min="1519" max="1519" width="13" style="725" bestFit="1" customWidth="1"/>
    <col min="1520" max="1520" width="15.88671875" style="725" bestFit="1" customWidth="1"/>
    <col min="1521" max="1521" width="7.44140625" style="725" bestFit="1" customWidth="1"/>
    <col min="1522" max="1522" width="11.44140625" style="725" bestFit="1" customWidth="1"/>
    <col min="1523" max="1523" width="7.44140625" style="725" bestFit="1" customWidth="1"/>
    <col min="1524" max="1524" width="11.44140625" style="725" bestFit="1" customWidth="1"/>
    <col min="1525" max="1525" width="7.44140625" style="725" bestFit="1" customWidth="1"/>
    <col min="1526" max="1526" width="12.33203125" style="725" bestFit="1" customWidth="1"/>
    <col min="1527" max="1762" width="9.6640625" style="725"/>
    <col min="1763" max="1763" width="6.33203125" style="725" bestFit="1" customWidth="1"/>
    <col min="1764" max="1764" width="88.5546875" style="725" bestFit="1" customWidth="1"/>
    <col min="1765" max="1765" width="27.5546875" style="725" bestFit="1" customWidth="1"/>
    <col min="1766" max="1766" width="28.33203125" style="725" bestFit="1" customWidth="1"/>
    <col min="1767" max="1767" width="8.109375" style="725" bestFit="1" customWidth="1"/>
    <col min="1768" max="1768" width="7.6640625" style="725" bestFit="1" customWidth="1"/>
    <col min="1769" max="1769" width="8.6640625" style="725" bestFit="1" customWidth="1"/>
    <col min="1770" max="1770" width="11.5546875" style="725" bestFit="1" customWidth="1"/>
    <col min="1771" max="1771" width="11.6640625" style="725" bestFit="1" customWidth="1"/>
    <col min="1772" max="1773" width="12.44140625" style="725" bestFit="1" customWidth="1"/>
    <col min="1774" max="1774" width="49.5546875" style="725" bestFit="1" customWidth="1"/>
    <col min="1775" max="1775" width="13" style="725" bestFit="1" customWidth="1"/>
    <col min="1776" max="1776" width="15.88671875" style="725" bestFit="1" customWidth="1"/>
    <col min="1777" max="1777" width="7.44140625" style="725" bestFit="1" customWidth="1"/>
    <col min="1778" max="1778" width="11.44140625" style="725" bestFit="1" customWidth="1"/>
    <col min="1779" max="1779" width="7.44140625" style="725" bestFit="1" customWidth="1"/>
    <col min="1780" max="1780" width="11.44140625" style="725" bestFit="1" customWidth="1"/>
    <col min="1781" max="1781" width="7.44140625" style="725" bestFit="1" customWidth="1"/>
    <col min="1782" max="1782" width="12.33203125" style="725" bestFit="1" customWidth="1"/>
    <col min="1783" max="2018" width="9.6640625" style="725"/>
    <col min="2019" max="2019" width="6.33203125" style="725" bestFit="1" customWidth="1"/>
    <col min="2020" max="2020" width="88.5546875" style="725" bestFit="1" customWidth="1"/>
    <col min="2021" max="2021" width="27.5546875" style="725" bestFit="1" customWidth="1"/>
    <col min="2022" max="2022" width="28.33203125" style="725" bestFit="1" customWidth="1"/>
    <col min="2023" max="2023" width="8.109375" style="725" bestFit="1" customWidth="1"/>
    <col min="2024" max="2024" width="7.6640625" style="725" bestFit="1" customWidth="1"/>
    <col min="2025" max="2025" width="8.6640625" style="725" bestFit="1" customWidth="1"/>
    <col min="2026" max="2026" width="11.5546875" style="725" bestFit="1" customWidth="1"/>
    <col min="2027" max="2027" width="11.6640625" style="725" bestFit="1" customWidth="1"/>
    <col min="2028" max="2029" width="12.44140625" style="725" bestFit="1" customWidth="1"/>
    <col min="2030" max="2030" width="49.5546875" style="725" bestFit="1" customWidth="1"/>
    <col min="2031" max="2031" width="13" style="725" bestFit="1" customWidth="1"/>
    <col min="2032" max="2032" width="15.88671875" style="725" bestFit="1" customWidth="1"/>
    <col min="2033" max="2033" width="7.44140625" style="725" bestFit="1" customWidth="1"/>
    <col min="2034" max="2034" width="11.44140625" style="725" bestFit="1" customWidth="1"/>
    <col min="2035" max="2035" width="7.44140625" style="725" bestFit="1" customWidth="1"/>
    <col min="2036" max="2036" width="11.44140625" style="725" bestFit="1" customWidth="1"/>
    <col min="2037" max="2037" width="7.44140625" style="725" bestFit="1" customWidth="1"/>
    <col min="2038" max="2038" width="12.33203125" style="725" bestFit="1" customWidth="1"/>
    <col min="2039" max="2274" width="9.6640625" style="725"/>
    <col min="2275" max="2275" width="6.33203125" style="725" bestFit="1" customWidth="1"/>
    <col min="2276" max="2276" width="88.5546875" style="725" bestFit="1" customWidth="1"/>
    <col min="2277" max="2277" width="27.5546875" style="725" bestFit="1" customWidth="1"/>
    <col min="2278" max="2278" width="28.33203125" style="725" bestFit="1" customWidth="1"/>
    <col min="2279" max="2279" width="8.109375" style="725" bestFit="1" customWidth="1"/>
    <col min="2280" max="2280" width="7.6640625" style="725" bestFit="1" customWidth="1"/>
    <col min="2281" max="2281" width="8.6640625" style="725" bestFit="1" customWidth="1"/>
    <col min="2282" max="2282" width="11.5546875" style="725" bestFit="1" customWidth="1"/>
    <col min="2283" max="2283" width="11.6640625" style="725" bestFit="1" customWidth="1"/>
    <col min="2284" max="2285" width="12.44140625" style="725" bestFit="1" customWidth="1"/>
    <col min="2286" max="2286" width="49.5546875" style="725" bestFit="1" customWidth="1"/>
    <col min="2287" max="2287" width="13" style="725" bestFit="1" customWidth="1"/>
    <col min="2288" max="2288" width="15.88671875" style="725" bestFit="1" customWidth="1"/>
    <col min="2289" max="2289" width="7.44140625" style="725" bestFit="1" customWidth="1"/>
    <col min="2290" max="2290" width="11.44140625" style="725" bestFit="1" customWidth="1"/>
    <col min="2291" max="2291" width="7.44140625" style="725" bestFit="1" customWidth="1"/>
    <col min="2292" max="2292" width="11.44140625" style="725" bestFit="1" customWidth="1"/>
    <col min="2293" max="2293" width="7.44140625" style="725" bestFit="1" customWidth="1"/>
    <col min="2294" max="2294" width="12.33203125" style="725" bestFit="1" customWidth="1"/>
    <col min="2295" max="2530" width="9.6640625" style="725"/>
    <col min="2531" max="2531" width="6.33203125" style="725" bestFit="1" customWidth="1"/>
    <col min="2532" max="2532" width="88.5546875" style="725" bestFit="1" customWidth="1"/>
    <col min="2533" max="2533" width="27.5546875" style="725" bestFit="1" customWidth="1"/>
    <col min="2534" max="2534" width="28.33203125" style="725" bestFit="1" customWidth="1"/>
    <col min="2535" max="2535" width="8.109375" style="725" bestFit="1" customWidth="1"/>
    <col min="2536" max="2536" width="7.6640625" style="725" bestFit="1" customWidth="1"/>
    <col min="2537" max="2537" width="8.6640625" style="725" bestFit="1" customWidth="1"/>
    <col min="2538" max="2538" width="11.5546875" style="725" bestFit="1" customWidth="1"/>
    <col min="2539" max="2539" width="11.6640625" style="725" bestFit="1" customWidth="1"/>
    <col min="2540" max="2541" width="12.44140625" style="725" bestFit="1" customWidth="1"/>
    <col min="2542" max="2542" width="49.5546875" style="725" bestFit="1" customWidth="1"/>
    <col min="2543" max="2543" width="13" style="725" bestFit="1" customWidth="1"/>
    <col min="2544" max="2544" width="15.88671875" style="725" bestFit="1" customWidth="1"/>
    <col min="2545" max="2545" width="7.44140625" style="725" bestFit="1" customWidth="1"/>
    <col min="2546" max="2546" width="11.44140625" style="725" bestFit="1" customWidth="1"/>
    <col min="2547" max="2547" width="7.44140625" style="725" bestFit="1" customWidth="1"/>
    <col min="2548" max="2548" width="11.44140625" style="725" bestFit="1" customWidth="1"/>
    <col min="2549" max="2549" width="7.44140625" style="725" bestFit="1" customWidth="1"/>
    <col min="2550" max="2550" width="12.33203125" style="725" bestFit="1" customWidth="1"/>
    <col min="2551" max="2786" width="9.6640625" style="725"/>
    <col min="2787" max="2787" width="6.33203125" style="725" bestFit="1" customWidth="1"/>
    <col min="2788" max="2788" width="88.5546875" style="725" bestFit="1" customWidth="1"/>
    <col min="2789" max="2789" width="27.5546875" style="725" bestFit="1" customWidth="1"/>
    <col min="2790" max="2790" width="28.33203125" style="725" bestFit="1" customWidth="1"/>
    <col min="2791" max="2791" width="8.109375" style="725" bestFit="1" customWidth="1"/>
    <col min="2792" max="2792" width="7.6640625" style="725" bestFit="1" customWidth="1"/>
    <col min="2793" max="2793" width="8.6640625" style="725" bestFit="1" customWidth="1"/>
    <col min="2794" max="2794" width="11.5546875" style="725" bestFit="1" customWidth="1"/>
    <col min="2795" max="2795" width="11.6640625" style="725" bestFit="1" customWidth="1"/>
    <col min="2796" max="2797" width="12.44140625" style="725" bestFit="1" customWidth="1"/>
    <col min="2798" max="2798" width="49.5546875" style="725" bestFit="1" customWidth="1"/>
    <col min="2799" max="2799" width="13" style="725" bestFit="1" customWidth="1"/>
    <col min="2800" max="2800" width="15.88671875" style="725" bestFit="1" customWidth="1"/>
    <col min="2801" max="2801" width="7.44140625" style="725" bestFit="1" customWidth="1"/>
    <col min="2802" max="2802" width="11.44140625" style="725" bestFit="1" customWidth="1"/>
    <col min="2803" max="2803" width="7.44140625" style="725" bestFit="1" customWidth="1"/>
    <col min="2804" max="2804" width="11.44140625" style="725" bestFit="1" customWidth="1"/>
    <col min="2805" max="2805" width="7.44140625" style="725" bestFit="1" customWidth="1"/>
    <col min="2806" max="2806" width="12.33203125" style="725" bestFit="1" customWidth="1"/>
    <col min="2807" max="3042" width="9.6640625" style="725"/>
    <col min="3043" max="3043" width="6.33203125" style="725" bestFit="1" customWidth="1"/>
    <col min="3044" max="3044" width="88.5546875" style="725" bestFit="1" customWidth="1"/>
    <col min="3045" max="3045" width="27.5546875" style="725" bestFit="1" customWidth="1"/>
    <col min="3046" max="3046" width="28.33203125" style="725" bestFit="1" customWidth="1"/>
    <col min="3047" max="3047" width="8.109375" style="725" bestFit="1" customWidth="1"/>
    <col min="3048" max="3048" width="7.6640625" style="725" bestFit="1" customWidth="1"/>
    <col min="3049" max="3049" width="8.6640625" style="725" bestFit="1" customWidth="1"/>
    <col min="3050" max="3050" width="11.5546875" style="725" bestFit="1" customWidth="1"/>
    <col min="3051" max="3051" width="11.6640625" style="725" bestFit="1" customWidth="1"/>
    <col min="3052" max="3053" width="12.44140625" style="725" bestFit="1" customWidth="1"/>
    <col min="3054" max="3054" width="49.5546875" style="725" bestFit="1" customWidth="1"/>
    <col min="3055" max="3055" width="13" style="725" bestFit="1" customWidth="1"/>
    <col min="3056" max="3056" width="15.88671875" style="725" bestFit="1" customWidth="1"/>
    <col min="3057" max="3057" width="7.44140625" style="725" bestFit="1" customWidth="1"/>
    <col min="3058" max="3058" width="11.44140625" style="725" bestFit="1" customWidth="1"/>
    <col min="3059" max="3059" width="7.44140625" style="725" bestFit="1" customWidth="1"/>
    <col min="3060" max="3060" width="11.44140625" style="725" bestFit="1" customWidth="1"/>
    <col min="3061" max="3061" width="7.44140625" style="725" bestFit="1" customWidth="1"/>
    <col min="3062" max="3062" width="12.33203125" style="725" bestFit="1" customWidth="1"/>
    <col min="3063" max="3298" width="9.6640625" style="725"/>
    <col min="3299" max="3299" width="6.33203125" style="725" bestFit="1" customWidth="1"/>
    <col min="3300" max="3300" width="88.5546875" style="725" bestFit="1" customWidth="1"/>
    <col min="3301" max="3301" width="27.5546875" style="725" bestFit="1" customWidth="1"/>
    <col min="3302" max="3302" width="28.33203125" style="725" bestFit="1" customWidth="1"/>
    <col min="3303" max="3303" width="8.109375" style="725" bestFit="1" customWidth="1"/>
    <col min="3304" max="3304" width="7.6640625" style="725" bestFit="1" customWidth="1"/>
    <col min="3305" max="3305" width="8.6640625" style="725" bestFit="1" customWidth="1"/>
    <col min="3306" max="3306" width="11.5546875" style="725" bestFit="1" customWidth="1"/>
    <col min="3307" max="3307" width="11.6640625" style="725" bestFit="1" customWidth="1"/>
    <col min="3308" max="3309" width="12.44140625" style="725" bestFit="1" customWidth="1"/>
    <col min="3310" max="3310" width="49.5546875" style="725" bestFit="1" customWidth="1"/>
    <col min="3311" max="3311" width="13" style="725" bestFit="1" customWidth="1"/>
    <col min="3312" max="3312" width="15.88671875" style="725" bestFit="1" customWidth="1"/>
    <col min="3313" max="3313" width="7.44140625" style="725" bestFit="1" customWidth="1"/>
    <col min="3314" max="3314" width="11.44140625" style="725" bestFit="1" customWidth="1"/>
    <col min="3315" max="3315" width="7.44140625" style="725" bestFit="1" customWidth="1"/>
    <col min="3316" max="3316" width="11.44140625" style="725" bestFit="1" customWidth="1"/>
    <col min="3317" max="3317" width="7.44140625" style="725" bestFit="1" customWidth="1"/>
    <col min="3318" max="3318" width="12.33203125" style="725" bestFit="1" customWidth="1"/>
    <col min="3319" max="3554" width="9.6640625" style="725"/>
    <col min="3555" max="3555" width="6.33203125" style="725" bestFit="1" customWidth="1"/>
    <col min="3556" max="3556" width="88.5546875" style="725" bestFit="1" customWidth="1"/>
    <col min="3557" max="3557" width="27.5546875" style="725" bestFit="1" customWidth="1"/>
    <col min="3558" max="3558" width="28.33203125" style="725" bestFit="1" customWidth="1"/>
    <col min="3559" max="3559" width="8.109375" style="725" bestFit="1" customWidth="1"/>
    <col min="3560" max="3560" width="7.6640625" style="725" bestFit="1" customWidth="1"/>
    <col min="3561" max="3561" width="8.6640625" style="725" bestFit="1" customWidth="1"/>
    <col min="3562" max="3562" width="11.5546875" style="725" bestFit="1" customWidth="1"/>
    <col min="3563" max="3563" width="11.6640625" style="725" bestFit="1" customWidth="1"/>
    <col min="3564" max="3565" width="12.44140625" style="725" bestFit="1" customWidth="1"/>
    <col min="3566" max="3566" width="49.5546875" style="725" bestFit="1" customWidth="1"/>
    <col min="3567" max="3567" width="13" style="725" bestFit="1" customWidth="1"/>
    <col min="3568" max="3568" width="15.88671875" style="725" bestFit="1" customWidth="1"/>
    <col min="3569" max="3569" width="7.44140625" style="725" bestFit="1" customWidth="1"/>
    <col min="3570" max="3570" width="11.44140625" style="725" bestFit="1" customWidth="1"/>
    <col min="3571" max="3571" width="7.44140625" style="725" bestFit="1" customWidth="1"/>
    <col min="3572" max="3572" width="11.44140625" style="725" bestFit="1" customWidth="1"/>
    <col min="3573" max="3573" width="7.44140625" style="725" bestFit="1" customWidth="1"/>
    <col min="3574" max="3574" width="12.33203125" style="725" bestFit="1" customWidth="1"/>
    <col min="3575" max="3810" width="9.6640625" style="725"/>
    <col min="3811" max="3811" width="6.33203125" style="725" bestFit="1" customWidth="1"/>
    <col min="3812" max="3812" width="88.5546875" style="725" bestFit="1" customWidth="1"/>
    <col min="3813" max="3813" width="27.5546875" style="725" bestFit="1" customWidth="1"/>
    <col min="3814" max="3814" width="28.33203125" style="725" bestFit="1" customWidth="1"/>
    <col min="3815" max="3815" width="8.109375" style="725" bestFit="1" customWidth="1"/>
    <col min="3816" max="3816" width="7.6640625" style="725" bestFit="1" customWidth="1"/>
    <col min="3817" max="3817" width="8.6640625" style="725" bestFit="1" customWidth="1"/>
    <col min="3818" max="3818" width="11.5546875" style="725" bestFit="1" customWidth="1"/>
    <col min="3819" max="3819" width="11.6640625" style="725" bestFit="1" customWidth="1"/>
    <col min="3820" max="3821" width="12.44140625" style="725" bestFit="1" customWidth="1"/>
    <col min="3822" max="3822" width="49.5546875" style="725" bestFit="1" customWidth="1"/>
    <col min="3823" max="3823" width="13" style="725" bestFit="1" customWidth="1"/>
    <col min="3824" max="3824" width="15.88671875" style="725" bestFit="1" customWidth="1"/>
    <col min="3825" max="3825" width="7.44140625" style="725" bestFit="1" customWidth="1"/>
    <col min="3826" max="3826" width="11.44140625" style="725" bestFit="1" customWidth="1"/>
    <col min="3827" max="3827" width="7.44140625" style="725" bestFit="1" customWidth="1"/>
    <col min="3828" max="3828" width="11.44140625" style="725" bestFit="1" customWidth="1"/>
    <col min="3829" max="3829" width="7.44140625" style="725" bestFit="1" customWidth="1"/>
    <col min="3830" max="3830" width="12.33203125" style="725" bestFit="1" customWidth="1"/>
    <col min="3831" max="4066" width="9.6640625" style="725"/>
    <col min="4067" max="4067" width="6.33203125" style="725" bestFit="1" customWidth="1"/>
    <col min="4068" max="4068" width="88.5546875" style="725" bestFit="1" customWidth="1"/>
    <col min="4069" max="4069" width="27.5546875" style="725" bestFit="1" customWidth="1"/>
    <col min="4070" max="4070" width="28.33203125" style="725" bestFit="1" customWidth="1"/>
    <col min="4071" max="4071" width="8.109375" style="725" bestFit="1" customWidth="1"/>
    <col min="4072" max="4072" width="7.6640625" style="725" bestFit="1" customWidth="1"/>
    <col min="4073" max="4073" width="8.6640625" style="725" bestFit="1" customWidth="1"/>
    <col min="4074" max="4074" width="11.5546875" style="725" bestFit="1" customWidth="1"/>
    <col min="4075" max="4075" width="11.6640625" style="725" bestFit="1" customWidth="1"/>
    <col min="4076" max="4077" width="12.44140625" style="725" bestFit="1" customWidth="1"/>
    <col min="4078" max="4078" width="49.5546875" style="725" bestFit="1" customWidth="1"/>
    <col min="4079" max="4079" width="13" style="725" bestFit="1" customWidth="1"/>
    <col min="4080" max="4080" width="15.88671875" style="725" bestFit="1" customWidth="1"/>
    <col min="4081" max="4081" width="7.44140625" style="725" bestFit="1" customWidth="1"/>
    <col min="4082" max="4082" width="11.44140625" style="725" bestFit="1" customWidth="1"/>
    <col min="4083" max="4083" width="7.44140625" style="725" bestFit="1" customWidth="1"/>
    <col min="4084" max="4084" width="11.44140625" style="725" bestFit="1" customWidth="1"/>
    <col min="4085" max="4085" width="7.44140625" style="725" bestFit="1" customWidth="1"/>
    <col min="4086" max="4086" width="12.33203125" style="725" bestFit="1" customWidth="1"/>
    <col min="4087" max="4322" width="9.6640625" style="725"/>
    <col min="4323" max="4323" width="6.33203125" style="725" bestFit="1" customWidth="1"/>
    <col min="4324" max="4324" width="88.5546875" style="725" bestFit="1" customWidth="1"/>
    <col min="4325" max="4325" width="27.5546875" style="725" bestFit="1" customWidth="1"/>
    <col min="4326" max="4326" width="28.33203125" style="725" bestFit="1" customWidth="1"/>
    <col min="4327" max="4327" width="8.109375" style="725" bestFit="1" customWidth="1"/>
    <col min="4328" max="4328" width="7.6640625" style="725" bestFit="1" customWidth="1"/>
    <col min="4329" max="4329" width="8.6640625" style="725" bestFit="1" customWidth="1"/>
    <col min="4330" max="4330" width="11.5546875" style="725" bestFit="1" customWidth="1"/>
    <col min="4331" max="4331" width="11.6640625" style="725" bestFit="1" customWidth="1"/>
    <col min="4332" max="4333" width="12.44140625" style="725" bestFit="1" customWidth="1"/>
    <col min="4334" max="4334" width="49.5546875" style="725" bestFit="1" customWidth="1"/>
    <col min="4335" max="4335" width="13" style="725" bestFit="1" customWidth="1"/>
    <col min="4336" max="4336" width="15.88671875" style="725" bestFit="1" customWidth="1"/>
    <col min="4337" max="4337" width="7.44140625" style="725" bestFit="1" customWidth="1"/>
    <col min="4338" max="4338" width="11.44140625" style="725" bestFit="1" customWidth="1"/>
    <col min="4339" max="4339" width="7.44140625" style="725" bestFit="1" customWidth="1"/>
    <col min="4340" max="4340" width="11.44140625" style="725" bestFit="1" customWidth="1"/>
    <col min="4341" max="4341" width="7.44140625" style="725" bestFit="1" customWidth="1"/>
    <col min="4342" max="4342" width="12.33203125" style="725" bestFit="1" customWidth="1"/>
    <col min="4343" max="4578" width="9.6640625" style="725"/>
    <col min="4579" max="4579" width="6.33203125" style="725" bestFit="1" customWidth="1"/>
    <col min="4580" max="4580" width="88.5546875" style="725" bestFit="1" customWidth="1"/>
    <col min="4581" max="4581" width="27.5546875" style="725" bestFit="1" customWidth="1"/>
    <col min="4582" max="4582" width="28.33203125" style="725" bestFit="1" customWidth="1"/>
    <col min="4583" max="4583" width="8.109375" style="725" bestFit="1" customWidth="1"/>
    <col min="4584" max="4584" width="7.6640625" style="725" bestFit="1" customWidth="1"/>
    <col min="4585" max="4585" width="8.6640625" style="725" bestFit="1" customWidth="1"/>
    <col min="4586" max="4586" width="11.5546875" style="725" bestFit="1" customWidth="1"/>
    <col min="4587" max="4587" width="11.6640625" style="725" bestFit="1" customWidth="1"/>
    <col min="4588" max="4589" width="12.44140625" style="725" bestFit="1" customWidth="1"/>
    <col min="4590" max="4590" width="49.5546875" style="725" bestFit="1" customWidth="1"/>
    <col min="4591" max="4591" width="13" style="725" bestFit="1" customWidth="1"/>
    <col min="4592" max="4592" width="15.88671875" style="725" bestFit="1" customWidth="1"/>
    <col min="4593" max="4593" width="7.44140625" style="725" bestFit="1" customWidth="1"/>
    <col min="4594" max="4594" width="11.44140625" style="725" bestFit="1" customWidth="1"/>
    <col min="4595" max="4595" width="7.44140625" style="725" bestFit="1" customWidth="1"/>
    <col min="4596" max="4596" width="11.44140625" style="725" bestFit="1" customWidth="1"/>
    <col min="4597" max="4597" width="7.44140625" style="725" bestFit="1" customWidth="1"/>
    <col min="4598" max="4598" width="12.33203125" style="725" bestFit="1" customWidth="1"/>
    <col min="4599" max="4834" width="9.6640625" style="725"/>
    <col min="4835" max="4835" width="6.33203125" style="725" bestFit="1" customWidth="1"/>
    <col min="4836" max="4836" width="88.5546875" style="725" bestFit="1" customWidth="1"/>
    <col min="4837" max="4837" width="27.5546875" style="725" bestFit="1" customWidth="1"/>
    <col min="4838" max="4838" width="28.33203125" style="725" bestFit="1" customWidth="1"/>
    <col min="4839" max="4839" width="8.109375" style="725" bestFit="1" customWidth="1"/>
    <col min="4840" max="4840" width="7.6640625" style="725" bestFit="1" customWidth="1"/>
    <col min="4841" max="4841" width="8.6640625" style="725" bestFit="1" customWidth="1"/>
    <col min="4842" max="4842" width="11.5546875" style="725" bestFit="1" customWidth="1"/>
    <col min="4843" max="4843" width="11.6640625" style="725" bestFit="1" customWidth="1"/>
    <col min="4844" max="4845" width="12.44140625" style="725" bestFit="1" customWidth="1"/>
    <col min="4846" max="4846" width="49.5546875" style="725" bestFit="1" customWidth="1"/>
    <col min="4847" max="4847" width="13" style="725" bestFit="1" customWidth="1"/>
    <col min="4848" max="4848" width="15.88671875" style="725" bestFit="1" customWidth="1"/>
    <col min="4849" max="4849" width="7.44140625" style="725" bestFit="1" customWidth="1"/>
    <col min="4850" max="4850" width="11.44140625" style="725" bestFit="1" customWidth="1"/>
    <col min="4851" max="4851" width="7.44140625" style="725" bestFit="1" customWidth="1"/>
    <col min="4852" max="4852" width="11.44140625" style="725" bestFit="1" customWidth="1"/>
    <col min="4853" max="4853" width="7.44140625" style="725" bestFit="1" customWidth="1"/>
    <col min="4854" max="4854" width="12.33203125" style="725" bestFit="1" customWidth="1"/>
    <col min="4855" max="5090" width="9.6640625" style="725"/>
    <col min="5091" max="5091" width="6.33203125" style="725" bestFit="1" customWidth="1"/>
    <col min="5092" max="5092" width="88.5546875" style="725" bestFit="1" customWidth="1"/>
    <col min="5093" max="5093" width="27.5546875" style="725" bestFit="1" customWidth="1"/>
    <col min="5094" max="5094" width="28.33203125" style="725" bestFit="1" customWidth="1"/>
    <col min="5095" max="5095" width="8.109375" style="725" bestFit="1" customWidth="1"/>
    <col min="5096" max="5096" width="7.6640625" style="725" bestFit="1" customWidth="1"/>
    <col min="5097" max="5097" width="8.6640625" style="725" bestFit="1" customWidth="1"/>
    <col min="5098" max="5098" width="11.5546875" style="725" bestFit="1" customWidth="1"/>
    <col min="5099" max="5099" width="11.6640625" style="725" bestFit="1" customWidth="1"/>
    <col min="5100" max="5101" width="12.44140625" style="725" bestFit="1" customWidth="1"/>
    <col min="5102" max="5102" width="49.5546875" style="725" bestFit="1" customWidth="1"/>
    <col min="5103" max="5103" width="13" style="725" bestFit="1" customWidth="1"/>
    <col min="5104" max="5104" width="15.88671875" style="725" bestFit="1" customWidth="1"/>
    <col min="5105" max="5105" width="7.44140625" style="725" bestFit="1" customWidth="1"/>
    <col min="5106" max="5106" width="11.44140625" style="725" bestFit="1" customWidth="1"/>
    <col min="5107" max="5107" width="7.44140625" style="725" bestFit="1" customWidth="1"/>
    <col min="5108" max="5108" width="11.44140625" style="725" bestFit="1" customWidth="1"/>
    <col min="5109" max="5109" width="7.44140625" style="725" bestFit="1" customWidth="1"/>
    <col min="5110" max="5110" width="12.33203125" style="725" bestFit="1" customWidth="1"/>
    <col min="5111" max="5346" width="9.6640625" style="725"/>
    <col min="5347" max="5347" width="6.33203125" style="725" bestFit="1" customWidth="1"/>
    <col min="5348" max="5348" width="88.5546875" style="725" bestFit="1" customWidth="1"/>
    <col min="5349" max="5349" width="27.5546875" style="725" bestFit="1" customWidth="1"/>
    <col min="5350" max="5350" width="28.33203125" style="725" bestFit="1" customWidth="1"/>
    <col min="5351" max="5351" width="8.109375" style="725" bestFit="1" customWidth="1"/>
    <col min="5352" max="5352" width="7.6640625" style="725" bestFit="1" customWidth="1"/>
    <col min="5353" max="5353" width="8.6640625" style="725" bestFit="1" customWidth="1"/>
    <col min="5354" max="5354" width="11.5546875" style="725" bestFit="1" customWidth="1"/>
    <col min="5355" max="5355" width="11.6640625" style="725" bestFit="1" customWidth="1"/>
    <col min="5356" max="5357" width="12.44140625" style="725" bestFit="1" customWidth="1"/>
    <col min="5358" max="5358" width="49.5546875" style="725" bestFit="1" customWidth="1"/>
    <col min="5359" max="5359" width="13" style="725" bestFit="1" customWidth="1"/>
    <col min="5360" max="5360" width="15.88671875" style="725" bestFit="1" customWidth="1"/>
    <col min="5361" max="5361" width="7.44140625" style="725" bestFit="1" customWidth="1"/>
    <col min="5362" max="5362" width="11.44140625" style="725" bestFit="1" customWidth="1"/>
    <col min="5363" max="5363" width="7.44140625" style="725" bestFit="1" customWidth="1"/>
    <col min="5364" max="5364" width="11.44140625" style="725" bestFit="1" customWidth="1"/>
    <col min="5365" max="5365" width="7.44140625" style="725" bestFit="1" customWidth="1"/>
    <col min="5366" max="5366" width="12.33203125" style="725" bestFit="1" customWidth="1"/>
    <col min="5367" max="5602" width="9.6640625" style="725"/>
    <col min="5603" max="5603" width="6.33203125" style="725" bestFit="1" customWidth="1"/>
    <col min="5604" max="5604" width="88.5546875" style="725" bestFit="1" customWidth="1"/>
    <col min="5605" max="5605" width="27.5546875" style="725" bestFit="1" customWidth="1"/>
    <col min="5606" max="5606" width="28.33203125" style="725" bestFit="1" customWidth="1"/>
    <col min="5607" max="5607" width="8.109375" style="725" bestFit="1" customWidth="1"/>
    <col min="5608" max="5608" width="7.6640625" style="725" bestFit="1" customWidth="1"/>
    <col min="5609" max="5609" width="8.6640625" style="725" bestFit="1" customWidth="1"/>
    <col min="5610" max="5610" width="11.5546875" style="725" bestFit="1" customWidth="1"/>
    <col min="5611" max="5611" width="11.6640625" style="725" bestFit="1" customWidth="1"/>
    <col min="5612" max="5613" width="12.44140625" style="725" bestFit="1" customWidth="1"/>
    <col min="5614" max="5614" width="49.5546875" style="725" bestFit="1" customWidth="1"/>
    <col min="5615" max="5615" width="13" style="725" bestFit="1" customWidth="1"/>
    <col min="5616" max="5616" width="15.88671875" style="725" bestFit="1" customWidth="1"/>
    <col min="5617" max="5617" width="7.44140625" style="725" bestFit="1" customWidth="1"/>
    <col min="5618" max="5618" width="11.44140625" style="725" bestFit="1" customWidth="1"/>
    <col min="5619" max="5619" width="7.44140625" style="725" bestFit="1" customWidth="1"/>
    <col min="5620" max="5620" width="11.44140625" style="725" bestFit="1" customWidth="1"/>
    <col min="5621" max="5621" width="7.44140625" style="725" bestFit="1" customWidth="1"/>
    <col min="5622" max="5622" width="12.33203125" style="725" bestFit="1" customWidth="1"/>
    <col min="5623" max="5858" width="9.6640625" style="725"/>
    <col min="5859" max="5859" width="6.33203125" style="725" bestFit="1" customWidth="1"/>
    <col min="5860" max="5860" width="88.5546875" style="725" bestFit="1" customWidth="1"/>
    <col min="5861" max="5861" width="27.5546875" style="725" bestFit="1" customWidth="1"/>
    <col min="5862" max="5862" width="28.33203125" style="725" bestFit="1" customWidth="1"/>
    <col min="5863" max="5863" width="8.109375" style="725" bestFit="1" customWidth="1"/>
    <col min="5864" max="5864" width="7.6640625" style="725" bestFit="1" customWidth="1"/>
    <col min="5865" max="5865" width="8.6640625" style="725" bestFit="1" customWidth="1"/>
    <col min="5866" max="5866" width="11.5546875" style="725" bestFit="1" customWidth="1"/>
    <col min="5867" max="5867" width="11.6640625" style="725" bestFit="1" customWidth="1"/>
    <col min="5868" max="5869" width="12.44140625" style="725" bestFit="1" customWidth="1"/>
    <col min="5870" max="5870" width="49.5546875" style="725" bestFit="1" customWidth="1"/>
    <col min="5871" max="5871" width="13" style="725" bestFit="1" customWidth="1"/>
    <col min="5872" max="5872" width="15.88671875" style="725" bestFit="1" customWidth="1"/>
    <col min="5873" max="5873" width="7.44140625" style="725" bestFit="1" customWidth="1"/>
    <col min="5874" max="5874" width="11.44140625" style="725" bestFit="1" customWidth="1"/>
    <col min="5875" max="5875" width="7.44140625" style="725" bestFit="1" customWidth="1"/>
    <col min="5876" max="5876" width="11.44140625" style="725" bestFit="1" customWidth="1"/>
    <col min="5877" max="5877" width="7.44140625" style="725" bestFit="1" customWidth="1"/>
    <col min="5878" max="5878" width="12.33203125" style="725" bestFit="1" customWidth="1"/>
    <col min="5879" max="6114" width="9.6640625" style="725"/>
    <col min="6115" max="6115" width="6.33203125" style="725" bestFit="1" customWidth="1"/>
    <col min="6116" max="6116" width="88.5546875" style="725" bestFit="1" customWidth="1"/>
    <col min="6117" max="6117" width="27.5546875" style="725" bestFit="1" customWidth="1"/>
    <col min="6118" max="6118" width="28.33203125" style="725" bestFit="1" customWidth="1"/>
    <col min="6119" max="6119" width="8.109375" style="725" bestFit="1" customWidth="1"/>
    <col min="6120" max="6120" width="7.6640625" style="725" bestFit="1" customWidth="1"/>
    <col min="6121" max="6121" width="8.6640625" style="725" bestFit="1" customWidth="1"/>
    <col min="6122" max="6122" width="11.5546875" style="725" bestFit="1" customWidth="1"/>
    <col min="6123" max="6123" width="11.6640625" style="725" bestFit="1" customWidth="1"/>
    <col min="6124" max="6125" width="12.44140625" style="725" bestFit="1" customWidth="1"/>
    <col min="6126" max="6126" width="49.5546875" style="725" bestFit="1" customWidth="1"/>
    <col min="6127" max="6127" width="13" style="725" bestFit="1" customWidth="1"/>
    <col min="6128" max="6128" width="15.88671875" style="725" bestFit="1" customWidth="1"/>
    <col min="6129" max="6129" width="7.44140625" style="725" bestFit="1" customWidth="1"/>
    <col min="6130" max="6130" width="11.44140625" style="725" bestFit="1" customWidth="1"/>
    <col min="6131" max="6131" width="7.44140625" style="725" bestFit="1" customWidth="1"/>
    <col min="6132" max="6132" width="11.44140625" style="725" bestFit="1" customWidth="1"/>
    <col min="6133" max="6133" width="7.44140625" style="725" bestFit="1" customWidth="1"/>
    <col min="6134" max="6134" width="12.33203125" style="725" bestFit="1" customWidth="1"/>
    <col min="6135" max="6370" width="9.6640625" style="725"/>
    <col min="6371" max="6371" width="6.33203125" style="725" bestFit="1" customWidth="1"/>
    <col min="6372" max="6372" width="88.5546875" style="725" bestFit="1" customWidth="1"/>
    <col min="6373" max="6373" width="27.5546875" style="725" bestFit="1" customWidth="1"/>
    <col min="6374" max="6374" width="28.33203125" style="725" bestFit="1" customWidth="1"/>
    <col min="6375" max="6375" width="8.109375" style="725" bestFit="1" customWidth="1"/>
    <col min="6376" max="6376" width="7.6640625" style="725" bestFit="1" customWidth="1"/>
    <col min="6377" max="6377" width="8.6640625" style="725" bestFit="1" customWidth="1"/>
    <col min="6378" max="6378" width="11.5546875" style="725" bestFit="1" customWidth="1"/>
    <col min="6379" max="6379" width="11.6640625" style="725" bestFit="1" customWidth="1"/>
    <col min="6380" max="6381" width="12.44140625" style="725" bestFit="1" customWidth="1"/>
    <col min="6382" max="6382" width="49.5546875" style="725" bestFit="1" customWidth="1"/>
    <col min="6383" max="6383" width="13" style="725" bestFit="1" customWidth="1"/>
    <col min="6384" max="6384" width="15.88671875" style="725" bestFit="1" customWidth="1"/>
    <col min="6385" max="6385" width="7.44140625" style="725" bestFit="1" customWidth="1"/>
    <col min="6386" max="6386" width="11.44140625" style="725" bestFit="1" customWidth="1"/>
    <col min="6387" max="6387" width="7.44140625" style="725" bestFit="1" customWidth="1"/>
    <col min="6388" max="6388" width="11.44140625" style="725" bestFit="1" customWidth="1"/>
    <col min="6389" max="6389" width="7.44140625" style="725" bestFit="1" customWidth="1"/>
    <col min="6390" max="6390" width="12.33203125" style="725" bestFit="1" customWidth="1"/>
    <col min="6391" max="6626" width="9.6640625" style="725"/>
    <col min="6627" max="6627" width="6.33203125" style="725" bestFit="1" customWidth="1"/>
    <col min="6628" max="6628" width="88.5546875" style="725" bestFit="1" customWidth="1"/>
    <col min="6629" max="6629" width="27.5546875" style="725" bestFit="1" customWidth="1"/>
    <col min="6630" max="6630" width="28.33203125" style="725" bestFit="1" customWidth="1"/>
    <col min="6631" max="6631" width="8.109375" style="725" bestFit="1" customWidth="1"/>
    <col min="6632" max="6632" width="7.6640625" style="725" bestFit="1" customWidth="1"/>
    <col min="6633" max="6633" width="8.6640625" style="725" bestFit="1" customWidth="1"/>
    <col min="6634" max="6634" width="11.5546875" style="725" bestFit="1" customWidth="1"/>
    <col min="6635" max="6635" width="11.6640625" style="725" bestFit="1" customWidth="1"/>
    <col min="6636" max="6637" width="12.44140625" style="725" bestFit="1" customWidth="1"/>
    <col min="6638" max="6638" width="49.5546875" style="725" bestFit="1" customWidth="1"/>
    <col min="6639" max="6639" width="13" style="725" bestFit="1" customWidth="1"/>
    <col min="6640" max="6640" width="15.88671875" style="725" bestFit="1" customWidth="1"/>
    <col min="6641" max="6641" width="7.44140625" style="725" bestFit="1" customWidth="1"/>
    <col min="6642" max="6642" width="11.44140625" style="725" bestFit="1" customWidth="1"/>
    <col min="6643" max="6643" width="7.44140625" style="725" bestFit="1" customWidth="1"/>
    <col min="6644" max="6644" width="11.44140625" style="725" bestFit="1" customWidth="1"/>
    <col min="6645" max="6645" width="7.44140625" style="725" bestFit="1" customWidth="1"/>
    <col min="6646" max="6646" width="12.33203125" style="725" bestFit="1" customWidth="1"/>
    <col min="6647" max="6882" width="9.6640625" style="725"/>
    <col min="6883" max="6883" width="6.33203125" style="725" bestFit="1" customWidth="1"/>
    <col min="6884" max="6884" width="88.5546875" style="725" bestFit="1" customWidth="1"/>
    <col min="6885" max="6885" width="27.5546875" style="725" bestFit="1" customWidth="1"/>
    <col min="6886" max="6886" width="28.33203125" style="725" bestFit="1" customWidth="1"/>
    <col min="6887" max="6887" width="8.109375" style="725" bestFit="1" customWidth="1"/>
    <col min="6888" max="6888" width="7.6640625" style="725" bestFit="1" customWidth="1"/>
    <col min="6889" max="6889" width="8.6640625" style="725" bestFit="1" customWidth="1"/>
    <col min="6890" max="6890" width="11.5546875" style="725" bestFit="1" customWidth="1"/>
    <col min="6891" max="6891" width="11.6640625" style="725" bestFit="1" customWidth="1"/>
    <col min="6892" max="6893" width="12.44140625" style="725" bestFit="1" customWidth="1"/>
    <col min="6894" max="6894" width="49.5546875" style="725" bestFit="1" customWidth="1"/>
    <col min="6895" max="6895" width="13" style="725" bestFit="1" customWidth="1"/>
    <col min="6896" max="6896" width="15.88671875" style="725" bestFit="1" customWidth="1"/>
    <col min="6897" max="6897" width="7.44140625" style="725" bestFit="1" customWidth="1"/>
    <col min="6898" max="6898" width="11.44140625" style="725" bestFit="1" customWidth="1"/>
    <col min="6899" max="6899" width="7.44140625" style="725" bestFit="1" customWidth="1"/>
    <col min="6900" max="6900" width="11.44140625" style="725" bestFit="1" customWidth="1"/>
    <col min="6901" max="6901" width="7.44140625" style="725" bestFit="1" customWidth="1"/>
    <col min="6902" max="6902" width="12.33203125" style="725" bestFit="1" customWidth="1"/>
    <col min="6903" max="7138" width="9.6640625" style="725"/>
    <col min="7139" max="7139" width="6.33203125" style="725" bestFit="1" customWidth="1"/>
    <col min="7140" max="7140" width="88.5546875" style="725" bestFit="1" customWidth="1"/>
    <col min="7141" max="7141" width="27.5546875" style="725" bestFit="1" customWidth="1"/>
    <col min="7142" max="7142" width="28.33203125" style="725" bestFit="1" customWidth="1"/>
    <col min="7143" max="7143" width="8.109375" style="725" bestFit="1" customWidth="1"/>
    <col min="7144" max="7144" width="7.6640625" style="725" bestFit="1" customWidth="1"/>
    <col min="7145" max="7145" width="8.6640625" style="725" bestFit="1" customWidth="1"/>
    <col min="7146" max="7146" width="11.5546875" style="725" bestFit="1" customWidth="1"/>
    <col min="7147" max="7147" width="11.6640625" style="725" bestFit="1" customWidth="1"/>
    <col min="7148" max="7149" width="12.44140625" style="725" bestFit="1" customWidth="1"/>
    <col min="7150" max="7150" width="49.5546875" style="725" bestFit="1" customWidth="1"/>
    <col min="7151" max="7151" width="13" style="725" bestFit="1" customWidth="1"/>
    <col min="7152" max="7152" width="15.88671875" style="725" bestFit="1" customWidth="1"/>
    <col min="7153" max="7153" width="7.44140625" style="725" bestFit="1" customWidth="1"/>
    <col min="7154" max="7154" width="11.44140625" style="725" bestFit="1" customWidth="1"/>
    <col min="7155" max="7155" width="7.44140625" style="725" bestFit="1" customWidth="1"/>
    <col min="7156" max="7156" width="11.44140625" style="725" bestFit="1" customWidth="1"/>
    <col min="7157" max="7157" width="7.44140625" style="725" bestFit="1" customWidth="1"/>
    <col min="7158" max="7158" width="12.33203125" style="725" bestFit="1" customWidth="1"/>
    <col min="7159" max="7394" width="9.6640625" style="725"/>
    <col min="7395" max="7395" width="6.33203125" style="725" bestFit="1" customWidth="1"/>
    <col min="7396" max="7396" width="88.5546875" style="725" bestFit="1" customWidth="1"/>
    <col min="7397" max="7397" width="27.5546875" style="725" bestFit="1" customWidth="1"/>
    <col min="7398" max="7398" width="28.33203125" style="725" bestFit="1" customWidth="1"/>
    <col min="7399" max="7399" width="8.109375" style="725" bestFit="1" customWidth="1"/>
    <col min="7400" max="7400" width="7.6640625" style="725" bestFit="1" customWidth="1"/>
    <col min="7401" max="7401" width="8.6640625" style="725" bestFit="1" customWidth="1"/>
    <col min="7402" max="7402" width="11.5546875" style="725" bestFit="1" customWidth="1"/>
    <col min="7403" max="7403" width="11.6640625" style="725" bestFit="1" customWidth="1"/>
    <col min="7404" max="7405" width="12.44140625" style="725" bestFit="1" customWidth="1"/>
    <col min="7406" max="7406" width="49.5546875" style="725" bestFit="1" customWidth="1"/>
    <col min="7407" max="7407" width="13" style="725" bestFit="1" customWidth="1"/>
    <col min="7408" max="7408" width="15.88671875" style="725" bestFit="1" customWidth="1"/>
    <col min="7409" max="7409" width="7.44140625" style="725" bestFit="1" customWidth="1"/>
    <col min="7410" max="7410" width="11.44140625" style="725" bestFit="1" customWidth="1"/>
    <col min="7411" max="7411" width="7.44140625" style="725" bestFit="1" customWidth="1"/>
    <col min="7412" max="7412" width="11.44140625" style="725" bestFit="1" customWidth="1"/>
    <col min="7413" max="7413" width="7.44140625" style="725" bestFit="1" customWidth="1"/>
    <col min="7414" max="7414" width="12.33203125" style="725" bestFit="1" customWidth="1"/>
    <col min="7415" max="7650" width="9.6640625" style="725"/>
    <col min="7651" max="7651" width="6.33203125" style="725" bestFit="1" customWidth="1"/>
    <col min="7652" max="7652" width="88.5546875" style="725" bestFit="1" customWidth="1"/>
    <col min="7653" max="7653" width="27.5546875" style="725" bestFit="1" customWidth="1"/>
    <col min="7654" max="7654" width="28.33203125" style="725" bestFit="1" customWidth="1"/>
    <col min="7655" max="7655" width="8.109375" style="725" bestFit="1" customWidth="1"/>
    <col min="7656" max="7656" width="7.6640625" style="725" bestFit="1" customWidth="1"/>
    <col min="7657" max="7657" width="8.6640625" style="725" bestFit="1" customWidth="1"/>
    <col min="7658" max="7658" width="11.5546875" style="725" bestFit="1" customWidth="1"/>
    <col min="7659" max="7659" width="11.6640625" style="725" bestFit="1" customWidth="1"/>
    <col min="7660" max="7661" width="12.44140625" style="725" bestFit="1" customWidth="1"/>
    <col min="7662" max="7662" width="49.5546875" style="725" bestFit="1" customWidth="1"/>
    <col min="7663" max="7663" width="13" style="725" bestFit="1" customWidth="1"/>
    <col min="7664" max="7664" width="15.88671875" style="725" bestFit="1" customWidth="1"/>
    <col min="7665" max="7665" width="7.44140625" style="725" bestFit="1" customWidth="1"/>
    <col min="7666" max="7666" width="11.44140625" style="725" bestFit="1" customWidth="1"/>
    <col min="7667" max="7667" width="7.44140625" style="725" bestFit="1" customWidth="1"/>
    <col min="7668" max="7668" width="11.44140625" style="725" bestFit="1" customWidth="1"/>
    <col min="7669" max="7669" width="7.44140625" style="725" bestFit="1" customWidth="1"/>
    <col min="7670" max="7670" width="12.33203125" style="725" bestFit="1" customWidth="1"/>
    <col min="7671" max="7906" width="9.6640625" style="725"/>
    <col min="7907" max="7907" width="6.33203125" style="725" bestFit="1" customWidth="1"/>
    <col min="7908" max="7908" width="88.5546875" style="725" bestFit="1" customWidth="1"/>
    <col min="7909" max="7909" width="27.5546875" style="725" bestFit="1" customWidth="1"/>
    <col min="7910" max="7910" width="28.33203125" style="725" bestFit="1" customWidth="1"/>
    <col min="7911" max="7911" width="8.109375" style="725" bestFit="1" customWidth="1"/>
    <col min="7912" max="7912" width="7.6640625" style="725" bestFit="1" customWidth="1"/>
    <col min="7913" max="7913" width="8.6640625" style="725" bestFit="1" customWidth="1"/>
    <col min="7914" max="7914" width="11.5546875" style="725" bestFit="1" customWidth="1"/>
    <col min="7915" max="7915" width="11.6640625" style="725" bestFit="1" customWidth="1"/>
    <col min="7916" max="7917" width="12.44140625" style="725" bestFit="1" customWidth="1"/>
    <col min="7918" max="7918" width="49.5546875" style="725" bestFit="1" customWidth="1"/>
    <col min="7919" max="7919" width="13" style="725" bestFit="1" customWidth="1"/>
    <col min="7920" max="7920" width="15.88671875" style="725" bestFit="1" customWidth="1"/>
    <col min="7921" max="7921" width="7.44140625" style="725" bestFit="1" customWidth="1"/>
    <col min="7922" max="7922" width="11.44140625" style="725" bestFit="1" customWidth="1"/>
    <col min="7923" max="7923" width="7.44140625" style="725" bestFit="1" customWidth="1"/>
    <col min="7924" max="7924" width="11.44140625" style="725" bestFit="1" customWidth="1"/>
    <col min="7925" max="7925" width="7.44140625" style="725" bestFit="1" customWidth="1"/>
    <col min="7926" max="7926" width="12.33203125" style="725" bestFit="1" customWidth="1"/>
    <col min="7927" max="8162" width="9.6640625" style="725"/>
    <col min="8163" max="8163" width="6.33203125" style="725" bestFit="1" customWidth="1"/>
    <col min="8164" max="8164" width="88.5546875" style="725" bestFit="1" customWidth="1"/>
    <col min="8165" max="8165" width="27.5546875" style="725" bestFit="1" customWidth="1"/>
    <col min="8166" max="8166" width="28.33203125" style="725" bestFit="1" customWidth="1"/>
    <col min="8167" max="8167" width="8.109375" style="725" bestFit="1" customWidth="1"/>
    <col min="8168" max="8168" width="7.6640625" style="725" bestFit="1" customWidth="1"/>
    <col min="8169" max="8169" width="8.6640625" style="725" bestFit="1" customWidth="1"/>
    <col min="8170" max="8170" width="11.5546875" style="725" bestFit="1" customWidth="1"/>
    <col min="8171" max="8171" width="11.6640625" style="725" bestFit="1" customWidth="1"/>
    <col min="8172" max="8173" width="12.44140625" style="725" bestFit="1" customWidth="1"/>
    <col min="8174" max="8174" width="49.5546875" style="725" bestFit="1" customWidth="1"/>
    <col min="8175" max="8175" width="13" style="725" bestFit="1" customWidth="1"/>
    <col min="8176" max="8176" width="15.88671875" style="725" bestFit="1" customWidth="1"/>
    <col min="8177" max="8177" width="7.44140625" style="725" bestFit="1" customWidth="1"/>
    <col min="8178" max="8178" width="11.44140625" style="725" bestFit="1" customWidth="1"/>
    <col min="8179" max="8179" width="7.44140625" style="725" bestFit="1" customWidth="1"/>
    <col min="8180" max="8180" width="11.44140625" style="725" bestFit="1" customWidth="1"/>
    <col min="8181" max="8181" width="7.44140625" style="725" bestFit="1" customWidth="1"/>
    <col min="8182" max="8182" width="12.33203125" style="725" bestFit="1" customWidth="1"/>
    <col min="8183" max="8418" width="9.6640625" style="725"/>
    <col min="8419" max="8419" width="6.33203125" style="725" bestFit="1" customWidth="1"/>
    <col min="8420" max="8420" width="88.5546875" style="725" bestFit="1" customWidth="1"/>
    <col min="8421" max="8421" width="27.5546875" style="725" bestFit="1" customWidth="1"/>
    <col min="8422" max="8422" width="28.33203125" style="725" bestFit="1" customWidth="1"/>
    <col min="8423" max="8423" width="8.109375" style="725" bestFit="1" customWidth="1"/>
    <col min="8424" max="8424" width="7.6640625" style="725" bestFit="1" customWidth="1"/>
    <col min="8425" max="8425" width="8.6640625" style="725" bestFit="1" customWidth="1"/>
    <col min="8426" max="8426" width="11.5546875" style="725" bestFit="1" customWidth="1"/>
    <col min="8427" max="8427" width="11.6640625" style="725" bestFit="1" customWidth="1"/>
    <col min="8428" max="8429" width="12.44140625" style="725" bestFit="1" customWidth="1"/>
    <col min="8430" max="8430" width="49.5546875" style="725" bestFit="1" customWidth="1"/>
    <col min="8431" max="8431" width="13" style="725" bestFit="1" customWidth="1"/>
    <col min="8432" max="8432" width="15.88671875" style="725" bestFit="1" customWidth="1"/>
    <col min="8433" max="8433" width="7.44140625" style="725" bestFit="1" customWidth="1"/>
    <col min="8434" max="8434" width="11.44140625" style="725" bestFit="1" customWidth="1"/>
    <col min="8435" max="8435" width="7.44140625" style="725" bestFit="1" customWidth="1"/>
    <col min="8436" max="8436" width="11.44140625" style="725" bestFit="1" customWidth="1"/>
    <col min="8437" max="8437" width="7.44140625" style="725" bestFit="1" customWidth="1"/>
    <col min="8438" max="8438" width="12.33203125" style="725" bestFit="1" customWidth="1"/>
    <col min="8439" max="8674" width="9.6640625" style="725"/>
    <col min="8675" max="8675" width="6.33203125" style="725" bestFit="1" customWidth="1"/>
    <col min="8676" max="8676" width="88.5546875" style="725" bestFit="1" customWidth="1"/>
    <col min="8677" max="8677" width="27.5546875" style="725" bestFit="1" customWidth="1"/>
    <col min="8678" max="8678" width="28.33203125" style="725" bestFit="1" customWidth="1"/>
    <col min="8679" max="8679" width="8.109375" style="725" bestFit="1" customWidth="1"/>
    <col min="8680" max="8680" width="7.6640625" style="725" bestFit="1" customWidth="1"/>
    <col min="8681" max="8681" width="8.6640625" style="725" bestFit="1" customWidth="1"/>
    <col min="8682" max="8682" width="11.5546875" style="725" bestFit="1" customWidth="1"/>
    <col min="8683" max="8683" width="11.6640625" style="725" bestFit="1" customWidth="1"/>
    <col min="8684" max="8685" width="12.44140625" style="725" bestFit="1" customWidth="1"/>
    <col min="8686" max="8686" width="49.5546875" style="725" bestFit="1" customWidth="1"/>
    <col min="8687" max="8687" width="13" style="725" bestFit="1" customWidth="1"/>
    <col min="8688" max="8688" width="15.88671875" style="725" bestFit="1" customWidth="1"/>
    <col min="8689" max="8689" width="7.44140625" style="725" bestFit="1" customWidth="1"/>
    <col min="8690" max="8690" width="11.44140625" style="725" bestFit="1" customWidth="1"/>
    <col min="8691" max="8691" width="7.44140625" style="725" bestFit="1" customWidth="1"/>
    <col min="8692" max="8692" width="11.44140625" style="725" bestFit="1" customWidth="1"/>
    <col min="8693" max="8693" width="7.44140625" style="725" bestFit="1" customWidth="1"/>
    <col min="8694" max="8694" width="12.33203125" style="725" bestFit="1" customWidth="1"/>
    <col min="8695" max="8930" width="9.6640625" style="725"/>
    <col min="8931" max="8931" width="6.33203125" style="725" bestFit="1" customWidth="1"/>
    <col min="8932" max="8932" width="88.5546875" style="725" bestFit="1" customWidth="1"/>
    <col min="8933" max="8933" width="27.5546875" style="725" bestFit="1" customWidth="1"/>
    <col min="8934" max="8934" width="28.33203125" style="725" bestFit="1" customWidth="1"/>
    <col min="8935" max="8935" width="8.109375" style="725" bestFit="1" customWidth="1"/>
    <col min="8936" max="8936" width="7.6640625" style="725" bestFit="1" customWidth="1"/>
    <col min="8937" max="8937" width="8.6640625" style="725" bestFit="1" customWidth="1"/>
    <col min="8938" max="8938" width="11.5546875" style="725" bestFit="1" customWidth="1"/>
    <col min="8939" max="8939" width="11.6640625" style="725" bestFit="1" customWidth="1"/>
    <col min="8940" max="8941" width="12.44140625" style="725" bestFit="1" customWidth="1"/>
    <col min="8942" max="8942" width="49.5546875" style="725" bestFit="1" customWidth="1"/>
    <col min="8943" max="8943" width="13" style="725" bestFit="1" customWidth="1"/>
    <col min="8944" max="8944" width="15.88671875" style="725" bestFit="1" customWidth="1"/>
    <col min="8945" max="8945" width="7.44140625" style="725" bestFit="1" customWidth="1"/>
    <col min="8946" max="8946" width="11.44140625" style="725" bestFit="1" customWidth="1"/>
    <col min="8947" max="8947" width="7.44140625" style="725" bestFit="1" customWidth="1"/>
    <col min="8948" max="8948" width="11.44140625" style="725" bestFit="1" customWidth="1"/>
    <col min="8949" max="8949" width="7.44140625" style="725" bestFit="1" customWidth="1"/>
    <col min="8950" max="8950" width="12.33203125" style="725" bestFit="1" customWidth="1"/>
    <col min="8951" max="9186" width="9.6640625" style="725"/>
    <col min="9187" max="9187" width="6.33203125" style="725" bestFit="1" customWidth="1"/>
    <col min="9188" max="9188" width="88.5546875" style="725" bestFit="1" customWidth="1"/>
    <col min="9189" max="9189" width="27.5546875" style="725" bestFit="1" customWidth="1"/>
    <col min="9190" max="9190" width="28.33203125" style="725" bestFit="1" customWidth="1"/>
    <col min="9191" max="9191" width="8.109375" style="725" bestFit="1" customWidth="1"/>
    <col min="9192" max="9192" width="7.6640625" style="725" bestFit="1" customWidth="1"/>
    <col min="9193" max="9193" width="8.6640625" style="725" bestFit="1" customWidth="1"/>
    <col min="9194" max="9194" width="11.5546875" style="725" bestFit="1" customWidth="1"/>
    <col min="9195" max="9195" width="11.6640625" style="725" bestFit="1" customWidth="1"/>
    <col min="9196" max="9197" width="12.44140625" style="725" bestFit="1" customWidth="1"/>
    <col min="9198" max="9198" width="49.5546875" style="725" bestFit="1" customWidth="1"/>
    <col min="9199" max="9199" width="13" style="725" bestFit="1" customWidth="1"/>
    <col min="9200" max="9200" width="15.88671875" style="725" bestFit="1" customWidth="1"/>
    <col min="9201" max="9201" width="7.44140625" style="725" bestFit="1" customWidth="1"/>
    <col min="9202" max="9202" width="11.44140625" style="725" bestFit="1" customWidth="1"/>
    <col min="9203" max="9203" width="7.44140625" style="725" bestFit="1" customWidth="1"/>
    <col min="9204" max="9204" width="11.44140625" style="725" bestFit="1" customWidth="1"/>
    <col min="9205" max="9205" width="7.44140625" style="725" bestFit="1" customWidth="1"/>
    <col min="9206" max="9206" width="12.33203125" style="725" bestFit="1" customWidth="1"/>
    <col min="9207" max="9442" width="9.6640625" style="725"/>
    <col min="9443" max="9443" width="6.33203125" style="725" bestFit="1" customWidth="1"/>
    <col min="9444" max="9444" width="88.5546875" style="725" bestFit="1" customWidth="1"/>
    <col min="9445" max="9445" width="27.5546875" style="725" bestFit="1" customWidth="1"/>
    <col min="9446" max="9446" width="28.33203125" style="725" bestFit="1" customWidth="1"/>
    <col min="9447" max="9447" width="8.109375" style="725" bestFit="1" customWidth="1"/>
    <col min="9448" max="9448" width="7.6640625" style="725" bestFit="1" customWidth="1"/>
    <col min="9449" max="9449" width="8.6640625" style="725" bestFit="1" customWidth="1"/>
    <col min="9450" max="9450" width="11.5546875" style="725" bestFit="1" customWidth="1"/>
    <col min="9451" max="9451" width="11.6640625" style="725" bestFit="1" customWidth="1"/>
    <col min="9452" max="9453" width="12.44140625" style="725" bestFit="1" customWidth="1"/>
    <col min="9454" max="9454" width="49.5546875" style="725" bestFit="1" customWidth="1"/>
    <col min="9455" max="9455" width="13" style="725" bestFit="1" customWidth="1"/>
    <col min="9456" max="9456" width="15.88671875" style="725" bestFit="1" customWidth="1"/>
    <col min="9457" max="9457" width="7.44140625" style="725" bestFit="1" customWidth="1"/>
    <col min="9458" max="9458" width="11.44140625" style="725" bestFit="1" customWidth="1"/>
    <col min="9459" max="9459" width="7.44140625" style="725" bestFit="1" customWidth="1"/>
    <col min="9460" max="9460" width="11.44140625" style="725" bestFit="1" customWidth="1"/>
    <col min="9461" max="9461" width="7.44140625" style="725" bestFit="1" customWidth="1"/>
    <col min="9462" max="9462" width="12.33203125" style="725" bestFit="1" customWidth="1"/>
    <col min="9463" max="9698" width="9.6640625" style="725"/>
    <col min="9699" max="9699" width="6.33203125" style="725" bestFit="1" customWidth="1"/>
    <col min="9700" max="9700" width="88.5546875" style="725" bestFit="1" customWidth="1"/>
    <col min="9701" max="9701" width="27.5546875" style="725" bestFit="1" customWidth="1"/>
    <col min="9702" max="9702" width="28.33203125" style="725" bestFit="1" customWidth="1"/>
    <col min="9703" max="9703" width="8.109375" style="725" bestFit="1" customWidth="1"/>
    <col min="9704" max="9704" width="7.6640625" style="725" bestFit="1" customWidth="1"/>
    <col min="9705" max="9705" width="8.6640625" style="725" bestFit="1" customWidth="1"/>
    <col min="9706" max="9706" width="11.5546875" style="725" bestFit="1" customWidth="1"/>
    <col min="9707" max="9707" width="11.6640625" style="725" bestFit="1" customWidth="1"/>
    <col min="9708" max="9709" width="12.44140625" style="725" bestFit="1" customWidth="1"/>
    <col min="9710" max="9710" width="49.5546875" style="725" bestFit="1" customWidth="1"/>
    <col min="9711" max="9711" width="13" style="725" bestFit="1" customWidth="1"/>
    <col min="9712" max="9712" width="15.88671875" style="725" bestFit="1" customWidth="1"/>
    <col min="9713" max="9713" width="7.44140625" style="725" bestFit="1" customWidth="1"/>
    <col min="9714" max="9714" width="11.44140625" style="725" bestFit="1" customWidth="1"/>
    <col min="9715" max="9715" width="7.44140625" style="725" bestFit="1" customWidth="1"/>
    <col min="9716" max="9716" width="11.44140625" style="725" bestFit="1" customWidth="1"/>
    <col min="9717" max="9717" width="7.44140625" style="725" bestFit="1" customWidth="1"/>
    <col min="9718" max="9718" width="12.33203125" style="725" bestFit="1" customWidth="1"/>
    <col min="9719" max="9954" width="9.6640625" style="725"/>
    <col min="9955" max="9955" width="6.33203125" style="725" bestFit="1" customWidth="1"/>
    <col min="9956" max="9956" width="88.5546875" style="725" bestFit="1" customWidth="1"/>
    <col min="9957" max="9957" width="27.5546875" style="725" bestFit="1" customWidth="1"/>
    <col min="9958" max="9958" width="28.33203125" style="725" bestFit="1" customWidth="1"/>
    <col min="9959" max="9959" width="8.109375" style="725" bestFit="1" customWidth="1"/>
    <col min="9960" max="9960" width="7.6640625" style="725" bestFit="1" customWidth="1"/>
    <col min="9961" max="9961" width="8.6640625" style="725" bestFit="1" customWidth="1"/>
    <col min="9962" max="9962" width="11.5546875" style="725" bestFit="1" customWidth="1"/>
    <col min="9963" max="9963" width="11.6640625" style="725" bestFit="1" customWidth="1"/>
    <col min="9964" max="9965" width="12.44140625" style="725" bestFit="1" customWidth="1"/>
    <col min="9966" max="9966" width="49.5546875" style="725" bestFit="1" customWidth="1"/>
    <col min="9967" max="9967" width="13" style="725" bestFit="1" customWidth="1"/>
    <col min="9968" max="9968" width="15.88671875" style="725" bestFit="1" customWidth="1"/>
    <col min="9969" max="9969" width="7.44140625" style="725" bestFit="1" customWidth="1"/>
    <col min="9970" max="9970" width="11.44140625" style="725" bestFit="1" customWidth="1"/>
    <col min="9971" max="9971" width="7.44140625" style="725" bestFit="1" customWidth="1"/>
    <col min="9972" max="9972" width="11.44140625" style="725" bestFit="1" customWidth="1"/>
    <col min="9973" max="9973" width="7.44140625" style="725" bestFit="1" customWidth="1"/>
    <col min="9974" max="9974" width="12.33203125" style="725" bestFit="1" customWidth="1"/>
    <col min="9975" max="10210" width="9.6640625" style="725"/>
    <col min="10211" max="10211" width="6.33203125" style="725" bestFit="1" customWidth="1"/>
    <col min="10212" max="10212" width="88.5546875" style="725" bestFit="1" customWidth="1"/>
    <col min="10213" max="10213" width="27.5546875" style="725" bestFit="1" customWidth="1"/>
    <col min="10214" max="10214" width="28.33203125" style="725" bestFit="1" customWidth="1"/>
    <col min="10215" max="10215" width="8.109375" style="725" bestFit="1" customWidth="1"/>
    <col min="10216" max="10216" width="7.6640625" style="725" bestFit="1" customWidth="1"/>
    <col min="10217" max="10217" width="8.6640625" style="725" bestFit="1" customWidth="1"/>
    <col min="10218" max="10218" width="11.5546875" style="725" bestFit="1" customWidth="1"/>
    <col min="10219" max="10219" width="11.6640625" style="725" bestFit="1" customWidth="1"/>
    <col min="10220" max="10221" width="12.44140625" style="725" bestFit="1" customWidth="1"/>
    <col min="10222" max="10222" width="49.5546875" style="725" bestFit="1" customWidth="1"/>
    <col min="10223" max="10223" width="13" style="725" bestFit="1" customWidth="1"/>
    <col min="10224" max="10224" width="15.88671875" style="725" bestFit="1" customWidth="1"/>
    <col min="10225" max="10225" width="7.44140625" style="725" bestFit="1" customWidth="1"/>
    <col min="10226" max="10226" width="11.44140625" style="725" bestFit="1" customWidth="1"/>
    <col min="10227" max="10227" width="7.44140625" style="725" bestFit="1" customWidth="1"/>
    <col min="10228" max="10228" width="11.44140625" style="725" bestFit="1" customWidth="1"/>
    <col min="10229" max="10229" width="7.44140625" style="725" bestFit="1" customWidth="1"/>
    <col min="10230" max="10230" width="12.33203125" style="725" bestFit="1" customWidth="1"/>
    <col min="10231" max="10466" width="9.6640625" style="725"/>
    <col min="10467" max="10467" width="6.33203125" style="725" bestFit="1" customWidth="1"/>
    <col min="10468" max="10468" width="88.5546875" style="725" bestFit="1" customWidth="1"/>
    <col min="10469" max="10469" width="27.5546875" style="725" bestFit="1" customWidth="1"/>
    <col min="10470" max="10470" width="28.33203125" style="725" bestFit="1" customWidth="1"/>
    <col min="10471" max="10471" width="8.109375" style="725" bestFit="1" customWidth="1"/>
    <col min="10472" max="10472" width="7.6640625" style="725" bestFit="1" customWidth="1"/>
    <col min="10473" max="10473" width="8.6640625" style="725" bestFit="1" customWidth="1"/>
    <col min="10474" max="10474" width="11.5546875" style="725" bestFit="1" customWidth="1"/>
    <col min="10475" max="10475" width="11.6640625" style="725" bestFit="1" customWidth="1"/>
    <col min="10476" max="10477" width="12.44140625" style="725" bestFit="1" customWidth="1"/>
    <col min="10478" max="10478" width="49.5546875" style="725" bestFit="1" customWidth="1"/>
    <col min="10479" max="10479" width="13" style="725" bestFit="1" customWidth="1"/>
    <col min="10480" max="10480" width="15.88671875" style="725" bestFit="1" customWidth="1"/>
    <col min="10481" max="10481" width="7.44140625" style="725" bestFit="1" customWidth="1"/>
    <col min="10482" max="10482" width="11.44140625" style="725" bestFit="1" customWidth="1"/>
    <col min="10483" max="10483" width="7.44140625" style="725" bestFit="1" customWidth="1"/>
    <col min="10484" max="10484" width="11.44140625" style="725" bestFit="1" customWidth="1"/>
    <col min="10485" max="10485" width="7.44140625" style="725" bestFit="1" customWidth="1"/>
    <col min="10486" max="10486" width="12.33203125" style="725" bestFit="1" customWidth="1"/>
    <col min="10487" max="10722" width="9.6640625" style="725"/>
    <col min="10723" max="10723" width="6.33203125" style="725" bestFit="1" customWidth="1"/>
    <col min="10724" max="10724" width="88.5546875" style="725" bestFit="1" customWidth="1"/>
    <col min="10725" max="10725" width="27.5546875" style="725" bestFit="1" customWidth="1"/>
    <col min="10726" max="10726" width="28.33203125" style="725" bestFit="1" customWidth="1"/>
    <col min="10727" max="10727" width="8.109375" style="725" bestFit="1" customWidth="1"/>
    <col min="10728" max="10728" width="7.6640625" style="725" bestFit="1" customWidth="1"/>
    <col min="10729" max="10729" width="8.6640625" style="725" bestFit="1" customWidth="1"/>
    <col min="10730" max="10730" width="11.5546875" style="725" bestFit="1" customWidth="1"/>
    <col min="10731" max="10731" width="11.6640625" style="725" bestFit="1" customWidth="1"/>
    <col min="10732" max="10733" width="12.44140625" style="725" bestFit="1" customWidth="1"/>
    <col min="10734" max="10734" width="49.5546875" style="725" bestFit="1" customWidth="1"/>
    <col min="10735" max="10735" width="13" style="725" bestFit="1" customWidth="1"/>
    <col min="10736" max="10736" width="15.88671875" style="725" bestFit="1" customWidth="1"/>
    <col min="10737" max="10737" width="7.44140625" style="725" bestFit="1" customWidth="1"/>
    <col min="10738" max="10738" width="11.44140625" style="725" bestFit="1" customWidth="1"/>
    <col min="10739" max="10739" width="7.44140625" style="725" bestFit="1" customWidth="1"/>
    <col min="10740" max="10740" width="11.44140625" style="725" bestFit="1" customWidth="1"/>
    <col min="10741" max="10741" width="7.44140625" style="725" bestFit="1" customWidth="1"/>
    <col min="10742" max="10742" width="12.33203125" style="725" bestFit="1" customWidth="1"/>
    <col min="10743" max="10978" width="9.6640625" style="725"/>
    <col min="10979" max="10979" width="6.33203125" style="725" bestFit="1" customWidth="1"/>
    <col min="10980" max="10980" width="88.5546875" style="725" bestFit="1" customWidth="1"/>
    <col min="10981" max="10981" width="27.5546875" style="725" bestFit="1" customWidth="1"/>
    <col min="10982" max="10982" width="28.33203125" style="725" bestFit="1" customWidth="1"/>
    <col min="10983" max="10983" width="8.109375" style="725" bestFit="1" customWidth="1"/>
    <col min="10984" max="10984" width="7.6640625" style="725" bestFit="1" customWidth="1"/>
    <col min="10985" max="10985" width="8.6640625" style="725" bestFit="1" customWidth="1"/>
    <col min="10986" max="10986" width="11.5546875" style="725" bestFit="1" customWidth="1"/>
    <col min="10987" max="10987" width="11.6640625" style="725" bestFit="1" customWidth="1"/>
    <col min="10988" max="10989" width="12.44140625" style="725" bestFit="1" customWidth="1"/>
    <col min="10990" max="10990" width="49.5546875" style="725" bestFit="1" customWidth="1"/>
    <col min="10991" max="10991" width="13" style="725" bestFit="1" customWidth="1"/>
    <col min="10992" max="10992" width="15.88671875" style="725" bestFit="1" customWidth="1"/>
    <col min="10993" max="10993" width="7.44140625" style="725" bestFit="1" customWidth="1"/>
    <col min="10994" max="10994" width="11.44140625" style="725" bestFit="1" customWidth="1"/>
    <col min="10995" max="10995" width="7.44140625" style="725" bestFit="1" customWidth="1"/>
    <col min="10996" max="10996" width="11.44140625" style="725" bestFit="1" customWidth="1"/>
    <col min="10997" max="10997" width="7.44140625" style="725" bestFit="1" customWidth="1"/>
    <col min="10998" max="10998" width="12.33203125" style="725" bestFit="1" customWidth="1"/>
    <col min="10999" max="11234" width="9.6640625" style="725"/>
    <col min="11235" max="11235" width="6.33203125" style="725" bestFit="1" customWidth="1"/>
    <col min="11236" max="11236" width="88.5546875" style="725" bestFit="1" customWidth="1"/>
    <col min="11237" max="11237" width="27.5546875" style="725" bestFit="1" customWidth="1"/>
    <col min="11238" max="11238" width="28.33203125" style="725" bestFit="1" customWidth="1"/>
    <col min="11239" max="11239" width="8.109375" style="725" bestFit="1" customWidth="1"/>
    <col min="11240" max="11240" width="7.6640625" style="725" bestFit="1" customWidth="1"/>
    <col min="11241" max="11241" width="8.6640625" style="725" bestFit="1" customWidth="1"/>
    <col min="11242" max="11242" width="11.5546875" style="725" bestFit="1" customWidth="1"/>
    <col min="11243" max="11243" width="11.6640625" style="725" bestFit="1" customWidth="1"/>
    <col min="11244" max="11245" width="12.44140625" style="725" bestFit="1" customWidth="1"/>
    <col min="11246" max="11246" width="49.5546875" style="725" bestFit="1" customWidth="1"/>
    <col min="11247" max="11247" width="13" style="725" bestFit="1" customWidth="1"/>
    <col min="11248" max="11248" width="15.88671875" style="725" bestFit="1" customWidth="1"/>
    <col min="11249" max="11249" width="7.44140625" style="725" bestFit="1" customWidth="1"/>
    <col min="11250" max="11250" width="11.44140625" style="725" bestFit="1" customWidth="1"/>
    <col min="11251" max="11251" width="7.44140625" style="725" bestFit="1" customWidth="1"/>
    <col min="11252" max="11252" width="11.44140625" style="725" bestFit="1" customWidth="1"/>
    <col min="11253" max="11253" width="7.44140625" style="725" bestFit="1" customWidth="1"/>
    <col min="11254" max="11254" width="12.33203125" style="725" bestFit="1" customWidth="1"/>
    <col min="11255" max="11490" width="9.6640625" style="725"/>
    <col min="11491" max="11491" width="6.33203125" style="725" bestFit="1" customWidth="1"/>
    <col min="11492" max="11492" width="88.5546875" style="725" bestFit="1" customWidth="1"/>
    <col min="11493" max="11493" width="27.5546875" style="725" bestFit="1" customWidth="1"/>
    <col min="11494" max="11494" width="28.33203125" style="725" bestFit="1" customWidth="1"/>
    <col min="11495" max="11495" width="8.109375" style="725" bestFit="1" customWidth="1"/>
    <col min="11496" max="11496" width="7.6640625" style="725" bestFit="1" customWidth="1"/>
    <col min="11497" max="11497" width="8.6640625" style="725" bestFit="1" customWidth="1"/>
    <col min="11498" max="11498" width="11.5546875" style="725" bestFit="1" customWidth="1"/>
    <col min="11499" max="11499" width="11.6640625" style="725" bestFit="1" customWidth="1"/>
    <col min="11500" max="11501" width="12.44140625" style="725" bestFit="1" customWidth="1"/>
    <col min="11502" max="11502" width="49.5546875" style="725" bestFit="1" customWidth="1"/>
    <col min="11503" max="11503" width="13" style="725" bestFit="1" customWidth="1"/>
    <col min="11504" max="11504" width="15.88671875" style="725" bestFit="1" customWidth="1"/>
    <col min="11505" max="11505" width="7.44140625" style="725" bestFit="1" customWidth="1"/>
    <col min="11506" max="11506" width="11.44140625" style="725" bestFit="1" customWidth="1"/>
    <col min="11507" max="11507" width="7.44140625" style="725" bestFit="1" customWidth="1"/>
    <col min="11508" max="11508" width="11.44140625" style="725" bestFit="1" customWidth="1"/>
    <col min="11509" max="11509" width="7.44140625" style="725" bestFit="1" customWidth="1"/>
    <col min="11510" max="11510" width="12.33203125" style="725" bestFit="1" customWidth="1"/>
    <col min="11511" max="11746" width="9.6640625" style="725"/>
    <col min="11747" max="11747" width="6.33203125" style="725" bestFit="1" customWidth="1"/>
    <col min="11748" max="11748" width="88.5546875" style="725" bestFit="1" customWidth="1"/>
    <col min="11749" max="11749" width="27.5546875" style="725" bestFit="1" customWidth="1"/>
    <col min="11750" max="11750" width="28.33203125" style="725" bestFit="1" customWidth="1"/>
    <col min="11751" max="11751" width="8.109375" style="725" bestFit="1" customWidth="1"/>
    <col min="11752" max="11752" width="7.6640625" style="725" bestFit="1" customWidth="1"/>
    <col min="11753" max="11753" width="8.6640625" style="725" bestFit="1" customWidth="1"/>
    <col min="11754" max="11754" width="11.5546875" style="725" bestFit="1" customWidth="1"/>
    <col min="11755" max="11755" width="11.6640625" style="725" bestFit="1" customWidth="1"/>
    <col min="11756" max="11757" width="12.44140625" style="725" bestFit="1" customWidth="1"/>
    <col min="11758" max="11758" width="49.5546875" style="725" bestFit="1" customWidth="1"/>
    <col min="11759" max="11759" width="13" style="725" bestFit="1" customWidth="1"/>
    <col min="11760" max="11760" width="15.88671875" style="725" bestFit="1" customWidth="1"/>
    <col min="11761" max="11761" width="7.44140625" style="725" bestFit="1" customWidth="1"/>
    <col min="11762" max="11762" width="11.44140625" style="725" bestFit="1" customWidth="1"/>
    <col min="11763" max="11763" width="7.44140625" style="725" bestFit="1" customWidth="1"/>
    <col min="11764" max="11764" width="11.44140625" style="725" bestFit="1" customWidth="1"/>
    <col min="11765" max="11765" width="7.44140625" style="725" bestFit="1" customWidth="1"/>
    <col min="11766" max="11766" width="12.33203125" style="725" bestFit="1" customWidth="1"/>
    <col min="11767" max="12002" width="9.6640625" style="725"/>
    <col min="12003" max="12003" width="6.33203125" style="725" bestFit="1" customWidth="1"/>
    <col min="12004" max="12004" width="88.5546875" style="725" bestFit="1" customWidth="1"/>
    <col min="12005" max="12005" width="27.5546875" style="725" bestFit="1" customWidth="1"/>
    <col min="12006" max="12006" width="28.33203125" style="725" bestFit="1" customWidth="1"/>
    <col min="12007" max="12007" width="8.109375" style="725" bestFit="1" customWidth="1"/>
    <col min="12008" max="12008" width="7.6640625" style="725" bestFit="1" customWidth="1"/>
    <col min="12009" max="12009" width="8.6640625" style="725" bestFit="1" customWidth="1"/>
    <col min="12010" max="12010" width="11.5546875" style="725" bestFit="1" customWidth="1"/>
    <col min="12011" max="12011" width="11.6640625" style="725" bestFit="1" customWidth="1"/>
    <col min="12012" max="12013" width="12.44140625" style="725" bestFit="1" customWidth="1"/>
    <col min="12014" max="12014" width="49.5546875" style="725" bestFit="1" customWidth="1"/>
    <col min="12015" max="12015" width="13" style="725" bestFit="1" customWidth="1"/>
    <col min="12016" max="12016" width="15.88671875" style="725" bestFit="1" customWidth="1"/>
    <col min="12017" max="12017" width="7.44140625" style="725" bestFit="1" customWidth="1"/>
    <col min="12018" max="12018" width="11.44140625" style="725" bestFit="1" customWidth="1"/>
    <col min="12019" max="12019" width="7.44140625" style="725" bestFit="1" customWidth="1"/>
    <col min="12020" max="12020" width="11.44140625" style="725" bestFit="1" customWidth="1"/>
    <col min="12021" max="12021" width="7.44140625" style="725" bestFit="1" customWidth="1"/>
    <col min="12022" max="12022" width="12.33203125" style="725" bestFit="1" customWidth="1"/>
    <col min="12023" max="12258" width="9.6640625" style="725"/>
    <col min="12259" max="12259" width="6.33203125" style="725" bestFit="1" customWidth="1"/>
    <col min="12260" max="12260" width="88.5546875" style="725" bestFit="1" customWidth="1"/>
    <col min="12261" max="12261" width="27.5546875" style="725" bestFit="1" customWidth="1"/>
    <col min="12262" max="12262" width="28.33203125" style="725" bestFit="1" customWidth="1"/>
    <col min="12263" max="12263" width="8.109375" style="725" bestFit="1" customWidth="1"/>
    <col min="12264" max="12264" width="7.6640625" style="725" bestFit="1" customWidth="1"/>
    <col min="12265" max="12265" width="8.6640625" style="725" bestFit="1" customWidth="1"/>
    <col min="12266" max="12266" width="11.5546875" style="725" bestFit="1" customWidth="1"/>
    <col min="12267" max="12267" width="11.6640625" style="725" bestFit="1" customWidth="1"/>
    <col min="12268" max="12269" width="12.44140625" style="725" bestFit="1" customWidth="1"/>
    <col min="12270" max="12270" width="49.5546875" style="725" bestFit="1" customWidth="1"/>
    <col min="12271" max="12271" width="13" style="725" bestFit="1" customWidth="1"/>
    <col min="12272" max="12272" width="15.88671875" style="725" bestFit="1" customWidth="1"/>
    <col min="12273" max="12273" width="7.44140625" style="725" bestFit="1" customWidth="1"/>
    <col min="12274" max="12274" width="11.44140625" style="725" bestFit="1" customWidth="1"/>
    <col min="12275" max="12275" width="7.44140625" style="725" bestFit="1" customWidth="1"/>
    <col min="12276" max="12276" width="11.44140625" style="725" bestFit="1" customWidth="1"/>
    <col min="12277" max="12277" width="7.44140625" style="725" bestFit="1" customWidth="1"/>
    <col min="12278" max="12278" width="12.33203125" style="725" bestFit="1" customWidth="1"/>
    <col min="12279" max="12514" width="9.6640625" style="725"/>
    <col min="12515" max="12515" width="6.33203125" style="725" bestFit="1" customWidth="1"/>
    <col min="12516" max="12516" width="88.5546875" style="725" bestFit="1" customWidth="1"/>
    <col min="12517" max="12517" width="27.5546875" style="725" bestFit="1" customWidth="1"/>
    <col min="12518" max="12518" width="28.33203125" style="725" bestFit="1" customWidth="1"/>
    <col min="12519" max="12519" width="8.109375" style="725" bestFit="1" customWidth="1"/>
    <col min="12520" max="12520" width="7.6640625" style="725" bestFit="1" customWidth="1"/>
    <col min="12521" max="12521" width="8.6640625" style="725" bestFit="1" customWidth="1"/>
    <col min="12522" max="12522" width="11.5546875" style="725" bestFit="1" customWidth="1"/>
    <col min="12523" max="12523" width="11.6640625" style="725" bestFit="1" customWidth="1"/>
    <col min="12524" max="12525" width="12.44140625" style="725" bestFit="1" customWidth="1"/>
    <col min="12526" max="12526" width="49.5546875" style="725" bestFit="1" customWidth="1"/>
    <col min="12527" max="12527" width="13" style="725" bestFit="1" customWidth="1"/>
    <col min="12528" max="12528" width="15.88671875" style="725" bestFit="1" customWidth="1"/>
    <col min="12529" max="12529" width="7.44140625" style="725" bestFit="1" customWidth="1"/>
    <col min="12530" max="12530" width="11.44140625" style="725" bestFit="1" customWidth="1"/>
    <col min="12531" max="12531" width="7.44140625" style="725" bestFit="1" customWidth="1"/>
    <col min="12532" max="12532" width="11.44140625" style="725" bestFit="1" customWidth="1"/>
    <col min="12533" max="12533" width="7.44140625" style="725" bestFit="1" customWidth="1"/>
    <col min="12534" max="12534" width="12.33203125" style="725" bestFit="1" customWidth="1"/>
    <col min="12535" max="12770" width="9.6640625" style="725"/>
    <col min="12771" max="12771" width="6.33203125" style="725" bestFit="1" customWidth="1"/>
    <col min="12772" max="12772" width="88.5546875" style="725" bestFit="1" customWidth="1"/>
    <col min="12773" max="12773" width="27.5546875" style="725" bestFit="1" customWidth="1"/>
    <col min="12774" max="12774" width="28.33203125" style="725" bestFit="1" customWidth="1"/>
    <col min="12775" max="12775" width="8.109375" style="725" bestFit="1" customWidth="1"/>
    <col min="12776" max="12776" width="7.6640625" style="725" bestFit="1" customWidth="1"/>
    <col min="12777" max="12777" width="8.6640625" style="725" bestFit="1" customWidth="1"/>
    <col min="12778" max="12778" width="11.5546875" style="725" bestFit="1" customWidth="1"/>
    <col min="12779" max="12779" width="11.6640625" style="725" bestFit="1" customWidth="1"/>
    <col min="12780" max="12781" width="12.44140625" style="725" bestFit="1" customWidth="1"/>
    <col min="12782" max="12782" width="49.5546875" style="725" bestFit="1" customWidth="1"/>
    <col min="12783" max="12783" width="13" style="725" bestFit="1" customWidth="1"/>
    <col min="12784" max="12784" width="15.88671875" style="725" bestFit="1" customWidth="1"/>
    <col min="12785" max="12785" width="7.44140625" style="725" bestFit="1" customWidth="1"/>
    <col min="12786" max="12786" width="11.44140625" style="725" bestFit="1" customWidth="1"/>
    <col min="12787" max="12787" width="7.44140625" style="725" bestFit="1" customWidth="1"/>
    <col min="12788" max="12788" width="11.44140625" style="725" bestFit="1" customWidth="1"/>
    <col min="12789" max="12789" width="7.44140625" style="725" bestFit="1" customWidth="1"/>
    <col min="12790" max="12790" width="12.33203125" style="725" bestFit="1" customWidth="1"/>
    <col min="12791" max="13026" width="9.6640625" style="725"/>
    <col min="13027" max="13027" width="6.33203125" style="725" bestFit="1" customWidth="1"/>
    <col min="13028" max="13028" width="88.5546875" style="725" bestFit="1" customWidth="1"/>
    <col min="13029" max="13029" width="27.5546875" style="725" bestFit="1" customWidth="1"/>
    <col min="13030" max="13030" width="28.33203125" style="725" bestFit="1" customWidth="1"/>
    <col min="13031" max="13031" width="8.109375" style="725" bestFit="1" customWidth="1"/>
    <col min="13032" max="13032" width="7.6640625" style="725" bestFit="1" customWidth="1"/>
    <col min="13033" max="13033" width="8.6640625" style="725" bestFit="1" customWidth="1"/>
    <col min="13034" max="13034" width="11.5546875" style="725" bestFit="1" customWidth="1"/>
    <col min="13035" max="13035" width="11.6640625" style="725" bestFit="1" customWidth="1"/>
    <col min="13036" max="13037" width="12.44140625" style="725" bestFit="1" customWidth="1"/>
    <col min="13038" max="13038" width="49.5546875" style="725" bestFit="1" customWidth="1"/>
    <col min="13039" max="13039" width="13" style="725" bestFit="1" customWidth="1"/>
    <col min="13040" max="13040" width="15.88671875" style="725" bestFit="1" customWidth="1"/>
    <col min="13041" max="13041" width="7.44140625" style="725" bestFit="1" customWidth="1"/>
    <col min="13042" max="13042" width="11.44140625" style="725" bestFit="1" customWidth="1"/>
    <col min="13043" max="13043" width="7.44140625" style="725" bestFit="1" customWidth="1"/>
    <col min="13044" max="13044" width="11.44140625" style="725" bestFit="1" customWidth="1"/>
    <col min="13045" max="13045" width="7.44140625" style="725" bestFit="1" customWidth="1"/>
    <col min="13046" max="13046" width="12.33203125" style="725" bestFit="1" customWidth="1"/>
    <col min="13047" max="13282" width="9.6640625" style="725"/>
    <col min="13283" max="13283" width="6.33203125" style="725" bestFit="1" customWidth="1"/>
    <col min="13284" max="13284" width="88.5546875" style="725" bestFit="1" customWidth="1"/>
    <col min="13285" max="13285" width="27.5546875" style="725" bestFit="1" customWidth="1"/>
    <col min="13286" max="13286" width="28.33203125" style="725" bestFit="1" customWidth="1"/>
    <col min="13287" max="13287" width="8.109375" style="725" bestFit="1" customWidth="1"/>
    <col min="13288" max="13288" width="7.6640625" style="725" bestFit="1" customWidth="1"/>
    <col min="13289" max="13289" width="8.6640625" style="725" bestFit="1" customWidth="1"/>
    <col min="13290" max="13290" width="11.5546875" style="725" bestFit="1" customWidth="1"/>
    <col min="13291" max="13291" width="11.6640625" style="725" bestFit="1" customWidth="1"/>
    <col min="13292" max="13293" width="12.44140625" style="725" bestFit="1" customWidth="1"/>
    <col min="13294" max="13294" width="49.5546875" style="725" bestFit="1" customWidth="1"/>
    <col min="13295" max="13295" width="13" style="725" bestFit="1" customWidth="1"/>
    <col min="13296" max="13296" width="15.88671875" style="725" bestFit="1" customWidth="1"/>
    <col min="13297" max="13297" width="7.44140625" style="725" bestFit="1" customWidth="1"/>
    <col min="13298" max="13298" width="11.44140625" style="725" bestFit="1" customWidth="1"/>
    <col min="13299" max="13299" width="7.44140625" style="725" bestFit="1" customWidth="1"/>
    <col min="13300" max="13300" width="11.44140625" style="725" bestFit="1" customWidth="1"/>
    <col min="13301" max="13301" width="7.44140625" style="725" bestFit="1" customWidth="1"/>
    <col min="13302" max="13302" width="12.33203125" style="725" bestFit="1" customWidth="1"/>
    <col min="13303" max="13538" width="9.6640625" style="725"/>
    <col min="13539" max="13539" width="6.33203125" style="725" bestFit="1" customWidth="1"/>
    <col min="13540" max="13540" width="88.5546875" style="725" bestFit="1" customWidth="1"/>
    <col min="13541" max="13541" width="27.5546875" style="725" bestFit="1" customWidth="1"/>
    <col min="13542" max="13542" width="28.33203125" style="725" bestFit="1" customWidth="1"/>
    <col min="13543" max="13543" width="8.109375" style="725" bestFit="1" customWidth="1"/>
    <col min="13544" max="13544" width="7.6640625" style="725" bestFit="1" customWidth="1"/>
    <col min="13545" max="13545" width="8.6640625" style="725" bestFit="1" customWidth="1"/>
    <col min="13546" max="13546" width="11.5546875" style="725" bestFit="1" customWidth="1"/>
    <col min="13547" max="13547" width="11.6640625" style="725" bestFit="1" customWidth="1"/>
    <col min="13548" max="13549" width="12.44140625" style="725" bestFit="1" customWidth="1"/>
    <col min="13550" max="13550" width="49.5546875" style="725" bestFit="1" customWidth="1"/>
    <col min="13551" max="13551" width="13" style="725" bestFit="1" customWidth="1"/>
    <col min="13552" max="13552" width="15.88671875" style="725" bestFit="1" customWidth="1"/>
    <col min="13553" max="13553" width="7.44140625" style="725" bestFit="1" customWidth="1"/>
    <col min="13554" max="13554" width="11.44140625" style="725" bestFit="1" customWidth="1"/>
    <col min="13555" max="13555" width="7.44140625" style="725" bestFit="1" customWidth="1"/>
    <col min="13556" max="13556" width="11.44140625" style="725" bestFit="1" customWidth="1"/>
    <col min="13557" max="13557" width="7.44140625" style="725" bestFit="1" customWidth="1"/>
    <col min="13558" max="13558" width="12.33203125" style="725" bestFit="1" customWidth="1"/>
    <col min="13559" max="13794" width="9.6640625" style="725"/>
    <col min="13795" max="13795" width="6.33203125" style="725" bestFit="1" customWidth="1"/>
    <col min="13796" max="13796" width="88.5546875" style="725" bestFit="1" customWidth="1"/>
    <col min="13797" max="13797" width="27.5546875" style="725" bestFit="1" customWidth="1"/>
    <col min="13798" max="13798" width="28.33203125" style="725" bestFit="1" customWidth="1"/>
    <col min="13799" max="13799" width="8.109375" style="725" bestFit="1" customWidth="1"/>
    <col min="13800" max="13800" width="7.6640625" style="725" bestFit="1" customWidth="1"/>
    <col min="13801" max="13801" width="8.6640625" style="725" bestFit="1" customWidth="1"/>
    <col min="13802" max="13802" width="11.5546875" style="725" bestFit="1" customWidth="1"/>
    <col min="13803" max="13803" width="11.6640625" style="725" bestFit="1" customWidth="1"/>
    <col min="13804" max="13805" width="12.44140625" style="725" bestFit="1" customWidth="1"/>
    <col min="13806" max="13806" width="49.5546875" style="725" bestFit="1" customWidth="1"/>
    <col min="13807" max="13807" width="13" style="725" bestFit="1" customWidth="1"/>
    <col min="13808" max="13808" width="15.88671875" style="725" bestFit="1" customWidth="1"/>
    <col min="13809" max="13809" width="7.44140625" style="725" bestFit="1" customWidth="1"/>
    <col min="13810" max="13810" width="11.44140625" style="725" bestFit="1" customWidth="1"/>
    <col min="13811" max="13811" width="7.44140625" style="725" bestFit="1" customWidth="1"/>
    <col min="13812" max="13812" width="11.44140625" style="725" bestFit="1" customWidth="1"/>
    <col min="13813" max="13813" width="7.44140625" style="725" bestFit="1" customWidth="1"/>
    <col min="13814" max="13814" width="12.33203125" style="725" bestFit="1" customWidth="1"/>
    <col min="13815" max="14050" width="9.6640625" style="725"/>
    <col min="14051" max="14051" width="6.33203125" style="725" bestFit="1" customWidth="1"/>
    <col min="14052" max="14052" width="88.5546875" style="725" bestFit="1" customWidth="1"/>
    <col min="14053" max="14053" width="27.5546875" style="725" bestFit="1" customWidth="1"/>
    <col min="14054" max="14054" width="28.33203125" style="725" bestFit="1" customWidth="1"/>
    <col min="14055" max="14055" width="8.109375" style="725" bestFit="1" customWidth="1"/>
    <col min="14056" max="14056" width="7.6640625" style="725" bestFit="1" customWidth="1"/>
    <col min="14057" max="14057" width="8.6640625" style="725" bestFit="1" customWidth="1"/>
    <col min="14058" max="14058" width="11.5546875" style="725" bestFit="1" customWidth="1"/>
    <col min="14059" max="14059" width="11.6640625" style="725" bestFit="1" customWidth="1"/>
    <col min="14060" max="14061" width="12.44140625" style="725" bestFit="1" customWidth="1"/>
    <col min="14062" max="14062" width="49.5546875" style="725" bestFit="1" customWidth="1"/>
    <col min="14063" max="14063" width="13" style="725" bestFit="1" customWidth="1"/>
    <col min="14064" max="14064" width="15.88671875" style="725" bestFit="1" customWidth="1"/>
    <col min="14065" max="14065" width="7.44140625" style="725" bestFit="1" customWidth="1"/>
    <col min="14066" max="14066" width="11.44140625" style="725" bestFit="1" customWidth="1"/>
    <col min="14067" max="14067" width="7.44140625" style="725" bestFit="1" customWidth="1"/>
    <col min="14068" max="14068" width="11.44140625" style="725" bestFit="1" customWidth="1"/>
    <col min="14069" max="14069" width="7.44140625" style="725" bestFit="1" customWidth="1"/>
    <col min="14070" max="14070" width="12.33203125" style="725" bestFit="1" customWidth="1"/>
    <col min="14071" max="14306" width="9.6640625" style="725"/>
    <col min="14307" max="14307" width="6.33203125" style="725" bestFit="1" customWidth="1"/>
    <col min="14308" max="14308" width="88.5546875" style="725" bestFit="1" customWidth="1"/>
    <col min="14309" max="14309" width="27.5546875" style="725" bestFit="1" customWidth="1"/>
    <col min="14310" max="14310" width="28.33203125" style="725" bestFit="1" customWidth="1"/>
    <col min="14311" max="14311" width="8.109375" style="725" bestFit="1" customWidth="1"/>
    <col min="14312" max="14312" width="7.6640625" style="725" bestFit="1" customWidth="1"/>
    <col min="14313" max="14313" width="8.6640625" style="725" bestFit="1" customWidth="1"/>
    <col min="14314" max="14314" width="11.5546875" style="725" bestFit="1" customWidth="1"/>
    <col min="14315" max="14315" width="11.6640625" style="725" bestFit="1" customWidth="1"/>
    <col min="14316" max="14317" width="12.44140625" style="725" bestFit="1" customWidth="1"/>
    <col min="14318" max="14318" width="49.5546875" style="725" bestFit="1" customWidth="1"/>
    <col min="14319" max="14319" width="13" style="725" bestFit="1" customWidth="1"/>
    <col min="14320" max="14320" width="15.88671875" style="725" bestFit="1" customWidth="1"/>
    <col min="14321" max="14321" width="7.44140625" style="725" bestFit="1" customWidth="1"/>
    <col min="14322" max="14322" width="11.44140625" style="725" bestFit="1" customWidth="1"/>
    <col min="14323" max="14323" width="7.44140625" style="725" bestFit="1" customWidth="1"/>
    <col min="14324" max="14324" width="11.44140625" style="725" bestFit="1" customWidth="1"/>
    <col min="14325" max="14325" width="7.44140625" style="725" bestFit="1" customWidth="1"/>
    <col min="14326" max="14326" width="12.33203125" style="725" bestFit="1" customWidth="1"/>
    <col min="14327" max="14562" width="9.6640625" style="725"/>
    <col min="14563" max="14563" width="6.33203125" style="725" bestFit="1" customWidth="1"/>
    <col min="14564" max="14564" width="88.5546875" style="725" bestFit="1" customWidth="1"/>
    <col min="14565" max="14565" width="27.5546875" style="725" bestFit="1" customWidth="1"/>
    <col min="14566" max="14566" width="28.33203125" style="725" bestFit="1" customWidth="1"/>
    <col min="14567" max="14567" width="8.109375" style="725" bestFit="1" customWidth="1"/>
    <col min="14568" max="14568" width="7.6640625" style="725" bestFit="1" customWidth="1"/>
    <col min="14569" max="14569" width="8.6640625" style="725" bestFit="1" customWidth="1"/>
    <col min="14570" max="14570" width="11.5546875" style="725" bestFit="1" customWidth="1"/>
    <col min="14571" max="14571" width="11.6640625" style="725" bestFit="1" customWidth="1"/>
    <col min="14572" max="14573" width="12.44140625" style="725" bestFit="1" customWidth="1"/>
    <col min="14574" max="14574" width="49.5546875" style="725" bestFit="1" customWidth="1"/>
    <col min="14575" max="14575" width="13" style="725" bestFit="1" customWidth="1"/>
    <col min="14576" max="14576" width="15.88671875" style="725" bestFit="1" customWidth="1"/>
    <col min="14577" max="14577" width="7.44140625" style="725" bestFit="1" customWidth="1"/>
    <col min="14578" max="14578" width="11.44140625" style="725" bestFit="1" customWidth="1"/>
    <col min="14579" max="14579" width="7.44140625" style="725" bestFit="1" customWidth="1"/>
    <col min="14580" max="14580" width="11.44140625" style="725" bestFit="1" customWidth="1"/>
    <col min="14581" max="14581" width="7.44140625" style="725" bestFit="1" customWidth="1"/>
    <col min="14582" max="14582" width="12.33203125" style="725" bestFit="1" customWidth="1"/>
    <col min="14583" max="14818" width="9.6640625" style="725"/>
    <col min="14819" max="14819" width="6.33203125" style="725" bestFit="1" customWidth="1"/>
    <col min="14820" max="14820" width="88.5546875" style="725" bestFit="1" customWidth="1"/>
    <col min="14821" max="14821" width="27.5546875" style="725" bestFit="1" customWidth="1"/>
    <col min="14822" max="14822" width="28.33203125" style="725" bestFit="1" customWidth="1"/>
    <col min="14823" max="14823" width="8.109375" style="725" bestFit="1" customWidth="1"/>
    <col min="14824" max="14824" width="7.6640625" style="725" bestFit="1" customWidth="1"/>
    <col min="14825" max="14825" width="8.6640625" style="725" bestFit="1" customWidth="1"/>
    <col min="14826" max="14826" width="11.5546875" style="725" bestFit="1" customWidth="1"/>
    <col min="14827" max="14827" width="11.6640625" style="725" bestFit="1" customWidth="1"/>
    <col min="14828" max="14829" width="12.44140625" style="725" bestFit="1" customWidth="1"/>
    <col min="14830" max="14830" width="49.5546875" style="725" bestFit="1" customWidth="1"/>
    <col min="14831" max="14831" width="13" style="725" bestFit="1" customWidth="1"/>
    <col min="14832" max="14832" width="15.88671875" style="725" bestFit="1" customWidth="1"/>
    <col min="14833" max="14833" width="7.44140625" style="725" bestFit="1" customWidth="1"/>
    <col min="14834" max="14834" width="11.44140625" style="725" bestFit="1" customWidth="1"/>
    <col min="14835" max="14835" width="7.44140625" style="725" bestFit="1" customWidth="1"/>
    <col min="14836" max="14836" width="11.44140625" style="725" bestFit="1" customWidth="1"/>
    <col min="14837" max="14837" width="7.44140625" style="725" bestFit="1" customWidth="1"/>
    <col min="14838" max="14838" width="12.33203125" style="725" bestFit="1" customWidth="1"/>
    <col min="14839" max="15074" width="9.6640625" style="725"/>
    <col min="15075" max="15075" width="6.33203125" style="725" bestFit="1" customWidth="1"/>
    <col min="15076" max="15076" width="88.5546875" style="725" bestFit="1" customWidth="1"/>
    <col min="15077" max="15077" width="27.5546875" style="725" bestFit="1" customWidth="1"/>
    <col min="15078" max="15078" width="28.33203125" style="725" bestFit="1" customWidth="1"/>
    <col min="15079" max="15079" width="8.109375" style="725" bestFit="1" customWidth="1"/>
    <col min="15080" max="15080" width="7.6640625" style="725" bestFit="1" customWidth="1"/>
    <col min="15081" max="15081" width="8.6640625" style="725" bestFit="1" customWidth="1"/>
    <col min="15082" max="15082" width="11.5546875" style="725" bestFit="1" customWidth="1"/>
    <col min="15083" max="15083" width="11.6640625" style="725" bestFit="1" customWidth="1"/>
    <col min="15084" max="15085" width="12.44140625" style="725" bestFit="1" customWidth="1"/>
    <col min="15086" max="15086" width="49.5546875" style="725" bestFit="1" customWidth="1"/>
    <col min="15087" max="15087" width="13" style="725" bestFit="1" customWidth="1"/>
    <col min="15088" max="15088" width="15.88671875" style="725" bestFit="1" customWidth="1"/>
    <col min="15089" max="15089" width="7.44140625" style="725" bestFit="1" customWidth="1"/>
    <col min="15090" max="15090" width="11.44140625" style="725" bestFit="1" customWidth="1"/>
    <col min="15091" max="15091" width="7.44140625" style="725" bestFit="1" customWidth="1"/>
    <col min="15092" max="15092" width="11.44140625" style="725" bestFit="1" customWidth="1"/>
    <col min="15093" max="15093" width="7.44140625" style="725" bestFit="1" customWidth="1"/>
    <col min="15094" max="15094" width="12.33203125" style="725" bestFit="1" customWidth="1"/>
    <col min="15095" max="15330" width="9.6640625" style="725"/>
    <col min="15331" max="15331" width="6.33203125" style="725" bestFit="1" customWidth="1"/>
    <col min="15332" max="15332" width="88.5546875" style="725" bestFit="1" customWidth="1"/>
    <col min="15333" max="15333" width="27.5546875" style="725" bestFit="1" customWidth="1"/>
    <col min="15334" max="15334" width="28.33203125" style="725" bestFit="1" customWidth="1"/>
    <col min="15335" max="15335" width="8.109375" style="725" bestFit="1" customWidth="1"/>
    <col min="15336" max="15336" width="7.6640625" style="725" bestFit="1" customWidth="1"/>
    <col min="15337" max="15337" width="8.6640625" style="725" bestFit="1" customWidth="1"/>
    <col min="15338" max="15338" width="11.5546875" style="725" bestFit="1" customWidth="1"/>
    <col min="15339" max="15339" width="11.6640625" style="725" bestFit="1" customWidth="1"/>
    <col min="15340" max="15341" width="12.44140625" style="725" bestFit="1" customWidth="1"/>
    <col min="15342" max="15342" width="49.5546875" style="725" bestFit="1" customWidth="1"/>
    <col min="15343" max="15343" width="13" style="725" bestFit="1" customWidth="1"/>
    <col min="15344" max="15344" width="15.88671875" style="725" bestFit="1" customWidth="1"/>
    <col min="15345" max="15345" width="7.44140625" style="725" bestFit="1" customWidth="1"/>
    <col min="15346" max="15346" width="11.44140625" style="725" bestFit="1" customWidth="1"/>
    <col min="15347" max="15347" width="7.44140625" style="725" bestFit="1" customWidth="1"/>
    <col min="15348" max="15348" width="11.44140625" style="725" bestFit="1" customWidth="1"/>
    <col min="15349" max="15349" width="7.44140625" style="725" bestFit="1" customWidth="1"/>
    <col min="15350" max="15350" width="12.33203125" style="725" bestFit="1" customWidth="1"/>
    <col min="15351" max="15586" width="9.6640625" style="725"/>
    <col min="15587" max="15587" width="6.33203125" style="725" bestFit="1" customWidth="1"/>
    <col min="15588" max="15588" width="88.5546875" style="725" bestFit="1" customWidth="1"/>
    <col min="15589" max="15589" width="27.5546875" style="725" bestFit="1" customWidth="1"/>
    <col min="15590" max="15590" width="28.33203125" style="725" bestFit="1" customWidth="1"/>
    <col min="15591" max="15591" width="8.109375" style="725" bestFit="1" customWidth="1"/>
    <col min="15592" max="15592" width="7.6640625" style="725" bestFit="1" customWidth="1"/>
    <col min="15593" max="15593" width="8.6640625" style="725" bestFit="1" customWidth="1"/>
    <col min="15594" max="15594" width="11.5546875" style="725" bestFit="1" customWidth="1"/>
    <col min="15595" max="15595" width="11.6640625" style="725" bestFit="1" customWidth="1"/>
    <col min="15596" max="15597" width="12.44140625" style="725" bestFit="1" customWidth="1"/>
    <col min="15598" max="15598" width="49.5546875" style="725" bestFit="1" customWidth="1"/>
    <col min="15599" max="15599" width="13" style="725" bestFit="1" customWidth="1"/>
    <col min="15600" max="15600" width="15.88671875" style="725" bestFit="1" customWidth="1"/>
    <col min="15601" max="15601" width="7.44140625" style="725" bestFit="1" customWidth="1"/>
    <col min="15602" max="15602" width="11.44140625" style="725" bestFit="1" customWidth="1"/>
    <col min="15603" max="15603" width="7.44140625" style="725" bestFit="1" customWidth="1"/>
    <col min="15604" max="15604" width="11.44140625" style="725" bestFit="1" customWidth="1"/>
    <col min="15605" max="15605" width="7.44140625" style="725" bestFit="1" customWidth="1"/>
    <col min="15606" max="15606" width="12.33203125" style="725" bestFit="1" customWidth="1"/>
    <col min="15607" max="15842" width="9.6640625" style="725"/>
    <col min="15843" max="15843" width="6.33203125" style="725" bestFit="1" customWidth="1"/>
    <col min="15844" max="15844" width="88.5546875" style="725" bestFit="1" customWidth="1"/>
    <col min="15845" max="15845" width="27.5546875" style="725" bestFit="1" customWidth="1"/>
    <col min="15846" max="15846" width="28.33203125" style="725" bestFit="1" customWidth="1"/>
    <col min="15847" max="15847" width="8.109375" style="725" bestFit="1" customWidth="1"/>
    <col min="15848" max="15848" width="7.6640625" style="725" bestFit="1" customWidth="1"/>
    <col min="15849" max="15849" width="8.6640625" style="725" bestFit="1" customWidth="1"/>
    <col min="15850" max="15850" width="11.5546875" style="725" bestFit="1" customWidth="1"/>
    <col min="15851" max="15851" width="11.6640625" style="725" bestFit="1" customWidth="1"/>
    <col min="15852" max="15853" width="12.44140625" style="725" bestFit="1" customWidth="1"/>
    <col min="15854" max="15854" width="49.5546875" style="725" bestFit="1" customWidth="1"/>
    <col min="15855" max="15855" width="13" style="725" bestFit="1" customWidth="1"/>
    <col min="15856" max="15856" width="15.88671875" style="725" bestFit="1" customWidth="1"/>
    <col min="15857" max="15857" width="7.44140625" style="725" bestFit="1" customWidth="1"/>
    <col min="15858" max="15858" width="11.44140625" style="725" bestFit="1" customWidth="1"/>
    <col min="15859" max="15859" width="7.44140625" style="725" bestFit="1" customWidth="1"/>
    <col min="15860" max="15860" width="11.44140625" style="725" bestFit="1" customWidth="1"/>
    <col min="15861" max="15861" width="7.44140625" style="725" bestFit="1" customWidth="1"/>
    <col min="15862" max="15862" width="12.33203125" style="725" bestFit="1" customWidth="1"/>
    <col min="15863" max="16098" width="9.6640625" style="725"/>
    <col min="16099" max="16099" width="6.33203125" style="725" bestFit="1" customWidth="1"/>
    <col min="16100" max="16100" width="88.5546875" style="725" bestFit="1" customWidth="1"/>
    <col min="16101" max="16101" width="27.5546875" style="725" bestFit="1" customWidth="1"/>
    <col min="16102" max="16102" width="28.33203125" style="725" bestFit="1" customWidth="1"/>
    <col min="16103" max="16103" width="8.109375" style="725" bestFit="1" customWidth="1"/>
    <col min="16104" max="16104" width="7.6640625" style="725" bestFit="1" customWidth="1"/>
    <col min="16105" max="16105" width="8.6640625" style="725" bestFit="1" customWidth="1"/>
    <col min="16106" max="16106" width="11.5546875" style="725" bestFit="1" customWidth="1"/>
    <col min="16107" max="16107" width="11.6640625" style="725" bestFit="1" customWidth="1"/>
    <col min="16108" max="16109" width="12.44140625" style="725" bestFit="1" customWidth="1"/>
    <col min="16110" max="16110" width="49.5546875" style="725" bestFit="1" customWidth="1"/>
    <col min="16111" max="16111" width="13" style="725" bestFit="1" customWidth="1"/>
    <col min="16112" max="16112" width="15.88671875" style="725" bestFit="1" customWidth="1"/>
    <col min="16113" max="16113" width="7.44140625" style="725" bestFit="1" customWidth="1"/>
    <col min="16114" max="16114" width="11.44140625" style="725" bestFit="1" customWidth="1"/>
    <col min="16115" max="16115" width="7.44140625" style="725" bestFit="1" customWidth="1"/>
    <col min="16116" max="16116" width="11.44140625" style="725" bestFit="1" customWidth="1"/>
    <col min="16117" max="16117" width="7.44140625" style="725" bestFit="1" customWidth="1"/>
    <col min="16118" max="16118" width="12.33203125" style="725" bestFit="1" customWidth="1"/>
    <col min="16119" max="16384" width="9.6640625" style="725"/>
  </cols>
  <sheetData>
    <row r="1" spans="1:9" x14ac:dyDescent="0.25">
      <c r="A1" s="1474"/>
      <c r="B1" s="1474"/>
      <c r="C1" s="1474"/>
      <c r="D1" s="1474"/>
      <c r="E1" s="1474"/>
      <c r="F1" s="1474"/>
      <c r="G1" s="1474"/>
      <c r="H1" s="1474"/>
      <c r="I1" s="1474"/>
    </row>
    <row r="2" spans="1:9" ht="12.7" customHeight="1" x14ac:dyDescent="0.25">
      <c r="A2" s="1475" t="s">
        <v>22</v>
      </c>
      <c r="B2" s="1476" t="s">
        <v>1216</v>
      </c>
      <c r="C2" s="1477" t="s">
        <v>23</v>
      </c>
      <c r="D2" s="1477" t="s">
        <v>882</v>
      </c>
      <c r="E2" s="1474" t="s">
        <v>883</v>
      </c>
      <c r="F2" s="1474"/>
      <c r="G2" s="1474" t="s">
        <v>1217</v>
      </c>
      <c r="H2" s="1474"/>
      <c r="I2" s="1477" t="s">
        <v>759</v>
      </c>
    </row>
    <row r="3" spans="1:9" x14ac:dyDescent="0.25">
      <c r="A3" s="1475"/>
      <c r="B3" s="1476"/>
      <c r="C3" s="1477"/>
      <c r="D3" s="1477"/>
      <c r="E3" s="726" t="s">
        <v>1219</v>
      </c>
      <c r="F3" s="726" t="s">
        <v>1220</v>
      </c>
      <c r="G3" s="727" t="s">
        <v>1219</v>
      </c>
      <c r="H3" s="726" t="s">
        <v>1220</v>
      </c>
      <c r="I3" s="1477"/>
    </row>
    <row r="4" spans="1:9" collapsed="1" x14ac:dyDescent="0.25">
      <c r="A4" s="728" t="s">
        <v>32</v>
      </c>
      <c r="B4" s="729" t="s">
        <v>1978</v>
      </c>
      <c r="C4" s="730" t="s">
        <v>497</v>
      </c>
      <c r="D4" s="731"/>
      <c r="E4" s="732"/>
      <c r="F4" s="732"/>
      <c r="G4" s="732">
        <f>SUM(G5:G25)</f>
        <v>53400</v>
      </c>
      <c r="H4" s="732">
        <f>SUM(H5:H25)</f>
        <v>426668.5</v>
      </c>
      <c r="I4" s="732">
        <f>SUM(I5:I25)</f>
        <v>480068.5</v>
      </c>
    </row>
    <row r="5" spans="1:9" ht="26.3" hidden="1" outlineLevel="1" x14ac:dyDescent="0.25">
      <c r="A5" s="733" t="s">
        <v>1222</v>
      </c>
      <c r="B5" s="734" t="s">
        <v>1979</v>
      </c>
      <c r="C5" s="735" t="s">
        <v>96</v>
      </c>
      <c r="D5" s="735">
        <v>96</v>
      </c>
      <c r="E5" s="480">
        <v>300</v>
      </c>
      <c r="F5" s="480">
        <v>810</v>
      </c>
      <c r="G5" s="736">
        <f>PRODUCT(D5,E5)</f>
        <v>28800</v>
      </c>
      <c r="H5" s="736">
        <f t="shared" ref="H5:H25" si="0">PRODUCT(D5,F5)</f>
        <v>77760</v>
      </c>
      <c r="I5" s="736">
        <f>SUM(G5:H5)</f>
        <v>106560</v>
      </c>
    </row>
    <row r="6" spans="1:9" hidden="1" outlineLevel="1" x14ac:dyDescent="0.25">
      <c r="A6" s="733" t="s">
        <v>1224</v>
      </c>
      <c r="B6" s="737" t="s">
        <v>1980</v>
      </c>
      <c r="C6" s="735" t="s">
        <v>96</v>
      </c>
      <c r="D6" s="735">
        <v>96</v>
      </c>
      <c r="E6" s="480">
        <v>0</v>
      </c>
      <c r="F6" s="480">
        <v>42</v>
      </c>
      <c r="G6" s="736">
        <f t="shared" ref="G6:G25" si="1">PRODUCT(D6,E6)</f>
        <v>0</v>
      </c>
      <c r="H6" s="736">
        <f t="shared" si="0"/>
        <v>4032</v>
      </c>
      <c r="I6" s="736">
        <f t="shared" ref="I6:I25" si="2">SUM(G6:H6)</f>
        <v>4032</v>
      </c>
    </row>
    <row r="7" spans="1:9" hidden="1" outlineLevel="1" x14ac:dyDescent="0.25">
      <c r="A7" s="733" t="s">
        <v>1226</v>
      </c>
      <c r="B7" s="738" t="s">
        <v>1981</v>
      </c>
      <c r="C7" s="735" t="s">
        <v>96</v>
      </c>
      <c r="D7" s="735">
        <v>96</v>
      </c>
      <c r="E7" s="480">
        <v>0</v>
      </c>
      <c r="F7" s="736">
        <v>181</v>
      </c>
      <c r="G7" s="736">
        <f t="shared" si="1"/>
        <v>0</v>
      </c>
      <c r="H7" s="736">
        <f t="shared" si="0"/>
        <v>17376</v>
      </c>
      <c r="I7" s="736">
        <f t="shared" si="2"/>
        <v>17376</v>
      </c>
    </row>
    <row r="8" spans="1:9" hidden="1" outlineLevel="1" x14ac:dyDescent="0.25">
      <c r="A8" s="733" t="s">
        <v>1228</v>
      </c>
      <c r="B8" s="739" t="s">
        <v>1982</v>
      </c>
      <c r="C8" s="735" t="s">
        <v>96</v>
      </c>
      <c r="D8" s="735">
        <v>96</v>
      </c>
      <c r="E8" s="480">
        <v>0</v>
      </c>
      <c r="F8" s="480">
        <v>131</v>
      </c>
      <c r="G8" s="736">
        <f t="shared" si="1"/>
        <v>0</v>
      </c>
      <c r="H8" s="736">
        <f t="shared" si="0"/>
        <v>12576</v>
      </c>
      <c r="I8" s="736">
        <f t="shared" si="2"/>
        <v>12576</v>
      </c>
    </row>
    <row r="9" spans="1:9" hidden="1" outlineLevel="1" x14ac:dyDescent="0.25">
      <c r="A9" s="733" t="s">
        <v>1230</v>
      </c>
      <c r="B9" s="738" t="s">
        <v>1983</v>
      </c>
      <c r="C9" s="735" t="s">
        <v>96</v>
      </c>
      <c r="D9" s="735">
        <v>96</v>
      </c>
      <c r="E9" s="480">
        <v>0</v>
      </c>
      <c r="F9" s="480">
        <v>71</v>
      </c>
      <c r="G9" s="736">
        <f t="shared" si="1"/>
        <v>0</v>
      </c>
      <c r="H9" s="736">
        <f t="shared" si="0"/>
        <v>6816</v>
      </c>
      <c r="I9" s="736">
        <f t="shared" si="2"/>
        <v>6816</v>
      </c>
    </row>
    <row r="10" spans="1:9" hidden="1" outlineLevel="1" x14ac:dyDescent="0.25">
      <c r="A10" s="733" t="s">
        <v>1232</v>
      </c>
      <c r="B10" s="738" t="s">
        <v>1984</v>
      </c>
      <c r="C10" s="735" t="s">
        <v>96</v>
      </c>
      <c r="D10" s="735">
        <v>96</v>
      </c>
      <c r="E10" s="736">
        <v>0</v>
      </c>
      <c r="F10" s="480">
        <v>894</v>
      </c>
      <c r="G10" s="736">
        <f t="shared" si="1"/>
        <v>0</v>
      </c>
      <c r="H10" s="736">
        <f t="shared" si="0"/>
        <v>85824</v>
      </c>
      <c r="I10" s="736">
        <f t="shared" si="2"/>
        <v>85824</v>
      </c>
    </row>
    <row r="11" spans="1:9" hidden="1" outlineLevel="1" x14ac:dyDescent="0.25">
      <c r="A11" s="733" t="s">
        <v>1234</v>
      </c>
      <c r="B11" s="738" t="s">
        <v>1985</v>
      </c>
      <c r="C11" s="735" t="s">
        <v>96</v>
      </c>
      <c r="D11" s="735">
        <v>48</v>
      </c>
      <c r="E11" s="480">
        <v>500</v>
      </c>
      <c r="F11" s="480">
        <v>1875</v>
      </c>
      <c r="G11" s="736">
        <f t="shared" si="1"/>
        <v>24000</v>
      </c>
      <c r="H11" s="736">
        <f t="shared" si="0"/>
        <v>90000</v>
      </c>
      <c r="I11" s="736">
        <f t="shared" si="2"/>
        <v>114000</v>
      </c>
    </row>
    <row r="12" spans="1:9" hidden="1" outlineLevel="1" x14ac:dyDescent="0.25">
      <c r="A12" s="733" t="s">
        <v>1236</v>
      </c>
      <c r="B12" s="738" t="s">
        <v>1986</v>
      </c>
      <c r="C12" s="735" t="s">
        <v>96</v>
      </c>
      <c r="D12" s="735">
        <v>192</v>
      </c>
      <c r="E12" s="736">
        <v>0</v>
      </c>
      <c r="F12" s="736">
        <v>82</v>
      </c>
      <c r="G12" s="736">
        <f t="shared" si="1"/>
        <v>0</v>
      </c>
      <c r="H12" s="736">
        <f t="shared" si="0"/>
        <v>15744</v>
      </c>
      <c r="I12" s="736">
        <f t="shared" si="2"/>
        <v>15744</v>
      </c>
    </row>
    <row r="13" spans="1:9" hidden="1" outlineLevel="1" x14ac:dyDescent="0.25">
      <c r="A13" s="733" t="s">
        <v>1238</v>
      </c>
      <c r="B13" s="737" t="s">
        <v>1987</v>
      </c>
      <c r="C13" s="735" t="s">
        <v>96</v>
      </c>
      <c r="D13" s="740">
        <v>16</v>
      </c>
      <c r="E13" s="736">
        <v>0</v>
      </c>
      <c r="F13" s="736">
        <v>200</v>
      </c>
      <c r="G13" s="736">
        <f t="shared" si="1"/>
        <v>0</v>
      </c>
      <c r="H13" s="736">
        <f t="shared" si="0"/>
        <v>3200</v>
      </c>
      <c r="I13" s="736">
        <f t="shared" si="2"/>
        <v>3200</v>
      </c>
    </row>
    <row r="14" spans="1:9" hidden="1" outlineLevel="1" x14ac:dyDescent="0.25">
      <c r="A14" s="733" t="s">
        <v>1240</v>
      </c>
      <c r="B14" s="737" t="s">
        <v>1988</v>
      </c>
      <c r="C14" s="735" t="s">
        <v>96</v>
      </c>
      <c r="D14" s="740">
        <v>12</v>
      </c>
      <c r="E14" s="736">
        <v>0</v>
      </c>
      <c r="F14" s="736">
        <v>200</v>
      </c>
      <c r="G14" s="736">
        <f t="shared" si="1"/>
        <v>0</v>
      </c>
      <c r="H14" s="736">
        <f t="shared" si="0"/>
        <v>2400</v>
      </c>
      <c r="I14" s="736">
        <f t="shared" si="2"/>
        <v>2400</v>
      </c>
    </row>
    <row r="15" spans="1:9" hidden="1" outlineLevel="1" x14ac:dyDescent="0.25">
      <c r="A15" s="733" t="s">
        <v>1242</v>
      </c>
      <c r="B15" s="737" t="s">
        <v>1989</v>
      </c>
      <c r="C15" s="735" t="s">
        <v>96</v>
      </c>
      <c r="D15" s="740">
        <v>12</v>
      </c>
      <c r="E15" s="736">
        <v>0</v>
      </c>
      <c r="F15" s="736">
        <v>200</v>
      </c>
      <c r="G15" s="736">
        <f t="shared" si="1"/>
        <v>0</v>
      </c>
      <c r="H15" s="736">
        <f t="shared" si="0"/>
        <v>2400</v>
      </c>
      <c r="I15" s="736">
        <f t="shared" si="2"/>
        <v>2400</v>
      </c>
    </row>
    <row r="16" spans="1:9" hidden="1" outlineLevel="1" x14ac:dyDescent="0.25">
      <c r="A16" s="733" t="s">
        <v>1244</v>
      </c>
      <c r="B16" s="737" t="s">
        <v>1990</v>
      </c>
      <c r="C16" s="735" t="s">
        <v>96</v>
      </c>
      <c r="D16" s="740">
        <v>12</v>
      </c>
      <c r="E16" s="736">
        <v>0</v>
      </c>
      <c r="F16" s="736">
        <v>200</v>
      </c>
      <c r="G16" s="736">
        <f t="shared" si="1"/>
        <v>0</v>
      </c>
      <c r="H16" s="736">
        <f t="shared" si="0"/>
        <v>2400</v>
      </c>
      <c r="I16" s="736">
        <f t="shared" si="2"/>
        <v>2400</v>
      </c>
    </row>
    <row r="17" spans="1:9" hidden="1" outlineLevel="1" x14ac:dyDescent="0.25">
      <c r="A17" s="733" t="s">
        <v>1246</v>
      </c>
      <c r="B17" s="737" t="s">
        <v>1991</v>
      </c>
      <c r="C17" s="735" t="s">
        <v>96</v>
      </c>
      <c r="D17" s="740">
        <v>16</v>
      </c>
      <c r="E17" s="736">
        <v>0</v>
      </c>
      <c r="F17" s="736">
        <v>200</v>
      </c>
      <c r="G17" s="736">
        <f t="shared" si="1"/>
        <v>0</v>
      </c>
      <c r="H17" s="736">
        <f t="shared" si="0"/>
        <v>3200</v>
      </c>
      <c r="I17" s="736">
        <f t="shared" si="2"/>
        <v>3200</v>
      </c>
    </row>
    <row r="18" spans="1:9" hidden="1" outlineLevel="1" x14ac:dyDescent="0.25">
      <c r="A18" s="733" t="s">
        <v>1248</v>
      </c>
      <c r="B18" s="738" t="s">
        <v>1992</v>
      </c>
      <c r="C18" s="735" t="s">
        <v>96</v>
      </c>
      <c r="D18" s="735">
        <v>2</v>
      </c>
      <c r="E18" s="736">
        <v>0</v>
      </c>
      <c r="F18" s="736">
        <v>167</v>
      </c>
      <c r="G18" s="736">
        <f t="shared" si="1"/>
        <v>0</v>
      </c>
      <c r="H18" s="736">
        <f t="shared" si="0"/>
        <v>334</v>
      </c>
      <c r="I18" s="736">
        <f t="shared" si="2"/>
        <v>334</v>
      </c>
    </row>
    <row r="19" spans="1:9" hidden="1" outlineLevel="1" x14ac:dyDescent="0.25">
      <c r="A19" s="733" t="s">
        <v>1250</v>
      </c>
      <c r="B19" s="741" t="s">
        <v>1993</v>
      </c>
      <c r="C19" s="735" t="s">
        <v>96</v>
      </c>
      <c r="D19" s="742">
        <v>2</v>
      </c>
      <c r="E19" s="736">
        <v>0</v>
      </c>
      <c r="F19" s="736">
        <v>160</v>
      </c>
      <c r="G19" s="736">
        <f t="shared" si="1"/>
        <v>0</v>
      </c>
      <c r="H19" s="736">
        <f t="shared" si="0"/>
        <v>320</v>
      </c>
      <c r="I19" s="736">
        <f t="shared" si="2"/>
        <v>320</v>
      </c>
    </row>
    <row r="20" spans="1:9" hidden="1" outlineLevel="1" x14ac:dyDescent="0.25">
      <c r="A20" s="733" t="s">
        <v>1252</v>
      </c>
      <c r="B20" s="741" t="s">
        <v>1994</v>
      </c>
      <c r="C20" s="735" t="s">
        <v>96</v>
      </c>
      <c r="D20" s="742">
        <v>2</v>
      </c>
      <c r="E20" s="736">
        <v>0</v>
      </c>
      <c r="F20" s="736">
        <v>132.75</v>
      </c>
      <c r="G20" s="736">
        <f t="shared" si="1"/>
        <v>0</v>
      </c>
      <c r="H20" s="736">
        <f t="shared" si="0"/>
        <v>265.5</v>
      </c>
      <c r="I20" s="736">
        <f t="shared" si="2"/>
        <v>265.5</v>
      </c>
    </row>
    <row r="21" spans="1:9" ht="25.05" hidden="1" outlineLevel="1" x14ac:dyDescent="0.25">
      <c r="A21" s="733" t="s">
        <v>1254</v>
      </c>
      <c r="B21" s="741" t="s">
        <v>1995</v>
      </c>
      <c r="C21" s="735" t="s">
        <v>96</v>
      </c>
      <c r="D21" s="743">
        <v>2</v>
      </c>
      <c r="E21" s="480">
        <v>150</v>
      </c>
      <c r="F21" s="480">
        <v>262</v>
      </c>
      <c r="G21" s="736">
        <f t="shared" si="1"/>
        <v>300</v>
      </c>
      <c r="H21" s="736">
        <f t="shared" si="0"/>
        <v>524</v>
      </c>
      <c r="I21" s="736">
        <f t="shared" si="2"/>
        <v>824</v>
      </c>
    </row>
    <row r="22" spans="1:9" hidden="1" outlineLevel="1" x14ac:dyDescent="0.25">
      <c r="A22" s="733" t="s">
        <v>1256</v>
      </c>
      <c r="B22" s="741" t="s">
        <v>1996</v>
      </c>
      <c r="C22" s="735" t="s">
        <v>96</v>
      </c>
      <c r="D22" s="743">
        <v>3</v>
      </c>
      <c r="E22" s="736">
        <v>0</v>
      </c>
      <c r="F22" s="736">
        <v>23</v>
      </c>
      <c r="G22" s="736">
        <f t="shared" si="1"/>
        <v>0</v>
      </c>
      <c r="H22" s="736">
        <f t="shared" si="0"/>
        <v>69</v>
      </c>
      <c r="I22" s="736">
        <f t="shared" si="2"/>
        <v>69</v>
      </c>
    </row>
    <row r="23" spans="1:9" hidden="1" outlineLevel="1" x14ac:dyDescent="0.25">
      <c r="A23" s="733" t="s">
        <v>1258</v>
      </c>
      <c r="B23" s="741" t="s">
        <v>1997</v>
      </c>
      <c r="C23" s="735" t="s">
        <v>96</v>
      </c>
      <c r="D23" s="743">
        <v>1</v>
      </c>
      <c r="E23" s="480">
        <v>300</v>
      </c>
      <c r="F23" s="480">
        <v>8140</v>
      </c>
      <c r="G23" s="736">
        <f t="shared" si="1"/>
        <v>300</v>
      </c>
      <c r="H23" s="736">
        <f t="shared" si="0"/>
        <v>8140</v>
      </c>
      <c r="I23" s="736">
        <f t="shared" si="2"/>
        <v>8440</v>
      </c>
    </row>
    <row r="24" spans="1:9" hidden="1" outlineLevel="1" x14ac:dyDescent="0.25">
      <c r="A24" s="733" t="s">
        <v>1260</v>
      </c>
      <c r="B24" s="744" t="s">
        <v>1998</v>
      </c>
      <c r="C24" s="735" t="s">
        <v>96</v>
      </c>
      <c r="D24" s="736">
        <v>276</v>
      </c>
      <c r="E24" s="480">
        <v>0</v>
      </c>
      <c r="F24" s="480">
        <v>208</v>
      </c>
      <c r="G24" s="736">
        <f t="shared" si="1"/>
        <v>0</v>
      </c>
      <c r="H24" s="736">
        <f t="shared" si="0"/>
        <v>57408</v>
      </c>
      <c r="I24" s="736">
        <f t="shared" si="2"/>
        <v>57408</v>
      </c>
    </row>
    <row r="25" spans="1:9" hidden="1" outlineLevel="1" x14ac:dyDescent="0.25">
      <c r="A25" s="733" t="s">
        <v>1262</v>
      </c>
      <c r="B25" s="744" t="s">
        <v>1999</v>
      </c>
      <c r="C25" s="735" t="s">
        <v>96</v>
      </c>
      <c r="D25" s="736">
        <v>276</v>
      </c>
      <c r="E25" s="480">
        <v>0</v>
      </c>
      <c r="F25" s="480">
        <v>130</v>
      </c>
      <c r="G25" s="736">
        <f t="shared" si="1"/>
        <v>0</v>
      </c>
      <c r="H25" s="736">
        <f t="shared" si="0"/>
        <v>35880</v>
      </c>
      <c r="I25" s="736">
        <f t="shared" si="2"/>
        <v>35880</v>
      </c>
    </row>
    <row r="26" spans="1:9" collapsed="1" x14ac:dyDescent="0.25">
      <c r="A26" s="728" t="s">
        <v>41</v>
      </c>
      <c r="B26" s="729" t="s">
        <v>2000</v>
      </c>
      <c r="C26" s="730" t="s">
        <v>497</v>
      </c>
      <c r="D26" s="730">
        <v>3</v>
      </c>
      <c r="E26" s="732"/>
      <c r="F26" s="732"/>
      <c r="G26" s="732">
        <f>SUM(G27:G30)</f>
        <v>37000</v>
      </c>
      <c r="H26" s="732">
        <f>SUM(H27:H30)</f>
        <v>1392084.2</v>
      </c>
      <c r="I26" s="732">
        <f>SUM(I27:I30)</f>
        <v>1429084.2</v>
      </c>
    </row>
    <row r="27" spans="1:9" hidden="1" outlineLevel="1" x14ac:dyDescent="0.25">
      <c r="A27" s="733" t="s">
        <v>1863</v>
      </c>
      <c r="B27" s="745" t="s">
        <v>2001</v>
      </c>
      <c r="C27" s="736" t="s">
        <v>2002</v>
      </c>
      <c r="D27" s="736">
        <v>1</v>
      </c>
      <c r="E27" s="736">
        <v>10000</v>
      </c>
      <c r="F27" s="736">
        <v>268341</v>
      </c>
      <c r="G27" s="736">
        <f>PRODUCT(D27,E27)</f>
        <v>10000</v>
      </c>
      <c r="H27" s="736">
        <f t="shared" ref="H27:H30" si="3">PRODUCT(F27,D27)</f>
        <v>268341</v>
      </c>
      <c r="I27" s="736">
        <f t="shared" ref="I27:I30" si="4">SUM(G27:H27)</f>
        <v>278341</v>
      </c>
    </row>
    <row r="28" spans="1:9" hidden="1" outlineLevel="1" x14ac:dyDescent="0.25">
      <c r="A28" s="733" t="s">
        <v>1865</v>
      </c>
      <c r="B28" s="745" t="s">
        <v>2003</v>
      </c>
      <c r="C28" s="736" t="s">
        <v>2002</v>
      </c>
      <c r="D28" s="736">
        <v>1</v>
      </c>
      <c r="E28" s="736">
        <v>10000</v>
      </c>
      <c r="F28" s="736">
        <v>405996</v>
      </c>
      <c r="G28" s="736">
        <f t="shared" ref="G28:G30" si="5">PRODUCT(D28,E28)</f>
        <v>10000</v>
      </c>
      <c r="H28" s="736">
        <f t="shared" si="3"/>
        <v>405996</v>
      </c>
      <c r="I28" s="736">
        <f t="shared" si="4"/>
        <v>415996</v>
      </c>
    </row>
    <row r="29" spans="1:9" hidden="1" outlineLevel="1" x14ac:dyDescent="0.25">
      <c r="A29" s="733" t="s">
        <v>1867</v>
      </c>
      <c r="B29" s="745" t="s">
        <v>2004</v>
      </c>
      <c r="C29" s="736" t="s">
        <v>2002</v>
      </c>
      <c r="D29" s="736">
        <v>1</v>
      </c>
      <c r="E29" s="736">
        <v>17000</v>
      </c>
      <c r="F29" s="736">
        <v>704007</v>
      </c>
      <c r="G29" s="736">
        <f t="shared" si="5"/>
        <v>17000</v>
      </c>
      <c r="H29" s="736">
        <f t="shared" si="3"/>
        <v>704007</v>
      </c>
      <c r="I29" s="736">
        <f t="shared" si="4"/>
        <v>721007</v>
      </c>
    </row>
    <row r="30" spans="1:9" hidden="1" outlineLevel="1" x14ac:dyDescent="0.25">
      <c r="A30" s="733" t="s">
        <v>1869</v>
      </c>
      <c r="B30" s="746" t="s">
        <v>2005</v>
      </c>
      <c r="C30" s="740" t="s">
        <v>96</v>
      </c>
      <c r="D30" s="740">
        <v>4</v>
      </c>
      <c r="E30" s="736">
        <v>0</v>
      </c>
      <c r="F30" s="480">
        <v>3435.05</v>
      </c>
      <c r="G30" s="736">
        <f t="shared" si="5"/>
        <v>0</v>
      </c>
      <c r="H30" s="736">
        <f t="shared" si="3"/>
        <v>13740.2</v>
      </c>
      <c r="I30" s="736">
        <f t="shared" si="4"/>
        <v>13740.2</v>
      </c>
    </row>
    <row r="31" spans="1:9" collapsed="1" x14ac:dyDescent="0.25">
      <c r="A31" s="728" t="s">
        <v>49</v>
      </c>
      <c r="B31" s="747" t="s">
        <v>2006</v>
      </c>
      <c r="C31" s="748" t="s">
        <v>96</v>
      </c>
      <c r="D31" s="749">
        <v>3</v>
      </c>
      <c r="E31" s="749"/>
      <c r="F31" s="749"/>
      <c r="G31" s="749">
        <f>SUM(G32:G43)</f>
        <v>146600</v>
      </c>
      <c r="H31" s="749">
        <f>SUM(H32:H43)</f>
        <v>417510.16200000001</v>
      </c>
      <c r="I31" s="732">
        <f t="shared" ref="I31" si="6">SUM(G31:H31)</f>
        <v>564110.16200000001</v>
      </c>
    </row>
    <row r="32" spans="1:9" hidden="1" outlineLevel="1" x14ac:dyDescent="0.25">
      <c r="A32" s="733" t="s">
        <v>1353</v>
      </c>
      <c r="B32" s="745" t="s">
        <v>2007</v>
      </c>
      <c r="C32" s="740" t="s">
        <v>96</v>
      </c>
      <c r="D32" s="740">
        <v>660</v>
      </c>
      <c r="E32" s="480">
        <v>150</v>
      </c>
      <c r="F32" s="480">
        <v>460</v>
      </c>
      <c r="G32" s="736">
        <f>PRODUCT(E32,D32)</f>
        <v>99000</v>
      </c>
      <c r="H32" s="736">
        <f>PRODUCT(F32,D32)</f>
        <v>303600</v>
      </c>
      <c r="I32" s="736">
        <f>SUM(G32:H32)</f>
        <v>402600</v>
      </c>
    </row>
    <row r="33" spans="1:9" hidden="1" outlineLevel="1" x14ac:dyDescent="0.25">
      <c r="A33" s="733" t="s">
        <v>1355</v>
      </c>
      <c r="B33" s="750" t="s">
        <v>2008</v>
      </c>
      <c r="C33" s="751" t="s">
        <v>96</v>
      </c>
      <c r="D33" s="752">
        <v>2</v>
      </c>
      <c r="E33" s="480">
        <v>250</v>
      </c>
      <c r="F33" s="480">
        <v>8624</v>
      </c>
      <c r="G33" s="736">
        <f t="shared" ref="G33:G43" si="7">PRODUCT(E33,D33)</f>
        <v>500</v>
      </c>
      <c r="H33" s="736">
        <f t="shared" ref="H33:H43" si="8">PRODUCT(F33,D33)</f>
        <v>17248</v>
      </c>
      <c r="I33" s="736">
        <f t="shared" ref="I33:I43" si="9">SUM(G33:H33)</f>
        <v>17748</v>
      </c>
    </row>
    <row r="34" spans="1:9" hidden="1" outlineLevel="1" x14ac:dyDescent="0.25">
      <c r="A34" s="733" t="s">
        <v>1357</v>
      </c>
      <c r="B34" s="750" t="s">
        <v>2009</v>
      </c>
      <c r="C34" s="751" t="s">
        <v>96</v>
      </c>
      <c r="D34" s="752">
        <v>2</v>
      </c>
      <c r="E34" s="480">
        <v>10000</v>
      </c>
      <c r="F34" s="480">
        <v>8697.0869999999995</v>
      </c>
      <c r="G34" s="736">
        <f t="shared" si="7"/>
        <v>20000</v>
      </c>
      <c r="H34" s="736">
        <f t="shared" si="8"/>
        <v>17394.173999999999</v>
      </c>
      <c r="I34" s="736">
        <f t="shared" si="9"/>
        <v>37394.173999999999</v>
      </c>
    </row>
    <row r="35" spans="1:9" hidden="1" outlineLevel="1" x14ac:dyDescent="0.25">
      <c r="A35" s="733" t="s">
        <v>1359</v>
      </c>
      <c r="B35" s="750" t="s">
        <v>2010</v>
      </c>
      <c r="C35" s="751" t="s">
        <v>96</v>
      </c>
      <c r="D35" s="752">
        <v>2</v>
      </c>
      <c r="E35" s="480">
        <v>400</v>
      </c>
      <c r="F35" s="480">
        <v>25591</v>
      </c>
      <c r="G35" s="736">
        <f t="shared" si="7"/>
        <v>800</v>
      </c>
      <c r="H35" s="736">
        <f t="shared" si="8"/>
        <v>51182</v>
      </c>
      <c r="I35" s="736">
        <f t="shared" si="9"/>
        <v>51982</v>
      </c>
    </row>
    <row r="36" spans="1:9" hidden="1" outlineLevel="1" x14ac:dyDescent="0.25">
      <c r="A36" s="733" t="s">
        <v>1361</v>
      </c>
      <c r="B36" s="750" t="s">
        <v>2011</v>
      </c>
      <c r="C36" s="751" t="s">
        <v>96</v>
      </c>
      <c r="D36" s="752">
        <v>2</v>
      </c>
      <c r="E36" s="480">
        <v>0</v>
      </c>
      <c r="F36" s="480">
        <v>344.75</v>
      </c>
      <c r="G36" s="736">
        <f t="shared" si="7"/>
        <v>0</v>
      </c>
      <c r="H36" s="736">
        <f t="shared" si="8"/>
        <v>689.5</v>
      </c>
      <c r="I36" s="736">
        <f t="shared" si="9"/>
        <v>689.5</v>
      </c>
    </row>
    <row r="37" spans="1:9" hidden="1" outlineLevel="1" x14ac:dyDescent="0.25">
      <c r="A37" s="733" t="s">
        <v>1363</v>
      </c>
      <c r="B37" s="750" t="s">
        <v>2012</v>
      </c>
      <c r="C37" s="751" t="s">
        <v>96</v>
      </c>
      <c r="D37" s="752">
        <v>2</v>
      </c>
      <c r="E37" s="480">
        <v>150</v>
      </c>
      <c r="F37" s="480">
        <v>379.22</v>
      </c>
      <c r="G37" s="736">
        <f t="shared" si="7"/>
        <v>300</v>
      </c>
      <c r="H37" s="736">
        <f t="shared" si="8"/>
        <v>758.44</v>
      </c>
      <c r="I37" s="736">
        <f t="shared" si="9"/>
        <v>1058.44</v>
      </c>
    </row>
    <row r="38" spans="1:9" hidden="1" outlineLevel="1" x14ac:dyDescent="0.25">
      <c r="A38" s="733" t="s">
        <v>1895</v>
      </c>
      <c r="B38" s="750" t="s">
        <v>2013</v>
      </c>
      <c r="C38" s="751" t="s">
        <v>44</v>
      </c>
      <c r="D38" s="752">
        <v>2</v>
      </c>
      <c r="E38" s="752">
        <v>0</v>
      </c>
      <c r="F38" s="752">
        <v>15</v>
      </c>
      <c r="G38" s="736">
        <f t="shared" si="7"/>
        <v>0</v>
      </c>
      <c r="H38" s="736">
        <f t="shared" si="8"/>
        <v>30</v>
      </c>
      <c r="I38" s="736">
        <f t="shared" si="9"/>
        <v>30</v>
      </c>
    </row>
    <row r="39" spans="1:9" hidden="1" outlineLevel="1" x14ac:dyDescent="0.25">
      <c r="A39" s="733" t="s">
        <v>1897</v>
      </c>
      <c r="B39" s="750" t="s">
        <v>2014</v>
      </c>
      <c r="C39" s="751" t="s">
        <v>44</v>
      </c>
      <c r="D39" s="752">
        <v>8</v>
      </c>
      <c r="E39" s="752">
        <v>0</v>
      </c>
      <c r="F39" s="752">
        <v>20</v>
      </c>
      <c r="G39" s="736">
        <f t="shared" si="7"/>
        <v>0</v>
      </c>
      <c r="H39" s="736">
        <f t="shared" si="8"/>
        <v>160</v>
      </c>
      <c r="I39" s="736">
        <f t="shared" si="9"/>
        <v>160</v>
      </c>
    </row>
    <row r="40" spans="1:9" hidden="1" outlineLevel="1" x14ac:dyDescent="0.25">
      <c r="A40" s="733" t="s">
        <v>1899</v>
      </c>
      <c r="B40" s="750" t="s">
        <v>2015</v>
      </c>
      <c r="C40" s="751" t="s">
        <v>96</v>
      </c>
      <c r="D40" s="752">
        <v>2</v>
      </c>
      <c r="E40" s="480">
        <v>200</v>
      </c>
      <c r="F40" s="480">
        <v>1044.4100000000001</v>
      </c>
      <c r="G40" s="736">
        <f t="shared" si="7"/>
        <v>400</v>
      </c>
      <c r="H40" s="736">
        <f t="shared" si="8"/>
        <v>2088.8200000000002</v>
      </c>
      <c r="I40" s="736">
        <f t="shared" si="9"/>
        <v>2488.8200000000002</v>
      </c>
    </row>
    <row r="41" spans="1:9" hidden="1" outlineLevel="1" x14ac:dyDescent="0.25">
      <c r="A41" s="733" t="s">
        <v>1901</v>
      </c>
      <c r="B41" s="750" t="s">
        <v>2016</v>
      </c>
      <c r="C41" s="751" t="s">
        <v>96</v>
      </c>
      <c r="D41" s="752">
        <v>3</v>
      </c>
      <c r="E41" s="480">
        <v>200</v>
      </c>
      <c r="F41" s="480">
        <v>742</v>
      </c>
      <c r="G41" s="736">
        <f t="shared" si="7"/>
        <v>600</v>
      </c>
      <c r="H41" s="736">
        <f t="shared" si="8"/>
        <v>2226</v>
      </c>
      <c r="I41" s="736">
        <f t="shared" si="9"/>
        <v>2826</v>
      </c>
    </row>
    <row r="42" spans="1:9" hidden="1" outlineLevel="1" x14ac:dyDescent="0.25">
      <c r="A42" s="733" t="s">
        <v>1903</v>
      </c>
      <c r="B42" s="750" t="s">
        <v>2017</v>
      </c>
      <c r="C42" s="751" t="s">
        <v>96</v>
      </c>
      <c r="D42" s="752">
        <v>2</v>
      </c>
      <c r="E42" s="480">
        <v>12500</v>
      </c>
      <c r="F42" s="480">
        <v>11002.614</v>
      </c>
      <c r="G42" s="736">
        <f t="shared" si="7"/>
        <v>25000</v>
      </c>
      <c r="H42" s="736">
        <f t="shared" si="8"/>
        <v>22005.227999999999</v>
      </c>
      <c r="I42" s="736">
        <f t="shared" si="9"/>
        <v>47005.228000000003</v>
      </c>
    </row>
    <row r="43" spans="1:9" hidden="1" outlineLevel="1" x14ac:dyDescent="0.25">
      <c r="A43" s="733" t="s">
        <v>1905</v>
      </c>
      <c r="B43" s="750" t="s">
        <v>2018</v>
      </c>
      <c r="C43" s="751" t="s">
        <v>96</v>
      </c>
      <c r="D43" s="752">
        <v>4</v>
      </c>
      <c r="E43" s="752">
        <v>0</v>
      </c>
      <c r="F43" s="752">
        <v>32</v>
      </c>
      <c r="G43" s="736">
        <f t="shared" si="7"/>
        <v>0</v>
      </c>
      <c r="H43" s="736">
        <f t="shared" si="8"/>
        <v>128</v>
      </c>
      <c r="I43" s="736">
        <f t="shared" si="9"/>
        <v>128</v>
      </c>
    </row>
    <row r="44" spans="1:9" collapsed="1" x14ac:dyDescent="0.25">
      <c r="A44" s="728" t="s">
        <v>296</v>
      </c>
      <c r="B44" s="729" t="s">
        <v>2019</v>
      </c>
      <c r="C44" s="730" t="s">
        <v>43</v>
      </c>
      <c r="D44" s="731">
        <f>SUM(D45:D53)</f>
        <v>5787.4000000000005</v>
      </c>
      <c r="E44" s="736"/>
      <c r="F44" s="736"/>
      <c r="G44" s="749">
        <f>SUM(G45:G89)</f>
        <v>865766</v>
      </c>
      <c r="H44" s="749">
        <f>SUM(H45:H89)</f>
        <v>1435496.8140000002</v>
      </c>
      <c r="I44" s="732">
        <f>SUM(G44:H44)</f>
        <v>2301262.8140000002</v>
      </c>
    </row>
    <row r="45" spans="1:9" hidden="1" outlineLevel="1" x14ac:dyDescent="0.25">
      <c r="A45" s="733" t="s">
        <v>1366</v>
      </c>
      <c r="B45" s="739" t="s">
        <v>2020</v>
      </c>
      <c r="C45" s="735" t="s">
        <v>43</v>
      </c>
      <c r="D45" s="736">
        <v>591</v>
      </c>
      <c r="E45" s="480">
        <v>120</v>
      </c>
      <c r="F45" s="480">
        <v>95.79</v>
      </c>
      <c r="G45" s="736">
        <f t="shared" ref="G45:G89" si="10">PRODUCT(E45,D45)</f>
        <v>70920</v>
      </c>
      <c r="H45" s="736">
        <f t="shared" ref="H45:H89" si="11">PRODUCT(F45,D45)</f>
        <v>56611.890000000007</v>
      </c>
      <c r="I45" s="736">
        <f t="shared" ref="I45:I89" si="12">SUM(G45:H45)</f>
        <v>127531.89000000001</v>
      </c>
    </row>
    <row r="46" spans="1:9" hidden="1" outlineLevel="1" x14ac:dyDescent="0.25">
      <c r="A46" s="733" t="s">
        <v>1925</v>
      </c>
      <c r="B46" s="739" t="s">
        <v>2021</v>
      </c>
      <c r="C46" s="735" t="s">
        <v>43</v>
      </c>
      <c r="D46" s="736">
        <v>1407.2</v>
      </c>
      <c r="E46" s="480">
        <v>120</v>
      </c>
      <c r="F46" s="480">
        <v>119.7</v>
      </c>
      <c r="G46" s="736">
        <f t="shared" si="10"/>
        <v>168864</v>
      </c>
      <c r="H46" s="736">
        <f t="shared" si="11"/>
        <v>168441.84</v>
      </c>
      <c r="I46" s="736">
        <f t="shared" si="12"/>
        <v>337305.83999999997</v>
      </c>
    </row>
    <row r="47" spans="1:9" hidden="1" outlineLevel="1" x14ac:dyDescent="0.25">
      <c r="A47" s="733" t="s">
        <v>1926</v>
      </c>
      <c r="B47" s="739" t="s">
        <v>2022</v>
      </c>
      <c r="C47" s="735" t="s">
        <v>43</v>
      </c>
      <c r="D47" s="736">
        <v>2584.1</v>
      </c>
      <c r="E47" s="480">
        <v>120</v>
      </c>
      <c r="F47" s="480">
        <v>169.5</v>
      </c>
      <c r="G47" s="736">
        <f t="shared" si="10"/>
        <v>310092</v>
      </c>
      <c r="H47" s="736">
        <f t="shared" si="11"/>
        <v>438004.95</v>
      </c>
      <c r="I47" s="736">
        <f t="shared" si="12"/>
        <v>748096.95</v>
      </c>
    </row>
    <row r="48" spans="1:9" hidden="1" outlineLevel="1" x14ac:dyDescent="0.25">
      <c r="A48" s="733" t="s">
        <v>1927</v>
      </c>
      <c r="B48" s="739" t="s">
        <v>2023</v>
      </c>
      <c r="C48" s="735" t="s">
        <v>43</v>
      </c>
      <c r="D48" s="736">
        <v>128</v>
      </c>
      <c r="E48" s="480">
        <v>150</v>
      </c>
      <c r="F48" s="480">
        <v>219.59</v>
      </c>
      <c r="G48" s="736">
        <f t="shared" si="10"/>
        <v>19200</v>
      </c>
      <c r="H48" s="736">
        <f t="shared" si="11"/>
        <v>28107.52</v>
      </c>
      <c r="I48" s="736">
        <f t="shared" si="12"/>
        <v>47307.520000000004</v>
      </c>
    </row>
    <row r="49" spans="1:9" hidden="1" outlineLevel="1" x14ac:dyDescent="0.25">
      <c r="A49" s="733" t="s">
        <v>2024</v>
      </c>
      <c r="B49" s="739" t="s">
        <v>2025</v>
      </c>
      <c r="C49" s="735" t="s">
        <v>43</v>
      </c>
      <c r="D49" s="736">
        <v>37</v>
      </c>
      <c r="E49" s="480">
        <v>200</v>
      </c>
      <c r="F49" s="480">
        <v>270.26</v>
      </c>
      <c r="G49" s="736">
        <f t="shared" si="10"/>
        <v>7400</v>
      </c>
      <c r="H49" s="736">
        <f t="shared" si="11"/>
        <v>9999.619999999999</v>
      </c>
      <c r="I49" s="736">
        <f t="shared" si="12"/>
        <v>17399.62</v>
      </c>
    </row>
    <row r="50" spans="1:9" hidden="1" outlineLevel="1" x14ac:dyDescent="0.25">
      <c r="A50" s="733" t="s">
        <v>2026</v>
      </c>
      <c r="B50" s="739" t="s">
        <v>2027</v>
      </c>
      <c r="C50" s="735" t="s">
        <v>43</v>
      </c>
      <c r="D50" s="736">
        <v>408</v>
      </c>
      <c r="E50" s="480">
        <v>250</v>
      </c>
      <c r="F50" s="480">
        <v>318.95</v>
      </c>
      <c r="G50" s="736">
        <f t="shared" si="10"/>
        <v>102000</v>
      </c>
      <c r="H50" s="736">
        <f t="shared" si="11"/>
        <v>130131.59999999999</v>
      </c>
      <c r="I50" s="736">
        <f t="shared" si="12"/>
        <v>232131.59999999998</v>
      </c>
    </row>
    <row r="51" spans="1:9" hidden="1" outlineLevel="1" x14ac:dyDescent="0.25">
      <c r="A51" s="733" t="s">
        <v>2028</v>
      </c>
      <c r="B51" s="739" t="s">
        <v>2029</v>
      </c>
      <c r="C51" s="735" t="s">
        <v>43</v>
      </c>
      <c r="D51" s="736">
        <v>503</v>
      </c>
      <c r="E51" s="480">
        <v>250</v>
      </c>
      <c r="F51" s="480">
        <v>432.13</v>
      </c>
      <c r="G51" s="736">
        <f t="shared" si="10"/>
        <v>125750</v>
      </c>
      <c r="H51" s="736">
        <f t="shared" si="11"/>
        <v>217361.38999999998</v>
      </c>
      <c r="I51" s="736">
        <f t="shared" si="12"/>
        <v>343111.39</v>
      </c>
    </row>
    <row r="52" spans="1:9" hidden="1" outlineLevel="1" x14ac:dyDescent="0.25">
      <c r="A52" s="733" t="s">
        <v>2030</v>
      </c>
      <c r="B52" s="739" t="s">
        <v>2031</v>
      </c>
      <c r="C52" s="735" t="s">
        <v>43</v>
      </c>
      <c r="D52" s="736">
        <v>82.1</v>
      </c>
      <c r="E52" s="480">
        <v>300</v>
      </c>
      <c r="F52" s="480">
        <v>509.14</v>
      </c>
      <c r="G52" s="736">
        <f t="shared" si="10"/>
        <v>24630</v>
      </c>
      <c r="H52" s="736">
        <f t="shared" si="11"/>
        <v>41800.393999999993</v>
      </c>
      <c r="I52" s="736">
        <f t="shared" si="12"/>
        <v>66430.394</v>
      </c>
    </row>
    <row r="53" spans="1:9" hidden="1" outlineLevel="1" x14ac:dyDescent="0.25">
      <c r="A53" s="733" t="s">
        <v>2032</v>
      </c>
      <c r="B53" s="739" t="s">
        <v>2033</v>
      </c>
      <c r="C53" s="735" t="s">
        <v>43</v>
      </c>
      <c r="D53" s="736">
        <v>47</v>
      </c>
      <c r="E53" s="480">
        <v>350</v>
      </c>
      <c r="F53" s="480">
        <v>622.75</v>
      </c>
      <c r="G53" s="736">
        <f t="shared" si="10"/>
        <v>16450</v>
      </c>
      <c r="H53" s="736">
        <f t="shared" si="11"/>
        <v>29269.25</v>
      </c>
      <c r="I53" s="736">
        <f t="shared" si="12"/>
        <v>45719.25</v>
      </c>
    </row>
    <row r="54" spans="1:9" hidden="1" outlineLevel="1" x14ac:dyDescent="0.25">
      <c r="A54" s="733" t="s">
        <v>2034</v>
      </c>
      <c r="B54" s="738" t="s">
        <v>2035</v>
      </c>
      <c r="C54" s="735" t="s">
        <v>43</v>
      </c>
      <c r="D54" s="735">
        <v>1</v>
      </c>
      <c r="E54" s="736">
        <v>60</v>
      </c>
      <c r="F54" s="736">
        <v>987.36</v>
      </c>
      <c r="G54" s="736">
        <f t="shared" si="10"/>
        <v>60</v>
      </c>
      <c r="H54" s="736">
        <f t="shared" si="11"/>
        <v>987.36</v>
      </c>
      <c r="I54" s="736">
        <f t="shared" si="12"/>
        <v>1047.3600000000001</v>
      </c>
    </row>
    <row r="55" spans="1:9" hidden="1" outlineLevel="1" x14ac:dyDescent="0.25">
      <c r="A55" s="733" t="s">
        <v>2036</v>
      </c>
      <c r="B55" s="738" t="s">
        <v>2037</v>
      </c>
      <c r="C55" s="735" t="s">
        <v>43</v>
      </c>
      <c r="D55" s="735">
        <v>340</v>
      </c>
      <c r="E55" s="736">
        <v>60</v>
      </c>
      <c r="F55" s="480">
        <v>318.95</v>
      </c>
      <c r="G55" s="736">
        <f t="shared" si="10"/>
        <v>20400</v>
      </c>
      <c r="H55" s="736">
        <f t="shared" si="11"/>
        <v>108443</v>
      </c>
      <c r="I55" s="736">
        <f t="shared" si="12"/>
        <v>128843</v>
      </c>
    </row>
    <row r="56" spans="1:9" hidden="1" outlineLevel="1" x14ac:dyDescent="0.25">
      <c r="A56" s="733" t="s">
        <v>2038</v>
      </c>
      <c r="B56" s="738" t="s">
        <v>2039</v>
      </c>
      <c r="C56" s="735" t="s">
        <v>44</v>
      </c>
      <c r="D56" s="736">
        <v>15</v>
      </c>
      <c r="E56" s="736">
        <v>0</v>
      </c>
      <c r="F56" s="736">
        <v>96</v>
      </c>
      <c r="G56" s="736">
        <f t="shared" si="10"/>
        <v>0</v>
      </c>
      <c r="H56" s="736">
        <f t="shared" si="11"/>
        <v>1440</v>
      </c>
      <c r="I56" s="736">
        <f t="shared" si="12"/>
        <v>1440</v>
      </c>
    </row>
    <row r="57" spans="1:9" hidden="1" outlineLevel="1" x14ac:dyDescent="0.25">
      <c r="A57" s="733" t="s">
        <v>2040</v>
      </c>
      <c r="B57" s="738" t="s">
        <v>2041</v>
      </c>
      <c r="C57" s="735" t="s">
        <v>44</v>
      </c>
      <c r="D57" s="736">
        <v>8</v>
      </c>
      <c r="E57" s="736">
        <v>0</v>
      </c>
      <c r="F57" s="736">
        <v>101</v>
      </c>
      <c r="G57" s="736">
        <f t="shared" si="10"/>
        <v>0</v>
      </c>
      <c r="H57" s="736">
        <f t="shared" si="11"/>
        <v>808</v>
      </c>
      <c r="I57" s="736">
        <f t="shared" si="12"/>
        <v>808</v>
      </c>
    </row>
    <row r="58" spans="1:9" hidden="1" outlineLevel="1" x14ac:dyDescent="0.25">
      <c r="A58" s="733" t="s">
        <v>2042</v>
      </c>
      <c r="B58" s="738" t="s">
        <v>2043</v>
      </c>
      <c r="C58" s="735" t="s">
        <v>44</v>
      </c>
      <c r="D58" s="736">
        <v>38</v>
      </c>
      <c r="E58" s="736">
        <v>0</v>
      </c>
      <c r="F58" s="736">
        <v>84</v>
      </c>
      <c r="G58" s="736">
        <f t="shared" si="10"/>
        <v>0</v>
      </c>
      <c r="H58" s="736">
        <f t="shared" si="11"/>
        <v>3192</v>
      </c>
      <c r="I58" s="736">
        <f t="shared" si="12"/>
        <v>3192</v>
      </c>
    </row>
    <row r="59" spans="1:9" hidden="1" outlineLevel="1" x14ac:dyDescent="0.25">
      <c r="A59" s="733" t="s">
        <v>2044</v>
      </c>
      <c r="B59" s="738" t="s">
        <v>2045</v>
      </c>
      <c r="C59" s="735" t="s">
        <v>44</v>
      </c>
      <c r="D59" s="736">
        <v>4</v>
      </c>
      <c r="E59" s="736">
        <v>0</v>
      </c>
      <c r="F59" s="736">
        <v>98.73</v>
      </c>
      <c r="G59" s="736">
        <f t="shared" si="10"/>
        <v>0</v>
      </c>
      <c r="H59" s="736">
        <f t="shared" si="11"/>
        <v>394.92</v>
      </c>
      <c r="I59" s="736">
        <f t="shared" si="12"/>
        <v>394.92</v>
      </c>
    </row>
    <row r="60" spans="1:9" hidden="1" outlineLevel="1" x14ac:dyDescent="0.25">
      <c r="A60" s="733" t="s">
        <v>2046</v>
      </c>
      <c r="B60" s="738" t="s">
        <v>2047</v>
      </c>
      <c r="C60" s="735" t="s">
        <v>44</v>
      </c>
      <c r="D60" s="736">
        <v>54</v>
      </c>
      <c r="E60" s="736">
        <v>0</v>
      </c>
      <c r="F60" s="736">
        <v>234</v>
      </c>
      <c r="G60" s="736">
        <f t="shared" si="10"/>
        <v>0</v>
      </c>
      <c r="H60" s="736">
        <f t="shared" si="11"/>
        <v>12636</v>
      </c>
      <c r="I60" s="736">
        <f t="shared" si="12"/>
        <v>12636</v>
      </c>
    </row>
    <row r="61" spans="1:9" hidden="1" outlineLevel="1" x14ac:dyDescent="0.25">
      <c r="A61" s="733" t="s">
        <v>2048</v>
      </c>
      <c r="B61" s="738" t="s">
        <v>2049</v>
      </c>
      <c r="C61" s="735" t="s">
        <v>44</v>
      </c>
      <c r="D61" s="736">
        <v>4</v>
      </c>
      <c r="E61" s="736">
        <v>0</v>
      </c>
      <c r="F61" s="480">
        <v>187.96</v>
      </c>
      <c r="G61" s="736">
        <f t="shared" si="10"/>
        <v>0</v>
      </c>
      <c r="H61" s="736">
        <f t="shared" si="11"/>
        <v>751.84</v>
      </c>
      <c r="I61" s="736">
        <f t="shared" si="12"/>
        <v>751.84</v>
      </c>
    </row>
    <row r="62" spans="1:9" hidden="1" outlineLevel="1" x14ac:dyDescent="0.25">
      <c r="A62" s="733" t="s">
        <v>2050</v>
      </c>
      <c r="B62" s="738" t="s">
        <v>2051</v>
      </c>
      <c r="C62" s="735" t="s">
        <v>44</v>
      </c>
      <c r="D62" s="736">
        <v>33</v>
      </c>
      <c r="E62" s="736">
        <v>0</v>
      </c>
      <c r="F62" s="736">
        <v>298</v>
      </c>
      <c r="G62" s="736">
        <f t="shared" si="10"/>
        <v>0</v>
      </c>
      <c r="H62" s="736">
        <f t="shared" si="11"/>
        <v>9834</v>
      </c>
      <c r="I62" s="736">
        <f t="shared" si="12"/>
        <v>9834</v>
      </c>
    </row>
    <row r="63" spans="1:9" hidden="1" outlineLevel="1" x14ac:dyDescent="0.25">
      <c r="A63" s="733" t="s">
        <v>2052</v>
      </c>
      <c r="B63" s="738" t="s">
        <v>2053</v>
      </c>
      <c r="C63" s="735" t="s">
        <v>44</v>
      </c>
      <c r="D63" s="736">
        <v>14</v>
      </c>
      <c r="E63" s="736">
        <v>0</v>
      </c>
      <c r="F63" s="736">
        <v>409.5</v>
      </c>
      <c r="G63" s="736">
        <f t="shared" si="10"/>
        <v>0</v>
      </c>
      <c r="H63" s="736">
        <f t="shared" si="11"/>
        <v>5733</v>
      </c>
      <c r="I63" s="736">
        <f t="shared" si="12"/>
        <v>5733</v>
      </c>
    </row>
    <row r="64" spans="1:9" hidden="1" outlineLevel="1" x14ac:dyDescent="0.25">
      <c r="A64" s="733" t="s">
        <v>2054</v>
      </c>
      <c r="B64" s="738" t="s">
        <v>2055</v>
      </c>
      <c r="C64" s="735" t="s">
        <v>44</v>
      </c>
      <c r="D64" s="736">
        <v>6</v>
      </c>
      <c r="E64" s="736">
        <v>0</v>
      </c>
      <c r="F64" s="736">
        <v>28.98</v>
      </c>
      <c r="G64" s="736">
        <f t="shared" si="10"/>
        <v>0</v>
      </c>
      <c r="H64" s="736">
        <f t="shared" si="11"/>
        <v>173.88</v>
      </c>
      <c r="I64" s="736">
        <f t="shared" si="12"/>
        <v>173.88</v>
      </c>
    </row>
    <row r="65" spans="1:9" hidden="1" outlineLevel="1" x14ac:dyDescent="0.25">
      <c r="A65" s="733" t="s">
        <v>2056</v>
      </c>
      <c r="B65" s="738" t="s">
        <v>2057</v>
      </c>
      <c r="C65" s="735" t="s">
        <v>96</v>
      </c>
      <c r="D65" s="736">
        <v>2</v>
      </c>
      <c r="E65" s="736">
        <v>0</v>
      </c>
      <c r="F65" s="736">
        <v>42</v>
      </c>
      <c r="G65" s="736">
        <f t="shared" si="10"/>
        <v>0</v>
      </c>
      <c r="H65" s="736">
        <f t="shared" si="11"/>
        <v>84</v>
      </c>
      <c r="I65" s="736">
        <f t="shared" si="12"/>
        <v>84</v>
      </c>
    </row>
    <row r="66" spans="1:9" hidden="1" outlineLevel="1" x14ac:dyDescent="0.25">
      <c r="A66" s="733" t="s">
        <v>2058</v>
      </c>
      <c r="B66" s="738" t="s">
        <v>2059</v>
      </c>
      <c r="C66" s="735" t="s">
        <v>96</v>
      </c>
      <c r="D66" s="736">
        <v>4</v>
      </c>
      <c r="E66" s="736">
        <v>0</v>
      </c>
      <c r="F66" s="736">
        <v>38</v>
      </c>
      <c r="G66" s="736">
        <f t="shared" si="10"/>
        <v>0</v>
      </c>
      <c r="H66" s="736">
        <f t="shared" si="11"/>
        <v>152</v>
      </c>
      <c r="I66" s="736">
        <f t="shared" si="12"/>
        <v>152</v>
      </c>
    </row>
    <row r="67" spans="1:9" hidden="1" outlineLevel="1" x14ac:dyDescent="0.25">
      <c r="A67" s="733" t="s">
        <v>2060</v>
      </c>
      <c r="B67" s="738" t="s">
        <v>2061</v>
      </c>
      <c r="C67" s="735" t="s">
        <v>44</v>
      </c>
      <c r="D67" s="736">
        <v>10</v>
      </c>
      <c r="E67" s="736">
        <v>0</v>
      </c>
      <c r="F67" s="736">
        <v>56</v>
      </c>
      <c r="G67" s="736">
        <f t="shared" si="10"/>
        <v>0</v>
      </c>
      <c r="H67" s="736">
        <f t="shared" si="11"/>
        <v>560</v>
      </c>
      <c r="I67" s="736">
        <f t="shared" si="12"/>
        <v>560</v>
      </c>
    </row>
    <row r="68" spans="1:9" hidden="1" outlineLevel="1" x14ac:dyDescent="0.25">
      <c r="A68" s="733" t="s">
        <v>2062</v>
      </c>
      <c r="B68" s="738" t="s">
        <v>2063</v>
      </c>
      <c r="C68" s="735" t="s">
        <v>44</v>
      </c>
      <c r="D68" s="736">
        <v>13</v>
      </c>
      <c r="E68" s="736">
        <v>0</v>
      </c>
      <c r="F68" s="736">
        <v>99</v>
      </c>
      <c r="G68" s="736">
        <f t="shared" si="10"/>
        <v>0</v>
      </c>
      <c r="H68" s="736">
        <f t="shared" si="11"/>
        <v>1287</v>
      </c>
      <c r="I68" s="736">
        <f t="shared" si="12"/>
        <v>1287</v>
      </c>
    </row>
    <row r="69" spans="1:9" hidden="1" outlineLevel="1" x14ac:dyDescent="0.25">
      <c r="A69" s="733" t="s">
        <v>2064</v>
      </c>
      <c r="B69" s="738" t="s">
        <v>2065</v>
      </c>
      <c r="C69" s="735" t="s">
        <v>44</v>
      </c>
      <c r="D69" s="736">
        <v>4</v>
      </c>
      <c r="E69" s="736">
        <v>0</v>
      </c>
      <c r="F69" s="736">
        <v>202</v>
      </c>
      <c r="G69" s="736">
        <f t="shared" si="10"/>
        <v>0</v>
      </c>
      <c r="H69" s="736">
        <f t="shared" si="11"/>
        <v>808</v>
      </c>
      <c r="I69" s="736">
        <f t="shared" si="12"/>
        <v>808</v>
      </c>
    </row>
    <row r="70" spans="1:9" hidden="1" outlineLevel="1" x14ac:dyDescent="0.25">
      <c r="A70" s="733" t="s">
        <v>2066</v>
      </c>
      <c r="B70" s="738" t="s">
        <v>2067</v>
      </c>
      <c r="C70" s="735" t="s">
        <v>44</v>
      </c>
      <c r="D70" s="736">
        <v>6</v>
      </c>
      <c r="E70" s="736">
        <v>0</v>
      </c>
      <c r="F70" s="736">
        <v>138</v>
      </c>
      <c r="G70" s="736">
        <f t="shared" si="10"/>
        <v>0</v>
      </c>
      <c r="H70" s="736">
        <f t="shared" si="11"/>
        <v>828</v>
      </c>
      <c r="I70" s="736">
        <f t="shared" si="12"/>
        <v>828</v>
      </c>
    </row>
    <row r="71" spans="1:9" hidden="1" outlineLevel="1" x14ac:dyDescent="0.25">
      <c r="A71" s="733" t="s">
        <v>2068</v>
      </c>
      <c r="B71" s="738" t="s">
        <v>2069</v>
      </c>
      <c r="C71" s="735" t="s">
        <v>44</v>
      </c>
      <c r="D71" s="736">
        <v>2</v>
      </c>
      <c r="E71" s="736">
        <v>0</v>
      </c>
      <c r="F71" s="736">
        <v>295</v>
      </c>
      <c r="G71" s="736">
        <f t="shared" si="10"/>
        <v>0</v>
      </c>
      <c r="H71" s="736">
        <f t="shared" si="11"/>
        <v>590</v>
      </c>
      <c r="I71" s="736">
        <f t="shared" si="12"/>
        <v>590</v>
      </c>
    </row>
    <row r="72" spans="1:9" hidden="1" outlineLevel="1" x14ac:dyDescent="0.25">
      <c r="A72" s="733" t="s">
        <v>2070</v>
      </c>
      <c r="B72" s="738" t="s">
        <v>2071</v>
      </c>
      <c r="C72" s="735" t="s">
        <v>44</v>
      </c>
      <c r="D72" s="736">
        <v>1</v>
      </c>
      <c r="E72" s="736">
        <v>0</v>
      </c>
      <c r="F72" s="736">
        <v>148</v>
      </c>
      <c r="G72" s="736">
        <f t="shared" si="10"/>
        <v>0</v>
      </c>
      <c r="H72" s="736">
        <f t="shared" si="11"/>
        <v>148</v>
      </c>
      <c r="I72" s="736">
        <f t="shared" si="12"/>
        <v>148</v>
      </c>
    </row>
    <row r="73" spans="1:9" hidden="1" outlineLevel="1" x14ac:dyDescent="0.25">
      <c r="A73" s="733" t="s">
        <v>2072</v>
      </c>
      <c r="B73" s="738" t="s">
        <v>1981</v>
      </c>
      <c r="C73" s="735" t="s">
        <v>44</v>
      </c>
      <c r="D73" s="736">
        <v>1</v>
      </c>
      <c r="E73" s="736">
        <v>0</v>
      </c>
      <c r="F73" s="736">
        <v>181</v>
      </c>
      <c r="G73" s="736">
        <f t="shared" si="10"/>
        <v>0</v>
      </c>
      <c r="H73" s="736">
        <f t="shared" si="11"/>
        <v>181</v>
      </c>
      <c r="I73" s="736">
        <f t="shared" si="12"/>
        <v>181</v>
      </c>
    </row>
    <row r="74" spans="1:9" hidden="1" outlineLevel="1" x14ac:dyDescent="0.25">
      <c r="A74" s="733" t="s">
        <v>2073</v>
      </c>
      <c r="B74" s="738" t="s">
        <v>2074</v>
      </c>
      <c r="C74" s="735" t="s">
        <v>44</v>
      </c>
      <c r="D74" s="736">
        <v>7</v>
      </c>
      <c r="E74" s="736">
        <v>0</v>
      </c>
      <c r="F74" s="736">
        <v>315</v>
      </c>
      <c r="G74" s="736">
        <f t="shared" si="10"/>
        <v>0</v>
      </c>
      <c r="H74" s="736">
        <f t="shared" si="11"/>
        <v>2205</v>
      </c>
      <c r="I74" s="736">
        <f t="shared" si="12"/>
        <v>2205</v>
      </c>
    </row>
    <row r="75" spans="1:9" hidden="1" outlineLevel="1" x14ac:dyDescent="0.25">
      <c r="A75" s="733" t="s">
        <v>2075</v>
      </c>
      <c r="B75" s="738" t="s">
        <v>2076</v>
      </c>
      <c r="C75" s="735" t="s">
        <v>44</v>
      </c>
      <c r="D75" s="736">
        <v>5</v>
      </c>
      <c r="E75" s="736">
        <v>0</v>
      </c>
      <c r="F75" s="736">
        <v>420</v>
      </c>
      <c r="G75" s="736">
        <f t="shared" si="10"/>
        <v>0</v>
      </c>
      <c r="H75" s="736">
        <f t="shared" si="11"/>
        <v>2100</v>
      </c>
      <c r="I75" s="736">
        <f t="shared" si="12"/>
        <v>2100</v>
      </c>
    </row>
    <row r="76" spans="1:9" hidden="1" outlineLevel="1" x14ac:dyDescent="0.25">
      <c r="A76" s="733" t="s">
        <v>2077</v>
      </c>
      <c r="B76" s="738" t="s">
        <v>2078</v>
      </c>
      <c r="C76" s="735" t="s">
        <v>44</v>
      </c>
      <c r="D76" s="736">
        <v>6</v>
      </c>
      <c r="E76" s="736">
        <v>0</v>
      </c>
      <c r="F76" s="736">
        <v>591.46</v>
      </c>
      <c r="G76" s="736">
        <f t="shared" si="10"/>
        <v>0</v>
      </c>
      <c r="H76" s="736">
        <f t="shared" si="11"/>
        <v>3548.76</v>
      </c>
      <c r="I76" s="736">
        <f t="shared" si="12"/>
        <v>3548.76</v>
      </c>
    </row>
    <row r="77" spans="1:9" hidden="1" outlineLevel="1" x14ac:dyDescent="0.25">
      <c r="A77" s="733" t="s">
        <v>2079</v>
      </c>
      <c r="B77" s="737" t="s">
        <v>2080</v>
      </c>
      <c r="C77" s="740" t="s">
        <v>96</v>
      </c>
      <c r="D77" s="740">
        <v>2688</v>
      </c>
      <c r="E77" s="736">
        <v>0</v>
      </c>
      <c r="F77" s="736">
        <v>15</v>
      </c>
      <c r="G77" s="736">
        <f t="shared" si="10"/>
        <v>0</v>
      </c>
      <c r="H77" s="736">
        <f t="shared" si="11"/>
        <v>40320</v>
      </c>
      <c r="I77" s="736">
        <f t="shared" si="12"/>
        <v>40320</v>
      </c>
    </row>
    <row r="78" spans="1:9" hidden="1" outlineLevel="1" x14ac:dyDescent="0.25">
      <c r="A78" s="733" t="s">
        <v>2081</v>
      </c>
      <c r="B78" s="737" t="s">
        <v>2082</v>
      </c>
      <c r="C78" s="735" t="s">
        <v>96</v>
      </c>
      <c r="D78" s="735">
        <v>196</v>
      </c>
      <c r="E78" s="736">
        <v>0</v>
      </c>
      <c r="F78" s="736">
        <v>19</v>
      </c>
      <c r="G78" s="736">
        <f t="shared" si="10"/>
        <v>0</v>
      </c>
      <c r="H78" s="736">
        <f t="shared" si="11"/>
        <v>3724</v>
      </c>
      <c r="I78" s="736">
        <f t="shared" si="12"/>
        <v>3724</v>
      </c>
    </row>
    <row r="79" spans="1:9" hidden="1" outlineLevel="1" x14ac:dyDescent="0.25">
      <c r="A79" s="733" t="s">
        <v>2083</v>
      </c>
      <c r="B79" s="737" t="s">
        <v>2084</v>
      </c>
      <c r="C79" s="735" t="s">
        <v>96</v>
      </c>
      <c r="D79" s="735">
        <v>148</v>
      </c>
      <c r="E79" s="736">
        <v>0</v>
      </c>
      <c r="F79" s="736">
        <v>30</v>
      </c>
      <c r="G79" s="736">
        <f t="shared" si="10"/>
        <v>0</v>
      </c>
      <c r="H79" s="736">
        <f t="shared" si="11"/>
        <v>4440</v>
      </c>
      <c r="I79" s="736">
        <f t="shared" si="12"/>
        <v>4440</v>
      </c>
    </row>
    <row r="80" spans="1:9" hidden="1" outlineLevel="1" x14ac:dyDescent="0.25">
      <c r="A80" s="733" t="s">
        <v>2085</v>
      </c>
      <c r="B80" s="737" t="s">
        <v>2086</v>
      </c>
      <c r="C80" s="735" t="s">
        <v>96</v>
      </c>
      <c r="D80" s="735">
        <v>4</v>
      </c>
      <c r="E80" s="736">
        <v>0</v>
      </c>
      <c r="F80" s="736">
        <v>35</v>
      </c>
      <c r="G80" s="736">
        <f t="shared" si="10"/>
        <v>0</v>
      </c>
      <c r="H80" s="736">
        <f t="shared" si="11"/>
        <v>140</v>
      </c>
      <c r="I80" s="736">
        <f t="shared" si="12"/>
        <v>140</v>
      </c>
    </row>
    <row r="81" spans="1:9" hidden="1" outlineLevel="1" x14ac:dyDescent="0.25">
      <c r="A81" s="733" t="s">
        <v>2087</v>
      </c>
      <c r="B81" s="737" t="s">
        <v>1980</v>
      </c>
      <c r="C81" s="735" t="s">
        <v>96</v>
      </c>
      <c r="D81" s="735">
        <v>8</v>
      </c>
      <c r="E81" s="736">
        <v>0</v>
      </c>
      <c r="F81" s="736">
        <v>42</v>
      </c>
      <c r="G81" s="736">
        <f t="shared" si="10"/>
        <v>0</v>
      </c>
      <c r="H81" s="736">
        <f t="shared" si="11"/>
        <v>336</v>
      </c>
      <c r="I81" s="736">
        <f t="shared" si="12"/>
        <v>336</v>
      </c>
    </row>
    <row r="82" spans="1:9" ht="26.3" hidden="1" outlineLevel="1" x14ac:dyDescent="0.25">
      <c r="A82" s="733" t="s">
        <v>2088</v>
      </c>
      <c r="B82" s="738" t="s">
        <v>2089</v>
      </c>
      <c r="C82" s="735" t="s">
        <v>44</v>
      </c>
      <c r="D82" s="735">
        <v>2</v>
      </c>
      <c r="E82" s="736">
        <v>0</v>
      </c>
      <c r="F82" s="736">
        <v>11880</v>
      </c>
      <c r="G82" s="736">
        <f t="shared" si="10"/>
        <v>0</v>
      </c>
      <c r="H82" s="736">
        <f t="shared" si="11"/>
        <v>23760</v>
      </c>
      <c r="I82" s="736">
        <f t="shared" si="12"/>
        <v>23760</v>
      </c>
    </row>
    <row r="83" spans="1:9" hidden="1" outlineLevel="1" x14ac:dyDescent="0.25">
      <c r="A83" s="733" t="s">
        <v>2090</v>
      </c>
      <c r="B83" s="738" t="s">
        <v>2091</v>
      </c>
      <c r="C83" s="735" t="s">
        <v>44</v>
      </c>
      <c r="D83" s="735">
        <v>1</v>
      </c>
      <c r="E83" s="736">
        <v>0</v>
      </c>
      <c r="F83" s="736">
        <v>23</v>
      </c>
      <c r="G83" s="736">
        <f t="shared" si="10"/>
        <v>0</v>
      </c>
      <c r="H83" s="736">
        <f t="shared" si="11"/>
        <v>23</v>
      </c>
      <c r="I83" s="736">
        <f t="shared" si="12"/>
        <v>23</v>
      </c>
    </row>
    <row r="84" spans="1:9" hidden="1" outlineLevel="1" x14ac:dyDescent="0.25">
      <c r="A84" s="733" t="s">
        <v>2092</v>
      </c>
      <c r="B84" s="745" t="s">
        <v>2093</v>
      </c>
      <c r="C84" s="735" t="s">
        <v>44</v>
      </c>
      <c r="D84" s="735">
        <v>320</v>
      </c>
      <c r="E84" s="736">
        <v>0</v>
      </c>
      <c r="F84" s="736">
        <v>128</v>
      </c>
      <c r="G84" s="736">
        <f t="shared" si="10"/>
        <v>0</v>
      </c>
      <c r="H84" s="736">
        <f t="shared" si="11"/>
        <v>40960</v>
      </c>
      <c r="I84" s="736">
        <f t="shared" si="12"/>
        <v>40960</v>
      </c>
    </row>
    <row r="85" spans="1:9" hidden="1" outlineLevel="1" x14ac:dyDescent="0.25">
      <c r="A85" s="733" t="s">
        <v>2094</v>
      </c>
      <c r="B85" s="745" t="s">
        <v>2095</v>
      </c>
      <c r="C85" s="735" t="s">
        <v>44</v>
      </c>
      <c r="D85" s="735">
        <v>640</v>
      </c>
      <c r="E85" s="736">
        <v>0</v>
      </c>
      <c r="F85" s="736">
        <v>2.9</v>
      </c>
      <c r="G85" s="736">
        <f t="shared" si="10"/>
        <v>0</v>
      </c>
      <c r="H85" s="736">
        <f t="shared" si="11"/>
        <v>1856</v>
      </c>
      <c r="I85" s="736">
        <f t="shared" si="12"/>
        <v>1856</v>
      </c>
    </row>
    <row r="86" spans="1:9" hidden="1" outlineLevel="1" x14ac:dyDescent="0.25">
      <c r="A86" s="733" t="s">
        <v>2096</v>
      </c>
      <c r="B86" s="745" t="s">
        <v>1888</v>
      </c>
      <c r="C86" s="735" t="s">
        <v>44</v>
      </c>
      <c r="D86" s="735">
        <v>320</v>
      </c>
      <c r="E86" s="736">
        <v>0</v>
      </c>
      <c r="F86" s="736">
        <v>60.23</v>
      </c>
      <c r="G86" s="736">
        <f t="shared" si="10"/>
        <v>0</v>
      </c>
      <c r="H86" s="736">
        <f t="shared" si="11"/>
        <v>19273.599999999999</v>
      </c>
      <c r="I86" s="736">
        <f t="shared" si="12"/>
        <v>19273.599999999999</v>
      </c>
    </row>
    <row r="87" spans="1:9" hidden="1" outlineLevel="1" x14ac:dyDescent="0.25">
      <c r="A87" s="733" t="s">
        <v>2097</v>
      </c>
      <c r="B87" s="745" t="s">
        <v>2098</v>
      </c>
      <c r="C87" s="735" t="s">
        <v>44</v>
      </c>
      <c r="D87" s="735">
        <v>10</v>
      </c>
      <c r="E87" s="736">
        <v>0</v>
      </c>
      <c r="F87" s="736">
        <v>506</v>
      </c>
      <c r="G87" s="736">
        <f t="shared" si="10"/>
        <v>0</v>
      </c>
      <c r="H87" s="736">
        <f t="shared" si="11"/>
        <v>5060</v>
      </c>
      <c r="I87" s="736">
        <f t="shared" si="12"/>
        <v>5060</v>
      </c>
    </row>
    <row r="88" spans="1:9" hidden="1" outlineLevel="1" x14ac:dyDescent="0.25">
      <c r="A88" s="733" t="s">
        <v>2099</v>
      </c>
      <c r="B88" s="753" t="s">
        <v>1319</v>
      </c>
      <c r="C88" s="733" t="s">
        <v>79</v>
      </c>
      <c r="D88" s="733">
        <v>150</v>
      </c>
      <c r="E88" s="736">
        <v>0</v>
      </c>
      <c r="F88" s="736">
        <v>113.4</v>
      </c>
      <c r="G88" s="736">
        <f t="shared" si="10"/>
        <v>0</v>
      </c>
      <c r="H88" s="736">
        <f t="shared" si="11"/>
        <v>17010</v>
      </c>
      <c r="I88" s="736">
        <f t="shared" si="12"/>
        <v>17010</v>
      </c>
    </row>
    <row r="89" spans="1:9" hidden="1" outlineLevel="1" x14ac:dyDescent="0.25">
      <c r="A89" s="733" t="s">
        <v>2100</v>
      </c>
      <c r="B89" s="753" t="s">
        <v>1321</v>
      </c>
      <c r="C89" s="733" t="s">
        <v>79</v>
      </c>
      <c r="D89" s="733">
        <v>3</v>
      </c>
      <c r="E89" s="736">
        <v>0</v>
      </c>
      <c r="F89" s="736">
        <v>660</v>
      </c>
      <c r="G89" s="736">
        <f t="shared" si="10"/>
        <v>0</v>
      </c>
      <c r="H89" s="736">
        <f t="shared" si="11"/>
        <v>1980</v>
      </c>
      <c r="I89" s="736">
        <f t="shared" si="12"/>
        <v>1980</v>
      </c>
    </row>
    <row r="90" spans="1:9" collapsed="1" x14ac:dyDescent="0.25">
      <c r="A90" s="728" t="s">
        <v>249</v>
      </c>
      <c r="B90" s="729" t="s">
        <v>2101</v>
      </c>
      <c r="C90" s="730" t="s">
        <v>43</v>
      </c>
      <c r="D90" s="730">
        <f>SUM(D91:D92)</f>
        <v>20</v>
      </c>
      <c r="E90" s="732"/>
      <c r="F90" s="732"/>
      <c r="G90" s="749">
        <f>SUM(G91:G92)</f>
        <v>3500</v>
      </c>
      <c r="H90" s="749">
        <f>SUM(H91:H92)</f>
        <v>990</v>
      </c>
      <c r="I90" s="732">
        <f>SUM(G90:H90)</f>
        <v>4490</v>
      </c>
    </row>
    <row r="91" spans="1:9" hidden="1" outlineLevel="1" x14ac:dyDescent="0.25">
      <c r="A91" s="733" t="s">
        <v>1369</v>
      </c>
      <c r="B91" s="739" t="s">
        <v>2102</v>
      </c>
      <c r="C91" s="735" t="s">
        <v>43</v>
      </c>
      <c r="D91" s="735">
        <v>10</v>
      </c>
      <c r="E91" s="480">
        <v>200</v>
      </c>
      <c r="F91" s="480">
        <v>70</v>
      </c>
      <c r="G91" s="736">
        <f>PRODUCT(E91,D91)</f>
        <v>2000</v>
      </c>
      <c r="H91" s="736">
        <f t="shared" ref="H91:H92" si="13">PRODUCT(F91,D91)</f>
        <v>700</v>
      </c>
      <c r="I91" s="736">
        <f>SUM(G91:H91)</f>
        <v>2700</v>
      </c>
    </row>
    <row r="92" spans="1:9" hidden="1" outlineLevel="1" x14ac:dyDescent="0.25">
      <c r="A92" s="733" t="s">
        <v>1930</v>
      </c>
      <c r="B92" s="739" t="s">
        <v>2103</v>
      </c>
      <c r="C92" s="735" t="s">
        <v>43</v>
      </c>
      <c r="D92" s="735">
        <v>10</v>
      </c>
      <c r="E92" s="480">
        <v>150</v>
      </c>
      <c r="F92" s="480">
        <v>29</v>
      </c>
      <c r="G92" s="736">
        <f t="shared" ref="G92" si="14">PRODUCT(E92,D92)</f>
        <v>1500</v>
      </c>
      <c r="H92" s="736">
        <f t="shared" si="13"/>
        <v>290</v>
      </c>
      <c r="I92" s="736">
        <f t="shared" ref="I92:I93" si="15">SUM(G92:H92)</f>
        <v>1790</v>
      </c>
    </row>
    <row r="93" spans="1:9" s="755" customFormat="1" collapsed="1" x14ac:dyDescent="0.25">
      <c r="A93" s="728" t="s">
        <v>849</v>
      </c>
      <c r="B93" s="754" t="s">
        <v>1322</v>
      </c>
      <c r="C93" s="730"/>
      <c r="D93" s="730"/>
      <c r="E93" s="732"/>
      <c r="F93" s="732"/>
      <c r="G93" s="732">
        <f>G94+G100+G106</f>
        <v>83400</v>
      </c>
      <c r="H93" s="732">
        <f>H94+H100+H106</f>
        <v>83665.702711864404</v>
      </c>
      <c r="I93" s="732">
        <f t="shared" si="15"/>
        <v>167065.7027118644</v>
      </c>
    </row>
    <row r="94" spans="1:9" hidden="1" outlineLevel="1" x14ac:dyDescent="0.25">
      <c r="A94" s="728" t="s">
        <v>1109</v>
      </c>
      <c r="B94" s="754" t="s">
        <v>2104</v>
      </c>
      <c r="C94" s="756" t="s">
        <v>44</v>
      </c>
      <c r="D94" s="756">
        <v>200</v>
      </c>
      <c r="E94" s="480">
        <v>0</v>
      </c>
      <c r="F94" s="480">
        <v>0</v>
      </c>
      <c r="G94" s="480">
        <v>0</v>
      </c>
      <c r="H94" s="480">
        <f>SUM(H95:H99)</f>
        <v>41224.16271186441</v>
      </c>
      <c r="I94" s="480">
        <f t="shared" ref="I94:I107" si="16">G94+H94</f>
        <v>41224.16271186441</v>
      </c>
    </row>
    <row r="95" spans="1:9" hidden="1" outlineLevel="1" x14ac:dyDescent="0.25">
      <c r="A95" s="733" t="s">
        <v>2105</v>
      </c>
      <c r="B95" s="738" t="s">
        <v>1309</v>
      </c>
      <c r="C95" s="735" t="s">
        <v>44</v>
      </c>
      <c r="D95" s="735">
        <v>400</v>
      </c>
      <c r="E95" s="736">
        <v>0</v>
      </c>
      <c r="F95" s="736">
        <v>14</v>
      </c>
      <c r="G95" s="736">
        <f>PRODUCT(E95,D95)</f>
        <v>0</v>
      </c>
      <c r="H95" s="736">
        <f>PRODUCT(F95,D95)</f>
        <v>5600</v>
      </c>
      <c r="I95" s="736">
        <f>SUM(G95:H95)</f>
        <v>5600</v>
      </c>
    </row>
    <row r="96" spans="1:9" hidden="1" outlineLevel="2" x14ac:dyDescent="0.25">
      <c r="A96" s="733" t="s">
        <v>2106</v>
      </c>
      <c r="B96" s="492" t="s">
        <v>1335</v>
      </c>
      <c r="C96" s="493" t="s">
        <v>96</v>
      </c>
      <c r="D96" s="502">
        <v>400</v>
      </c>
      <c r="E96" s="480">
        <v>0</v>
      </c>
      <c r="F96" s="502">
        <v>51.864406779661017</v>
      </c>
      <c r="G96" s="480">
        <f t="shared" ref="G96:G128" si="17">D96*E96</f>
        <v>0</v>
      </c>
      <c r="H96" s="480">
        <f t="shared" ref="H96:H105" si="18">D96*F96</f>
        <v>20745.762711864409</v>
      </c>
      <c r="I96" s="480">
        <f t="shared" si="16"/>
        <v>20745.762711864409</v>
      </c>
    </row>
    <row r="97" spans="1:9" hidden="1" outlineLevel="2" x14ac:dyDescent="0.25">
      <c r="A97" s="733" t="s">
        <v>2107</v>
      </c>
      <c r="B97" s="504" t="s">
        <v>681</v>
      </c>
      <c r="C97" s="493" t="s">
        <v>1110</v>
      </c>
      <c r="D97" s="505">
        <v>0.23200000000000001</v>
      </c>
      <c r="E97" s="480">
        <v>0</v>
      </c>
      <c r="F97" s="480">
        <v>40200</v>
      </c>
      <c r="G97" s="480">
        <f t="shared" si="17"/>
        <v>0</v>
      </c>
      <c r="H97" s="480">
        <f t="shared" si="18"/>
        <v>9326.4</v>
      </c>
      <c r="I97" s="480">
        <f t="shared" si="16"/>
        <v>9326.4</v>
      </c>
    </row>
    <row r="98" spans="1:9" hidden="1" outlineLevel="2" x14ac:dyDescent="0.25">
      <c r="A98" s="733" t="s">
        <v>2108</v>
      </c>
      <c r="B98" s="504" t="s">
        <v>1338</v>
      </c>
      <c r="C98" s="493" t="s">
        <v>96</v>
      </c>
      <c r="D98" s="505">
        <v>800</v>
      </c>
      <c r="E98" s="480">
        <v>0</v>
      </c>
      <c r="F98" s="480">
        <v>5.62</v>
      </c>
      <c r="G98" s="480">
        <f t="shared" si="17"/>
        <v>0</v>
      </c>
      <c r="H98" s="480">
        <f t="shared" si="18"/>
        <v>4496</v>
      </c>
      <c r="I98" s="480">
        <f t="shared" si="16"/>
        <v>4496</v>
      </c>
    </row>
    <row r="99" spans="1:9" hidden="1" outlineLevel="2" x14ac:dyDescent="0.25">
      <c r="A99" s="733" t="s">
        <v>2109</v>
      </c>
      <c r="B99" s="506" t="s">
        <v>1340</v>
      </c>
      <c r="C99" s="507" t="s">
        <v>96</v>
      </c>
      <c r="D99" s="507">
        <v>800</v>
      </c>
      <c r="E99" s="480">
        <v>0</v>
      </c>
      <c r="F99" s="508">
        <v>1.32</v>
      </c>
      <c r="G99" s="480">
        <f t="shared" si="17"/>
        <v>0</v>
      </c>
      <c r="H99" s="480">
        <f t="shared" si="18"/>
        <v>1056</v>
      </c>
      <c r="I99" s="480">
        <f t="shared" si="16"/>
        <v>1056</v>
      </c>
    </row>
    <row r="100" spans="1:9" s="755" customFormat="1" hidden="1" outlineLevel="1" x14ac:dyDescent="0.25">
      <c r="A100" s="728" t="s">
        <v>2110</v>
      </c>
      <c r="B100" s="500" t="s">
        <v>2111</v>
      </c>
      <c r="C100" s="757" t="s">
        <v>44</v>
      </c>
      <c r="D100" s="757">
        <v>65</v>
      </c>
      <c r="E100" s="480">
        <v>400</v>
      </c>
      <c r="F100" s="480">
        <v>0</v>
      </c>
      <c r="G100" s="480">
        <f t="shared" si="17"/>
        <v>26000</v>
      </c>
      <c r="H100" s="480">
        <f>SUM(H101:H105)</f>
        <v>25226.500000000004</v>
      </c>
      <c r="I100" s="480">
        <f t="shared" si="16"/>
        <v>51226.5</v>
      </c>
    </row>
    <row r="101" spans="1:9" hidden="1" outlineLevel="2" x14ac:dyDescent="0.25">
      <c r="A101" s="733" t="s">
        <v>2112</v>
      </c>
      <c r="B101" s="492" t="s">
        <v>1343</v>
      </c>
      <c r="C101" s="493" t="s">
        <v>281</v>
      </c>
      <c r="D101" s="757">
        <v>9</v>
      </c>
      <c r="E101" s="480">
        <v>0</v>
      </c>
      <c r="F101" s="480">
        <v>195.9</v>
      </c>
      <c r="G101" s="480">
        <f t="shared" si="17"/>
        <v>0</v>
      </c>
      <c r="H101" s="480">
        <f t="shared" si="18"/>
        <v>1763.1000000000001</v>
      </c>
      <c r="I101" s="480">
        <f t="shared" si="16"/>
        <v>1763.1000000000001</v>
      </c>
    </row>
    <row r="102" spans="1:9" hidden="1" outlineLevel="2" x14ac:dyDescent="0.25">
      <c r="A102" s="733" t="s">
        <v>2113</v>
      </c>
      <c r="B102" s="492" t="s">
        <v>1345</v>
      </c>
      <c r="C102" s="493" t="s">
        <v>281</v>
      </c>
      <c r="D102" s="757">
        <v>4</v>
      </c>
      <c r="E102" s="480">
        <v>0</v>
      </c>
      <c r="F102" s="480">
        <v>265.5</v>
      </c>
      <c r="G102" s="480">
        <f t="shared" si="17"/>
        <v>0</v>
      </c>
      <c r="H102" s="480">
        <f t="shared" si="18"/>
        <v>1062</v>
      </c>
      <c r="I102" s="480">
        <f t="shared" si="16"/>
        <v>1062</v>
      </c>
    </row>
    <row r="103" spans="1:9" hidden="1" outlineLevel="2" x14ac:dyDescent="0.25">
      <c r="A103" s="733" t="s">
        <v>2114</v>
      </c>
      <c r="B103" s="492" t="s">
        <v>1347</v>
      </c>
      <c r="C103" s="493" t="s">
        <v>1110</v>
      </c>
      <c r="D103" s="757">
        <v>0.28000000000000003</v>
      </c>
      <c r="E103" s="480">
        <v>0</v>
      </c>
      <c r="F103" s="480">
        <v>46000</v>
      </c>
      <c r="G103" s="480">
        <f t="shared" si="17"/>
        <v>0</v>
      </c>
      <c r="H103" s="480">
        <f t="shared" si="18"/>
        <v>12880.000000000002</v>
      </c>
      <c r="I103" s="480">
        <f t="shared" si="16"/>
        <v>12880.000000000002</v>
      </c>
    </row>
    <row r="104" spans="1:9" hidden="1" outlineLevel="2" x14ac:dyDescent="0.25">
      <c r="A104" s="733" t="s">
        <v>2115</v>
      </c>
      <c r="B104" s="492" t="s">
        <v>1349</v>
      </c>
      <c r="C104" s="493" t="s">
        <v>1110</v>
      </c>
      <c r="D104" s="757">
        <v>0.12</v>
      </c>
      <c r="E104" s="480">
        <v>0</v>
      </c>
      <c r="F104" s="480">
        <v>46000</v>
      </c>
      <c r="G104" s="480">
        <f t="shared" si="17"/>
        <v>0</v>
      </c>
      <c r="H104" s="480">
        <f t="shared" si="18"/>
        <v>5520</v>
      </c>
      <c r="I104" s="480">
        <f t="shared" si="16"/>
        <v>5520</v>
      </c>
    </row>
    <row r="105" spans="1:9" hidden="1" outlineLevel="2" x14ac:dyDescent="0.25">
      <c r="A105" s="733" t="s">
        <v>2116</v>
      </c>
      <c r="B105" s="492" t="s">
        <v>1351</v>
      </c>
      <c r="C105" s="493" t="s">
        <v>96</v>
      </c>
      <c r="D105" s="757">
        <v>260</v>
      </c>
      <c r="E105" s="480">
        <v>0</v>
      </c>
      <c r="F105" s="480">
        <v>15.39</v>
      </c>
      <c r="G105" s="480">
        <f t="shared" si="17"/>
        <v>0</v>
      </c>
      <c r="H105" s="480">
        <f t="shared" si="18"/>
        <v>4001.4</v>
      </c>
      <c r="I105" s="480">
        <f t="shared" si="16"/>
        <v>4001.4</v>
      </c>
    </row>
    <row r="106" spans="1:9" s="755" customFormat="1" hidden="1" outlineLevel="1" x14ac:dyDescent="0.25">
      <c r="A106" s="728" t="s">
        <v>2117</v>
      </c>
      <c r="B106" s="500" t="s">
        <v>2118</v>
      </c>
      <c r="C106" s="509" t="s">
        <v>96</v>
      </c>
      <c r="D106" s="758">
        <v>164</v>
      </c>
      <c r="E106" s="489">
        <v>350</v>
      </c>
      <c r="F106" s="489"/>
      <c r="G106" s="489">
        <f t="shared" si="17"/>
        <v>57400</v>
      </c>
      <c r="H106" s="489">
        <f>SUM(H107:H108)</f>
        <v>17215.039999999997</v>
      </c>
      <c r="I106" s="489">
        <f t="shared" si="16"/>
        <v>74615.039999999994</v>
      </c>
    </row>
    <row r="107" spans="1:9" hidden="1" outlineLevel="2" x14ac:dyDescent="0.25">
      <c r="A107" s="759" t="s">
        <v>2119</v>
      </c>
      <c r="B107" s="760" t="s">
        <v>1332</v>
      </c>
      <c r="C107" s="493" t="s">
        <v>1110</v>
      </c>
      <c r="D107" s="757">
        <v>0.33263999999999999</v>
      </c>
      <c r="E107" s="480">
        <v>0</v>
      </c>
      <c r="F107" s="480">
        <v>46000</v>
      </c>
      <c r="G107" s="480">
        <f t="shared" si="17"/>
        <v>0</v>
      </c>
      <c r="H107" s="480">
        <f t="shared" ref="H107" si="19">D107*F107</f>
        <v>15301.439999999999</v>
      </c>
      <c r="I107" s="480">
        <f t="shared" si="16"/>
        <v>15301.439999999999</v>
      </c>
    </row>
    <row r="108" spans="1:9" hidden="1" outlineLevel="2" x14ac:dyDescent="0.25">
      <c r="A108" s="759" t="s">
        <v>2120</v>
      </c>
      <c r="B108" s="719" t="s">
        <v>1327</v>
      </c>
      <c r="C108" s="493" t="s">
        <v>1110</v>
      </c>
      <c r="D108" s="469">
        <v>4.1599999999999998E-2</v>
      </c>
      <c r="E108" s="471">
        <v>0</v>
      </c>
      <c r="F108" s="720">
        <v>46000</v>
      </c>
      <c r="G108" s="471">
        <f t="shared" ref="G108" si="20">PRODUCT(E108,D108)</f>
        <v>0</v>
      </c>
      <c r="H108" s="471">
        <f t="shared" ref="H108" si="21">PRODUCT(F108,D108)</f>
        <v>1913.6</v>
      </c>
      <c r="I108" s="471">
        <f t="shared" ref="I108" si="22">SUM(G108:H108)</f>
        <v>1913.6</v>
      </c>
    </row>
    <row r="109" spans="1:9" collapsed="1" x14ac:dyDescent="0.25">
      <c r="A109" s="728" t="s">
        <v>851</v>
      </c>
      <c r="B109" s="729" t="s">
        <v>2121</v>
      </c>
      <c r="C109" s="735" t="s">
        <v>43</v>
      </c>
      <c r="D109" s="730">
        <f>SUM(D110:D126)</f>
        <v>4656.4000000000005</v>
      </c>
      <c r="E109" s="732">
        <v>30</v>
      </c>
      <c r="F109" s="732"/>
      <c r="G109" s="732">
        <f>PRODUCT(D109:E109)</f>
        <v>139692.00000000003</v>
      </c>
      <c r="H109" s="732">
        <f>SUM(H110:H128)</f>
        <v>311550.984</v>
      </c>
      <c r="I109" s="732">
        <f>SUM(G109:H109)</f>
        <v>451242.98400000005</v>
      </c>
    </row>
    <row r="110" spans="1:9" hidden="1" outlineLevel="1" x14ac:dyDescent="0.25">
      <c r="A110" s="733" t="s">
        <v>1129</v>
      </c>
      <c r="B110" s="738" t="s">
        <v>2122</v>
      </c>
      <c r="C110" s="735" t="s">
        <v>43</v>
      </c>
      <c r="D110" s="735">
        <v>104.8</v>
      </c>
      <c r="E110" s="736">
        <v>0</v>
      </c>
      <c r="F110" s="736">
        <v>30</v>
      </c>
      <c r="G110" s="480">
        <f t="shared" si="17"/>
        <v>0</v>
      </c>
      <c r="H110" s="736">
        <f t="shared" ref="H110:H131" si="23">PRODUCT(F110,D110)</f>
        <v>3144</v>
      </c>
      <c r="I110" s="736">
        <f t="shared" ref="I110:I133" si="24">SUM(G110:H110)</f>
        <v>3144</v>
      </c>
    </row>
    <row r="111" spans="1:9" hidden="1" outlineLevel="1" x14ac:dyDescent="0.25">
      <c r="A111" s="733" t="s">
        <v>1130</v>
      </c>
      <c r="B111" s="738" t="s">
        <v>2123</v>
      </c>
      <c r="C111" s="735" t="s">
        <v>43</v>
      </c>
      <c r="D111" s="735">
        <v>39.9</v>
      </c>
      <c r="E111" s="736">
        <v>0</v>
      </c>
      <c r="F111" s="480">
        <v>69.23</v>
      </c>
      <c r="G111" s="480">
        <f t="shared" si="17"/>
        <v>0</v>
      </c>
      <c r="H111" s="736">
        <f t="shared" si="23"/>
        <v>2762.277</v>
      </c>
      <c r="I111" s="736">
        <f t="shared" si="24"/>
        <v>2762.277</v>
      </c>
    </row>
    <row r="112" spans="1:9" hidden="1" outlineLevel="1" x14ac:dyDescent="0.25">
      <c r="A112" s="733" t="s">
        <v>1131</v>
      </c>
      <c r="B112" s="738" t="s">
        <v>2124</v>
      </c>
      <c r="C112" s="735" t="s">
        <v>43</v>
      </c>
      <c r="D112" s="735">
        <v>157.80000000000001</v>
      </c>
      <c r="E112" s="736">
        <v>0</v>
      </c>
      <c r="F112" s="480">
        <v>77.349999999999994</v>
      </c>
      <c r="G112" s="480">
        <f t="shared" si="17"/>
        <v>0</v>
      </c>
      <c r="H112" s="736">
        <f t="shared" si="23"/>
        <v>12205.83</v>
      </c>
      <c r="I112" s="736">
        <f t="shared" si="24"/>
        <v>12205.83</v>
      </c>
    </row>
    <row r="113" spans="1:9" hidden="1" outlineLevel="1" x14ac:dyDescent="0.25">
      <c r="A113" s="733" t="s">
        <v>1132</v>
      </c>
      <c r="B113" s="738" t="s">
        <v>2125</v>
      </c>
      <c r="C113" s="735" t="s">
        <v>43</v>
      </c>
      <c r="D113" s="735">
        <v>286.89999999999998</v>
      </c>
      <c r="E113" s="736">
        <v>0</v>
      </c>
      <c r="F113" s="480">
        <v>86.45</v>
      </c>
      <c r="G113" s="480">
        <f t="shared" si="17"/>
        <v>0</v>
      </c>
      <c r="H113" s="736">
        <f t="shared" si="23"/>
        <v>24802.504999999997</v>
      </c>
      <c r="I113" s="736">
        <f t="shared" si="24"/>
        <v>24802.504999999997</v>
      </c>
    </row>
    <row r="114" spans="1:9" hidden="1" outlineLevel="1" x14ac:dyDescent="0.25">
      <c r="A114" s="733" t="s">
        <v>1133</v>
      </c>
      <c r="B114" s="738" t="s">
        <v>2126</v>
      </c>
      <c r="C114" s="735" t="s">
        <v>43</v>
      </c>
      <c r="D114" s="735">
        <v>108.4</v>
      </c>
      <c r="E114" s="736">
        <v>0</v>
      </c>
      <c r="F114" s="480">
        <v>91.65</v>
      </c>
      <c r="G114" s="480">
        <f t="shared" si="17"/>
        <v>0</v>
      </c>
      <c r="H114" s="736">
        <f t="shared" si="23"/>
        <v>9934.86</v>
      </c>
      <c r="I114" s="736">
        <f t="shared" si="24"/>
        <v>9934.86</v>
      </c>
    </row>
    <row r="115" spans="1:9" hidden="1" outlineLevel="1" x14ac:dyDescent="0.25">
      <c r="A115" s="733" t="s">
        <v>2127</v>
      </c>
      <c r="B115" s="738" t="s">
        <v>2128</v>
      </c>
      <c r="C115" s="735" t="s">
        <v>43</v>
      </c>
      <c r="D115" s="735">
        <v>36.9</v>
      </c>
      <c r="E115" s="736">
        <v>0</v>
      </c>
      <c r="F115" s="480">
        <v>109.76</v>
      </c>
      <c r="G115" s="480">
        <f t="shared" si="17"/>
        <v>0</v>
      </c>
      <c r="H115" s="736">
        <f t="shared" si="23"/>
        <v>4050.1440000000002</v>
      </c>
      <c r="I115" s="736">
        <f t="shared" si="24"/>
        <v>4050.1440000000002</v>
      </c>
    </row>
    <row r="116" spans="1:9" hidden="1" outlineLevel="1" x14ac:dyDescent="0.25">
      <c r="A116" s="733" t="s">
        <v>2129</v>
      </c>
      <c r="B116" s="738" t="s">
        <v>2130</v>
      </c>
      <c r="C116" s="735" t="s">
        <v>43</v>
      </c>
      <c r="D116" s="735">
        <v>209.9</v>
      </c>
      <c r="E116" s="736">
        <v>0</v>
      </c>
      <c r="F116" s="480">
        <v>97.5</v>
      </c>
      <c r="G116" s="480">
        <f t="shared" si="17"/>
        <v>0</v>
      </c>
      <c r="H116" s="736">
        <f t="shared" si="23"/>
        <v>20465.25</v>
      </c>
      <c r="I116" s="736">
        <f t="shared" si="24"/>
        <v>20465.25</v>
      </c>
    </row>
    <row r="117" spans="1:9" hidden="1" outlineLevel="1" x14ac:dyDescent="0.25">
      <c r="A117" s="733" t="s">
        <v>2131</v>
      </c>
      <c r="B117" s="738" t="s">
        <v>2132</v>
      </c>
      <c r="C117" s="735" t="s">
        <v>43</v>
      </c>
      <c r="D117" s="735">
        <v>51.4</v>
      </c>
      <c r="E117" s="736">
        <v>0</v>
      </c>
      <c r="F117" s="480">
        <v>111.15</v>
      </c>
      <c r="G117" s="480">
        <f t="shared" si="17"/>
        <v>0</v>
      </c>
      <c r="H117" s="736">
        <f t="shared" si="23"/>
        <v>5713.1100000000006</v>
      </c>
      <c r="I117" s="736">
        <f t="shared" si="24"/>
        <v>5713.1100000000006</v>
      </c>
    </row>
    <row r="118" spans="1:9" hidden="1" outlineLevel="1" x14ac:dyDescent="0.25">
      <c r="A118" s="733" t="s">
        <v>2133</v>
      </c>
      <c r="B118" s="738" t="s">
        <v>2134</v>
      </c>
      <c r="C118" s="735" t="s">
        <v>43</v>
      </c>
      <c r="D118" s="735">
        <v>78.7</v>
      </c>
      <c r="E118" s="736">
        <v>0</v>
      </c>
      <c r="F118" s="480">
        <v>128.69999999999999</v>
      </c>
      <c r="G118" s="480">
        <f t="shared" si="17"/>
        <v>0</v>
      </c>
      <c r="H118" s="736">
        <f t="shared" si="23"/>
        <v>10128.689999999999</v>
      </c>
      <c r="I118" s="736">
        <f t="shared" si="24"/>
        <v>10128.689999999999</v>
      </c>
    </row>
    <row r="119" spans="1:9" hidden="1" outlineLevel="1" x14ac:dyDescent="0.25">
      <c r="A119" s="733" t="s">
        <v>2135</v>
      </c>
      <c r="B119" s="738" t="s">
        <v>2136</v>
      </c>
      <c r="C119" s="735" t="s">
        <v>43</v>
      </c>
      <c r="D119" s="735">
        <v>46.7</v>
      </c>
      <c r="E119" s="736">
        <v>0</v>
      </c>
      <c r="F119" s="480">
        <v>172.9</v>
      </c>
      <c r="G119" s="480">
        <f t="shared" si="17"/>
        <v>0</v>
      </c>
      <c r="H119" s="736">
        <f t="shared" si="23"/>
        <v>8074.4300000000012</v>
      </c>
      <c r="I119" s="736">
        <f t="shared" si="24"/>
        <v>8074.4300000000012</v>
      </c>
    </row>
    <row r="120" spans="1:9" hidden="1" outlineLevel="1" x14ac:dyDescent="0.25">
      <c r="A120" s="733" t="s">
        <v>2137</v>
      </c>
      <c r="B120" s="738" t="s">
        <v>2138</v>
      </c>
      <c r="C120" s="735" t="s">
        <v>43</v>
      </c>
      <c r="D120" s="735">
        <v>12.9</v>
      </c>
      <c r="E120" s="736">
        <v>0</v>
      </c>
      <c r="F120" s="480">
        <v>16.899999999999999</v>
      </c>
      <c r="G120" s="480">
        <f t="shared" si="17"/>
        <v>0</v>
      </c>
      <c r="H120" s="736">
        <f t="shared" si="23"/>
        <v>218.01</v>
      </c>
      <c r="I120" s="736">
        <f t="shared" si="24"/>
        <v>218.01</v>
      </c>
    </row>
    <row r="121" spans="1:9" hidden="1" outlineLevel="1" x14ac:dyDescent="0.25">
      <c r="A121" s="733" t="s">
        <v>2139</v>
      </c>
      <c r="B121" s="738" t="s">
        <v>2140</v>
      </c>
      <c r="C121" s="735" t="s">
        <v>43</v>
      </c>
      <c r="D121" s="735">
        <v>1028.3</v>
      </c>
      <c r="E121" s="736">
        <v>0</v>
      </c>
      <c r="F121" s="480">
        <v>31.5</v>
      </c>
      <c r="G121" s="480">
        <f t="shared" si="17"/>
        <v>0</v>
      </c>
      <c r="H121" s="736">
        <f t="shared" si="23"/>
        <v>32391.449999999997</v>
      </c>
      <c r="I121" s="736">
        <f t="shared" si="24"/>
        <v>32391.449999999997</v>
      </c>
    </row>
    <row r="122" spans="1:9" hidden="1" outlineLevel="1" x14ac:dyDescent="0.25">
      <c r="A122" s="733" t="s">
        <v>2141</v>
      </c>
      <c r="B122" s="738" t="s">
        <v>2142</v>
      </c>
      <c r="C122" s="735" t="s">
        <v>43</v>
      </c>
      <c r="D122" s="735">
        <v>1178.2</v>
      </c>
      <c r="E122" s="736">
        <v>0</v>
      </c>
      <c r="F122" s="480">
        <v>26.04</v>
      </c>
      <c r="G122" s="480">
        <f t="shared" si="17"/>
        <v>0</v>
      </c>
      <c r="H122" s="736">
        <f t="shared" si="23"/>
        <v>30680.328000000001</v>
      </c>
      <c r="I122" s="736">
        <f t="shared" si="24"/>
        <v>30680.328000000001</v>
      </c>
    </row>
    <row r="123" spans="1:9" hidden="1" outlineLevel="1" x14ac:dyDescent="0.25">
      <c r="A123" s="733" t="s">
        <v>2143</v>
      </c>
      <c r="B123" s="738" t="s">
        <v>2144</v>
      </c>
      <c r="C123" s="735" t="s">
        <v>43</v>
      </c>
      <c r="D123" s="735">
        <v>189</v>
      </c>
      <c r="E123" s="736">
        <v>0</v>
      </c>
      <c r="F123" s="480">
        <v>58.38</v>
      </c>
      <c r="G123" s="480">
        <f t="shared" si="17"/>
        <v>0</v>
      </c>
      <c r="H123" s="736">
        <f t="shared" si="23"/>
        <v>11033.82</v>
      </c>
      <c r="I123" s="736">
        <f t="shared" si="24"/>
        <v>11033.82</v>
      </c>
    </row>
    <row r="124" spans="1:9" hidden="1" outlineLevel="1" x14ac:dyDescent="0.25">
      <c r="A124" s="733" t="s">
        <v>2145</v>
      </c>
      <c r="B124" s="738" t="s">
        <v>2146</v>
      </c>
      <c r="C124" s="735" t="s">
        <v>43</v>
      </c>
      <c r="D124" s="735">
        <v>9.8000000000000007</v>
      </c>
      <c r="E124" s="736">
        <v>0</v>
      </c>
      <c r="F124" s="480">
        <v>11.03</v>
      </c>
      <c r="G124" s="480">
        <f t="shared" si="17"/>
        <v>0</v>
      </c>
      <c r="H124" s="736">
        <f t="shared" si="23"/>
        <v>108.09400000000001</v>
      </c>
      <c r="I124" s="736">
        <f t="shared" si="24"/>
        <v>108.09400000000001</v>
      </c>
    </row>
    <row r="125" spans="1:9" hidden="1" outlineLevel="1" x14ac:dyDescent="0.25">
      <c r="A125" s="733" t="s">
        <v>2147</v>
      </c>
      <c r="B125" s="738" t="s">
        <v>2148</v>
      </c>
      <c r="C125" s="735" t="s">
        <v>43</v>
      </c>
      <c r="D125" s="735">
        <v>1020.6</v>
      </c>
      <c r="E125" s="736">
        <v>0</v>
      </c>
      <c r="F125" s="480">
        <v>23.09</v>
      </c>
      <c r="G125" s="480">
        <f t="shared" si="17"/>
        <v>0</v>
      </c>
      <c r="H125" s="736">
        <f t="shared" si="23"/>
        <v>23565.653999999999</v>
      </c>
      <c r="I125" s="736">
        <f t="shared" si="24"/>
        <v>23565.653999999999</v>
      </c>
    </row>
    <row r="126" spans="1:9" hidden="1" outlineLevel="1" x14ac:dyDescent="0.25">
      <c r="A126" s="733" t="s">
        <v>2149</v>
      </c>
      <c r="B126" s="738" t="s">
        <v>2150</v>
      </c>
      <c r="C126" s="735" t="s">
        <v>43</v>
      </c>
      <c r="D126" s="735">
        <v>96.2</v>
      </c>
      <c r="E126" s="736">
        <v>0</v>
      </c>
      <c r="F126" s="480">
        <v>70.86</v>
      </c>
      <c r="G126" s="480">
        <f t="shared" si="17"/>
        <v>0</v>
      </c>
      <c r="H126" s="736">
        <f t="shared" si="23"/>
        <v>6816.732</v>
      </c>
      <c r="I126" s="736">
        <f t="shared" si="24"/>
        <v>6816.732</v>
      </c>
    </row>
    <row r="127" spans="1:9" hidden="1" outlineLevel="1" x14ac:dyDescent="0.25">
      <c r="A127" s="733" t="s">
        <v>2151</v>
      </c>
      <c r="B127" s="738" t="s">
        <v>2152</v>
      </c>
      <c r="C127" s="735" t="s">
        <v>96</v>
      </c>
      <c r="D127" s="735">
        <v>6</v>
      </c>
      <c r="E127" s="736">
        <v>0</v>
      </c>
      <c r="F127" s="480">
        <v>2268</v>
      </c>
      <c r="G127" s="480">
        <f t="shared" si="17"/>
        <v>0</v>
      </c>
      <c r="H127" s="736">
        <f t="shared" si="23"/>
        <v>13608</v>
      </c>
      <c r="I127" s="736">
        <f t="shared" si="24"/>
        <v>13608</v>
      </c>
    </row>
    <row r="128" spans="1:9" hidden="1" outlineLevel="1" x14ac:dyDescent="0.25">
      <c r="A128" s="733" t="s">
        <v>2153</v>
      </c>
      <c r="B128" s="739" t="s">
        <v>2154</v>
      </c>
      <c r="C128" s="735" t="s">
        <v>96</v>
      </c>
      <c r="D128" s="735">
        <v>220</v>
      </c>
      <c r="E128" s="736">
        <v>0</v>
      </c>
      <c r="F128" s="480">
        <v>417.49</v>
      </c>
      <c r="G128" s="480">
        <f t="shared" si="17"/>
        <v>0</v>
      </c>
      <c r="H128" s="736">
        <f t="shared" si="23"/>
        <v>91847.8</v>
      </c>
      <c r="I128" s="736">
        <f t="shared" si="24"/>
        <v>91847.8</v>
      </c>
    </row>
    <row r="129" spans="1:9" collapsed="1" x14ac:dyDescent="0.25">
      <c r="A129" s="728" t="s">
        <v>555</v>
      </c>
      <c r="B129" s="729" t="s">
        <v>2155</v>
      </c>
      <c r="C129" s="730" t="s">
        <v>74</v>
      </c>
      <c r="D129" s="730">
        <v>401.58</v>
      </c>
      <c r="E129" s="732">
        <v>40</v>
      </c>
      <c r="F129" s="732"/>
      <c r="G129" s="732">
        <f>PRODUCT(D129:E129)</f>
        <v>16063.199999999999</v>
      </c>
      <c r="H129" s="732">
        <f>SUM(H130:H131)</f>
        <v>18911.334599999998</v>
      </c>
      <c r="I129" s="732">
        <f>SUM(G129:H129)</f>
        <v>34974.534599999999</v>
      </c>
    </row>
    <row r="130" spans="1:9" hidden="1" outlineLevel="1" x14ac:dyDescent="0.25">
      <c r="A130" s="733" t="s">
        <v>1137</v>
      </c>
      <c r="B130" s="492" t="s">
        <v>1391</v>
      </c>
      <c r="C130" s="757" t="s">
        <v>74</v>
      </c>
      <c r="D130" s="757">
        <v>401.58</v>
      </c>
      <c r="E130" s="736">
        <v>0</v>
      </c>
      <c r="F130" s="480">
        <v>44.5</v>
      </c>
      <c r="G130" s="736">
        <f>PRODUCT(D130:E130)</f>
        <v>0</v>
      </c>
      <c r="H130" s="736">
        <f t="shared" si="23"/>
        <v>17870.309999999998</v>
      </c>
      <c r="I130" s="736">
        <f t="shared" si="24"/>
        <v>17870.309999999998</v>
      </c>
    </row>
    <row r="131" spans="1:9" hidden="1" outlineLevel="1" x14ac:dyDescent="0.25">
      <c r="A131" s="733" t="s">
        <v>1138</v>
      </c>
      <c r="B131" s="492" t="s">
        <v>2156</v>
      </c>
      <c r="C131" s="493" t="s">
        <v>1110</v>
      </c>
      <c r="D131" s="761">
        <v>1.848E-2</v>
      </c>
      <c r="E131" s="736">
        <v>0</v>
      </c>
      <c r="F131" s="480">
        <v>56332.5</v>
      </c>
      <c r="G131" s="736">
        <v>0</v>
      </c>
      <c r="H131" s="736">
        <f t="shared" si="23"/>
        <v>1041.0246</v>
      </c>
      <c r="I131" s="736">
        <f t="shared" si="24"/>
        <v>1041.0246</v>
      </c>
    </row>
    <row r="132" spans="1:9" collapsed="1" x14ac:dyDescent="0.25">
      <c r="A132" s="762">
        <v>9</v>
      </c>
      <c r="B132" s="763" t="s">
        <v>1611</v>
      </c>
      <c r="C132" s="762" t="s">
        <v>96</v>
      </c>
      <c r="D132" s="762">
        <v>1205</v>
      </c>
      <c r="E132" s="732">
        <v>70</v>
      </c>
      <c r="F132" s="732"/>
      <c r="G132" s="732">
        <f>PRODUCT(E132,D132)</f>
        <v>84350</v>
      </c>
      <c r="H132" s="764">
        <f>SUM(H133)</f>
        <v>75000</v>
      </c>
      <c r="I132" s="732">
        <f>SUM(G132:H132)</f>
        <v>159350</v>
      </c>
    </row>
    <row r="133" spans="1:9" hidden="1" outlineLevel="1" x14ac:dyDescent="0.25">
      <c r="A133" s="733" t="s">
        <v>1535</v>
      </c>
      <c r="B133" s="504" t="s">
        <v>1621</v>
      </c>
      <c r="C133" s="714" t="s">
        <v>96</v>
      </c>
      <c r="D133" s="714">
        <v>40</v>
      </c>
      <c r="E133" s="715">
        <v>0</v>
      </c>
      <c r="F133" s="480">
        <v>1875</v>
      </c>
      <c r="G133" s="736">
        <v>0</v>
      </c>
      <c r="H133" s="736">
        <f>PRODUCT(F133,D133)</f>
        <v>75000</v>
      </c>
      <c r="I133" s="736">
        <f t="shared" si="24"/>
        <v>75000</v>
      </c>
    </row>
    <row r="134" spans="1:9" collapsed="1" x14ac:dyDescent="0.25">
      <c r="A134" s="762">
        <v>10</v>
      </c>
      <c r="B134" s="763" t="s">
        <v>1622</v>
      </c>
      <c r="C134" s="762" t="s">
        <v>96</v>
      </c>
      <c r="D134" s="762">
        <f>SUM(D135,)</f>
        <v>1203</v>
      </c>
      <c r="E134" s="732"/>
      <c r="F134" s="732"/>
      <c r="G134" s="732">
        <f>SUM(G135:G136)</f>
        <v>180450</v>
      </c>
      <c r="H134" s="732">
        <f>SUM(H135:H136)</f>
        <v>109464</v>
      </c>
      <c r="I134" s="732">
        <f>SUM(G134:H134)</f>
        <v>289914</v>
      </c>
    </row>
    <row r="135" spans="1:9" hidden="1" outlineLevel="1" x14ac:dyDescent="0.25">
      <c r="A135" s="733" t="s">
        <v>1542</v>
      </c>
      <c r="B135" s="504" t="s">
        <v>1624</v>
      </c>
      <c r="C135" s="733" t="s">
        <v>96</v>
      </c>
      <c r="D135" s="733">
        <v>1203</v>
      </c>
      <c r="E135" s="736">
        <v>150</v>
      </c>
      <c r="F135" s="736">
        <v>0</v>
      </c>
      <c r="G135" s="736">
        <f t="shared" ref="G135" si="25">PRODUCT(E135,D135)</f>
        <v>180450</v>
      </c>
      <c r="H135" s="736">
        <f t="shared" ref="H135:H136" si="26">PRODUCT(F135,D135)</f>
        <v>0</v>
      </c>
      <c r="I135" s="736">
        <f>SUM(G135:H135)</f>
        <v>180450</v>
      </c>
    </row>
    <row r="136" spans="1:9" hidden="1" outlineLevel="1" x14ac:dyDescent="0.25">
      <c r="A136" s="733" t="s">
        <v>1544</v>
      </c>
      <c r="B136" s="504" t="s">
        <v>2157</v>
      </c>
      <c r="C136" s="733" t="s">
        <v>96</v>
      </c>
      <c r="D136" s="733">
        <v>24</v>
      </c>
      <c r="E136" s="736">
        <v>0</v>
      </c>
      <c r="F136" s="480">
        <v>4561</v>
      </c>
      <c r="G136" s="736">
        <v>0</v>
      </c>
      <c r="H136" s="736">
        <f t="shared" si="26"/>
        <v>109464</v>
      </c>
      <c r="I136" s="736">
        <f t="shared" ref="I136" si="27">SUM(G136:H136)</f>
        <v>109464</v>
      </c>
    </row>
    <row r="137" spans="1:9" collapsed="1" x14ac:dyDescent="0.25">
      <c r="A137" s="762">
        <v>11</v>
      </c>
      <c r="B137" s="763" t="s">
        <v>1352</v>
      </c>
      <c r="C137" s="762" t="s">
        <v>96</v>
      </c>
      <c r="D137" s="732">
        <f>SUM(D138,D139,D140)</f>
        <v>120</v>
      </c>
      <c r="E137" s="732">
        <v>400</v>
      </c>
      <c r="F137" s="732"/>
      <c r="G137" s="732">
        <f>PRODUCT(D137:E137)+G141</f>
        <v>168000</v>
      </c>
      <c r="H137" s="732">
        <f>SUM(H138:H141)</f>
        <v>195146.87999999998</v>
      </c>
      <c r="I137" s="732">
        <f>SUM(G137:H137)</f>
        <v>363146.88</v>
      </c>
    </row>
    <row r="138" spans="1:9" hidden="1" outlineLevel="1" x14ac:dyDescent="0.25">
      <c r="A138" s="733" t="s">
        <v>1547</v>
      </c>
      <c r="B138" s="765" t="s">
        <v>2158</v>
      </c>
      <c r="C138" s="736" t="s">
        <v>96</v>
      </c>
      <c r="D138" s="736">
        <v>56</v>
      </c>
      <c r="E138" s="736">
        <v>0</v>
      </c>
      <c r="F138" s="480">
        <v>1331.76</v>
      </c>
      <c r="G138" s="736">
        <v>0</v>
      </c>
      <c r="H138" s="736">
        <f t="shared" ref="H138:H140" si="28">PRODUCT(F138,D138)</f>
        <v>74578.559999999998</v>
      </c>
      <c r="I138" s="736">
        <f>SUM(G138:H138)</f>
        <v>74578.559999999998</v>
      </c>
    </row>
    <row r="139" spans="1:9" hidden="1" outlineLevel="1" x14ac:dyDescent="0.25">
      <c r="A139" s="733" t="s">
        <v>1549</v>
      </c>
      <c r="B139" s="765" t="s">
        <v>2159</v>
      </c>
      <c r="C139" s="736" t="s">
        <v>96</v>
      </c>
      <c r="D139" s="736">
        <v>56</v>
      </c>
      <c r="E139" s="736">
        <v>0</v>
      </c>
      <c r="F139" s="480">
        <v>1681.32</v>
      </c>
      <c r="G139" s="736">
        <v>0</v>
      </c>
      <c r="H139" s="736">
        <f t="shared" si="28"/>
        <v>94153.919999999998</v>
      </c>
      <c r="I139" s="736">
        <f t="shared" ref="I139:I140" si="29">SUM(G139:H139)</f>
        <v>94153.919999999998</v>
      </c>
    </row>
    <row r="140" spans="1:9" hidden="1" outlineLevel="1" x14ac:dyDescent="0.25">
      <c r="A140" s="733" t="s">
        <v>1551</v>
      </c>
      <c r="B140" s="765" t="s">
        <v>2160</v>
      </c>
      <c r="C140" s="736" t="s">
        <v>96</v>
      </c>
      <c r="D140" s="736">
        <v>8</v>
      </c>
      <c r="E140" s="736">
        <v>0</v>
      </c>
      <c r="F140" s="480">
        <v>3301.8</v>
      </c>
      <c r="G140" s="736">
        <v>0</v>
      </c>
      <c r="H140" s="736">
        <f t="shared" si="28"/>
        <v>26414.400000000001</v>
      </c>
      <c r="I140" s="736">
        <f t="shared" si="29"/>
        <v>26414.400000000001</v>
      </c>
    </row>
    <row r="141" spans="1:9" hidden="1" outlineLevel="1" x14ac:dyDescent="0.25">
      <c r="A141" s="733" t="s">
        <v>1553</v>
      </c>
      <c r="B141" s="504" t="s">
        <v>2161</v>
      </c>
      <c r="C141" s="766" t="s">
        <v>96</v>
      </c>
      <c r="D141" s="766">
        <v>480</v>
      </c>
      <c r="E141" s="717">
        <v>250</v>
      </c>
      <c r="F141" s="717">
        <v>0</v>
      </c>
      <c r="G141" s="717">
        <f t="shared" ref="G141" si="30">D141*E141</f>
        <v>120000</v>
      </c>
      <c r="H141" s="717">
        <f>D141*F141</f>
        <v>0</v>
      </c>
      <c r="I141" s="717">
        <f>G141+H141</f>
        <v>120000</v>
      </c>
    </row>
    <row r="142" spans="1:9" collapsed="1" x14ac:dyDescent="0.25">
      <c r="A142" s="762">
        <v>12</v>
      </c>
      <c r="B142" s="763" t="s">
        <v>1546</v>
      </c>
      <c r="C142" s="762" t="s">
        <v>96</v>
      </c>
      <c r="D142" s="762"/>
      <c r="E142" s="736"/>
      <c r="F142" s="736"/>
      <c r="G142" s="732">
        <f>SUM(G143:G170)</f>
        <v>309850</v>
      </c>
      <c r="H142" s="732">
        <f>SUM(H143:H170)</f>
        <v>1206618.3900000001</v>
      </c>
      <c r="I142" s="732">
        <f>SUM(G142:H142)</f>
        <v>1516468.3900000001</v>
      </c>
    </row>
    <row r="143" spans="1:9" ht="13.5" hidden="1" customHeight="1" outlineLevel="2" x14ac:dyDescent="0.25">
      <c r="A143" s="733" t="s">
        <v>1603</v>
      </c>
      <c r="B143" s="739" t="s">
        <v>2162</v>
      </c>
      <c r="C143" s="740" t="s">
        <v>96</v>
      </c>
      <c r="D143" s="740">
        <v>655</v>
      </c>
      <c r="E143" s="736">
        <v>200</v>
      </c>
      <c r="F143" s="480">
        <v>137.11000000000001</v>
      </c>
      <c r="G143" s="736">
        <f t="shared" ref="G143:G159" si="31">PRODUCT(E143,D143)</f>
        <v>131000</v>
      </c>
      <c r="H143" s="736">
        <f t="shared" ref="H143:H159" si="32">PRODUCT(F143,D143)</f>
        <v>89807.05</v>
      </c>
      <c r="I143" s="736">
        <f t="shared" ref="I143:I159" si="33">SUM(G143:H143)</f>
        <v>220807.05</v>
      </c>
    </row>
    <row r="144" spans="1:9" hidden="1" outlineLevel="2" x14ac:dyDescent="0.25">
      <c r="A144" s="733" t="s">
        <v>1605</v>
      </c>
      <c r="B144" s="739" t="s">
        <v>2163</v>
      </c>
      <c r="C144" s="740" t="s">
        <v>96</v>
      </c>
      <c r="D144" s="740">
        <v>40</v>
      </c>
      <c r="E144" s="736">
        <v>0</v>
      </c>
      <c r="F144" s="471">
        <v>122</v>
      </c>
      <c r="G144" s="736">
        <f t="shared" si="31"/>
        <v>0</v>
      </c>
      <c r="H144" s="736">
        <f t="shared" si="32"/>
        <v>4880</v>
      </c>
      <c r="I144" s="736">
        <f t="shared" si="33"/>
        <v>4880</v>
      </c>
    </row>
    <row r="145" spans="1:9" hidden="1" outlineLevel="2" x14ac:dyDescent="0.25">
      <c r="A145" s="733" t="s">
        <v>1607</v>
      </c>
      <c r="B145" s="767" t="s">
        <v>2164</v>
      </c>
      <c r="C145" s="740" t="s">
        <v>96</v>
      </c>
      <c r="D145" s="740">
        <v>42</v>
      </c>
      <c r="E145" s="736">
        <v>200</v>
      </c>
      <c r="F145" s="736">
        <v>205.43</v>
      </c>
      <c r="G145" s="736">
        <f t="shared" si="31"/>
        <v>8400</v>
      </c>
      <c r="H145" s="736">
        <f t="shared" si="32"/>
        <v>8628.06</v>
      </c>
      <c r="I145" s="736">
        <f t="shared" si="33"/>
        <v>17028.059999999998</v>
      </c>
    </row>
    <row r="146" spans="1:9" hidden="1" outlineLevel="2" x14ac:dyDescent="0.25">
      <c r="A146" s="733" t="s">
        <v>1609</v>
      </c>
      <c r="B146" s="739" t="s">
        <v>2165</v>
      </c>
      <c r="C146" s="740" t="s">
        <v>96</v>
      </c>
      <c r="D146" s="740">
        <v>42</v>
      </c>
      <c r="E146" s="736">
        <v>0</v>
      </c>
      <c r="F146" s="736">
        <v>139</v>
      </c>
      <c r="G146" s="736">
        <f t="shared" si="31"/>
        <v>0</v>
      </c>
      <c r="H146" s="736">
        <f t="shared" si="32"/>
        <v>5838</v>
      </c>
      <c r="I146" s="736">
        <f t="shared" si="33"/>
        <v>5838</v>
      </c>
    </row>
    <row r="147" spans="1:9" hidden="1" outlineLevel="2" x14ac:dyDescent="0.25">
      <c r="A147" s="733" t="s">
        <v>2166</v>
      </c>
      <c r="B147" s="739" t="s">
        <v>2167</v>
      </c>
      <c r="C147" s="740" t="s">
        <v>96</v>
      </c>
      <c r="D147" s="740">
        <v>68</v>
      </c>
      <c r="E147" s="736">
        <v>200</v>
      </c>
      <c r="F147" s="480">
        <v>388.96</v>
      </c>
      <c r="G147" s="736">
        <f t="shared" si="31"/>
        <v>13600</v>
      </c>
      <c r="H147" s="736">
        <f t="shared" si="32"/>
        <v>26449.279999999999</v>
      </c>
      <c r="I147" s="736">
        <f t="shared" si="33"/>
        <v>40049.279999999999</v>
      </c>
    </row>
    <row r="148" spans="1:9" hidden="1" outlineLevel="2" x14ac:dyDescent="0.25">
      <c r="A148" s="733" t="s">
        <v>2168</v>
      </c>
      <c r="B148" s="739" t="s">
        <v>2169</v>
      </c>
      <c r="C148" s="740" t="s">
        <v>96</v>
      </c>
      <c r="D148" s="740">
        <v>68</v>
      </c>
      <c r="E148" s="736">
        <v>0</v>
      </c>
      <c r="F148" s="480">
        <v>171</v>
      </c>
      <c r="G148" s="736">
        <f t="shared" si="31"/>
        <v>0</v>
      </c>
      <c r="H148" s="736">
        <f t="shared" si="32"/>
        <v>11628</v>
      </c>
      <c r="I148" s="736">
        <f t="shared" si="33"/>
        <v>11628</v>
      </c>
    </row>
    <row r="149" spans="1:9" hidden="1" outlineLevel="2" x14ac:dyDescent="0.25">
      <c r="A149" s="733" t="s">
        <v>2170</v>
      </c>
      <c r="B149" s="745" t="s">
        <v>2171</v>
      </c>
      <c r="C149" s="740" t="s">
        <v>96</v>
      </c>
      <c r="D149" s="740">
        <v>4</v>
      </c>
      <c r="E149" s="736">
        <v>200</v>
      </c>
      <c r="F149" s="736">
        <v>2481</v>
      </c>
      <c r="G149" s="736">
        <f t="shared" si="31"/>
        <v>800</v>
      </c>
      <c r="H149" s="736">
        <f t="shared" si="32"/>
        <v>9924</v>
      </c>
      <c r="I149" s="736">
        <f t="shared" si="33"/>
        <v>10724</v>
      </c>
    </row>
    <row r="150" spans="1:9" hidden="1" outlineLevel="2" x14ac:dyDescent="0.25">
      <c r="A150" s="733" t="s">
        <v>2172</v>
      </c>
      <c r="B150" s="768" t="s">
        <v>2173</v>
      </c>
      <c r="C150" s="740" t="s">
        <v>96</v>
      </c>
      <c r="D150" s="740">
        <v>8</v>
      </c>
      <c r="E150" s="736">
        <v>0</v>
      </c>
      <c r="F150" s="736">
        <v>310.81</v>
      </c>
      <c r="G150" s="736">
        <f t="shared" si="31"/>
        <v>0</v>
      </c>
      <c r="H150" s="736">
        <f t="shared" si="32"/>
        <v>2486.48</v>
      </c>
      <c r="I150" s="736">
        <f t="shared" si="33"/>
        <v>2486.48</v>
      </c>
    </row>
    <row r="151" spans="1:9" hidden="1" outlineLevel="2" x14ac:dyDescent="0.25">
      <c r="A151" s="733" t="s">
        <v>2174</v>
      </c>
      <c r="B151" s="745" t="s">
        <v>2175</v>
      </c>
      <c r="C151" s="735" t="s">
        <v>96</v>
      </c>
      <c r="D151" s="740">
        <v>8</v>
      </c>
      <c r="E151" s="736">
        <v>0</v>
      </c>
      <c r="F151" s="736">
        <v>10</v>
      </c>
      <c r="G151" s="736">
        <f t="shared" si="31"/>
        <v>0</v>
      </c>
      <c r="H151" s="736">
        <f t="shared" si="32"/>
        <v>80</v>
      </c>
      <c r="I151" s="736">
        <f t="shared" si="33"/>
        <v>80</v>
      </c>
    </row>
    <row r="152" spans="1:9" hidden="1" outlineLevel="2" x14ac:dyDescent="0.25">
      <c r="A152" s="733" t="s">
        <v>2176</v>
      </c>
      <c r="B152" s="769" t="s">
        <v>2177</v>
      </c>
      <c r="C152" s="735" t="s">
        <v>96</v>
      </c>
      <c r="D152" s="735">
        <v>364</v>
      </c>
      <c r="E152" s="480">
        <v>200</v>
      </c>
      <c r="F152" s="480">
        <v>593</v>
      </c>
      <c r="G152" s="736">
        <f t="shared" si="31"/>
        <v>72800</v>
      </c>
      <c r="H152" s="736">
        <f t="shared" si="32"/>
        <v>215852</v>
      </c>
      <c r="I152" s="736">
        <f t="shared" si="33"/>
        <v>288652</v>
      </c>
    </row>
    <row r="153" spans="1:9" hidden="1" outlineLevel="2" x14ac:dyDescent="0.25">
      <c r="A153" s="733" t="s">
        <v>2178</v>
      </c>
      <c r="B153" s="769" t="s">
        <v>2179</v>
      </c>
      <c r="C153" s="735" t="s">
        <v>96</v>
      </c>
      <c r="D153" s="735">
        <v>300</v>
      </c>
      <c r="E153" s="480">
        <v>200</v>
      </c>
      <c r="F153" s="480">
        <v>1344</v>
      </c>
      <c r="G153" s="736">
        <f t="shared" si="31"/>
        <v>60000</v>
      </c>
      <c r="H153" s="736">
        <f t="shared" si="32"/>
        <v>403200</v>
      </c>
      <c r="I153" s="736">
        <f t="shared" si="33"/>
        <v>463200</v>
      </c>
    </row>
    <row r="154" spans="1:9" hidden="1" outlineLevel="2" x14ac:dyDescent="0.25">
      <c r="A154" s="733" t="s">
        <v>2180</v>
      </c>
      <c r="B154" s="739" t="s">
        <v>2163</v>
      </c>
      <c r="C154" s="740" t="s">
        <v>96</v>
      </c>
      <c r="D154" s="740">
        <v>3</v>
      </c>
      <c r="E154" s="736">
        <v>0</v>
      </c>
      <c r="F154" s="471">
        <v>122</v>
      </c>
      <c r="G154" s="736">
        <f t="shared" si="31"/>
        <v>0</v>
      </c>
      <c r="H154" s="736">
        <f t="shared" si="32"/>
        <v>366</v>
      </c>
      <c r="I154" s="736">
        <f t="shared" si="33"/>
        <v>366</v>
      </c>
    </row>
    <row r="155" spans="1:9" hidden="1" outlineLevel="2" x14ac:dyDescent="0.25">
      <c r="A155" s="733" t="s">
        <v>2181</v>
      </c>
      <c r="B155" s="769" t="s">
        <v>2182</v>
      </c>
      <c r="C155" s="735" t="s">
        <v>96</v>
      </c>
      <c r="D155" s="735">
        <v>28</v>
      </c>
      <c r="E155" s="480">
        <v>200</v>
      </c>
      <c r="F155" s="480">
        <v>7881.4</v>
      </c>
      <c r="G155" s="736">
        <f t="shared" si="31"/>
        <v>5600</v>
      </c>
      <c r="H155" s="736">
        <f t="shared" si="32"/>
        <v>220679.19999999998</v>
      </c>
      <c r="I155" s="736">
        <f t="shared" si="33"/>
        <v>226279.19999999998</v>
      </c>
    </row>
    <row r="156" spans="1:9" hidden="1" outlineLevel="2" x14ac:dyDescent="0.25">
      <c r="A156" s="733" t="s">
        <v>2183</v>
      </c>
      <c r="B156" s="738" t="s">
        <v>2184</v>
      </c>
      <c r="C156" s="735" t="s">
        <v>96</v>
      </c>
      <c r="D156" s="735">
        <v>28</v>
      </c>
      <c r="E156" s="480">
        <v>150</v>
      </c>
      <c r="F156" s="480">
        <v>203</v>
      </c>
      <c r="G156" s="736">
        <f t="shared" si="31"/>
        <v>4200</v>
      </c>
      <c r="H156" s="736">
        <f t="shared" si="32"/>
        <v>5684</v>
      </c>
      <c r="I156" s="736">
        <f t="shared" si="33"/>
        <v>9884</v>
      </c>
    </row>
    <row r="157" spans="1:9" hidden="1" outlineLevel="2" x14ac:dyDescent="0.25">
      <c r="A157" s="733" t="s">
        <v>2185</v>
      </c>
      <c r="B157" s="745" t="s">
        <v>2186</v>
      </c>
      <c r="C157" s="740" t="s">
        <v>96</v>
      </c>
      <c r="D157" s="740">
        <v>19</v>
      </c>
      <c r="E157" s="736">
        <v>150</v>
      </c>
      <c r="F157" s="480">
        <v>410</v>
      </c>
      <c r="G157" s="736">
        <f t="shared" si="31"/>
        <v>2850</v>
      </c>
      <c r="H157" s="736">
        <f t="shared" si="32"/>
        <v>7790</v>
      </c>
      <c r="I157" s="736">
        <f t="shared" si="33"/>
        <v>10640</v>
      </c>
    </row>
    <row r="158" spans="1:9" hidden="1" outlineLevel="2" x14ac:dyDescent="0.25">
      <c r="A158" s="733" t="s">
        <v>2187</v>
      </c>
      <c r="B158" s="745" t="s">
        <v>2188</v>
      </c>
      <c r="C158" s="740" t="s">
        <v>96</v>
      </c>
      <c r="D158" s="740">
        <v>19</v>
      </c>
      <c r="E158" s="736">
        <v>200</v>
      </c>
      <c r="F158" s="736">
        <v>66.959999999999994</v>
      </c>
      <c r="G158" s="736">
        <f t="shared" si="31"/>
        <v>3800</v>
      </c>
      <c r="H158" s="736">
        <f t="shared" si="32"/>
        <v>1272.2399999999998</v>
      </c>
      <c r="I158" s="736">
        <f t="shared" si="33"/>
        <v>5072.24</v>
      </c>
    </row>
    <row r="159" spans="1:9" hidden="1" outlineLevel="2" x14ac:dyDescent="0.25">
      <c r="A159" s="733" t="s">
        <v>2189</v>
      </c>
      <c r="B159" s="739" t="s">
        <v>2190</v>
      </c>
      <c r="C159" s="740" t="s">
        <v>96</v>
      </c>
      <c r="D159" s="735">
        <v>19</v>
      </c>
      <c r="E159" s="736">
        <v>0</v>
      </c>
      <c r="F159" s="471">
        <v>13.46</v>
      </c>
      <c r="G159" s="736">
        <f t="shared" si="31"/>
        <v>0</v>
      </c>
      <c r="H159" s="736">
        <f t="shared" si="32"/>
        <v>255.74</v>
      </c>
      <c r="I159" s="736">
        <f t="shared" si="33"/>
        <v>255.74</v>
      </c>
    </row>
    <row r="160" spans="1:9" hidden="1" outlineLevel="2" x14ac:dyDescent="0.25">
      <c r="A160" s="733" t="s">
        <v>2191</v>
      </c>
      <c r="B160" s="746" t="s">
        <v>2192</v>
      </c>
      <c r="C160" s="751" t="s">
        <v>96</v>
      </c>
      <c r="D160" s="752">
        <v>8</v>
      </c>
      <c r="E160" s="752">
        <v>200</v>
      </c>
      <c r="F160" s="480">
        <v>5983.58</v>
      </c>
      <c r="G160" s="736">
        <f>PRODUCT(E160,D160)</f>
        <v>1600</v>
      </c>
      <c r="H160" s="736">
        <f>PRODUCT(F160,D160)</f>
        <v>47868.639999999999</v>
      </c>
      <c r="I160" s="736">
        <f>SUM(G160:H160)</f>
        <v>49468.639999999999</v>
      </c>
    </row>
    <row r="161" spans="1:9" hidden="1" outlineLevel="2" x14ac:dyDescent="0.25">
      <c r="A161" s="733" t="s">
        <v>2193</v>
      </c>
      <c r="B161" s="746" t="s">
        <v>2194</v>
      </c>
      <c r="C161" s="735" t="s">
        <v>96</v>
      </c>
      <c r="D161" s="740">
        <v>14</v>
      </c>
      <c r="E161" s="736">
        <v>200</v>
      </c>
      <c r="F161" s="717">
        <v>4021.62</v>
      </c>
      <c r="G161" s="736">
        <f t="shared" ref="G161:G170" si="34">PRODUCT(E161,D161)</f>
        <v>2800</v>
      </c>
      <c r="H161" s="736">
        <f t="shared" ref="H161:H162" si="35">PRODUCT(F161,D161)</f>
        <v>56302.68</v>
      </c>
      <c r="I161" s="736">
        <f t="shared" ref="I161:I162" si="36">SUM(G161:H161)</f>
        <v>59102.68</v>
      </c>
    </row>
    <row r="162" spans="1:9" hidden="1" outlineLevel="2" x14ac:dyDescent="0.25">
      <c r="A162" s="733" t="s">
        <v>2195</v>
      </c>
      <c r="B162" s="746" t="s">
        <v>2196</v>
      </c>
      <c r="C162" s="735" t="s">
        <v>96</v>
      </c>
      <c r="D162" s="740">
        <v>10</v>
      </c>
      <c r="E162" s="736">
        <v>200</v>
      </c>
      <c r="F162" s="717">
        <v>3650.62</v>
      </c>
      <c r="G162" s="736">
        <f t="shared" si="34"/>
        <v>2000</v>
      </c>
      <c r="H162" s="736">
        <f t="shared" si="35"/>
        <v>36506.199999999997</v>
      </c>
      <c r="I162" s="736">
        <f t="shared" si="36"/>
        <v>38506.199999999997</v>
      </c>
    </row>
    <row r="163" spans="1:9" hidden="1" outlineLevel="2" x14ac:dyDescent="0.25">
      <c r="A163" s="733" t="s">
        <v>2197</v>
      </c>
      <c r="B163" s="768" t="s">
        <v>2198</v>
      </c>
      <c r="C163" s="735" t="s">
        <v>96</v>
      </c>
      <c r="D163" s="740">
        <v>24</v>
      </c>
      <c r="E163" s="736">
        <v>0</v>
      </c>
      <c r="F163" s="480">
        <v>437.67</v>
      </c>
      <c r="G163" s="736">
        <f t="shared" si="34"/>
        <v>0</v>
      </c>
      <c r="H163" s="736">
        <f>PRODUCT(F163,D163)</f>
        <v>10504.08</v>
      </c>
      <c r="I163" s="736">
        <f>SUM(G163:H163)</f>
        <v>10504.08</v>
      </c>
    </row>
    <row r="164" spans="1:9" hidden="1" outlineLevel="2" x14ac:dyDescent="0.25">
      <c r="A164" s="733" t="s">
        <v>2199</v>
      </c>
      <c r="B164" s="768" t="s">
        <v>2200</v>
      </c>
      <c r="C164" s="735" t="s">
        <v>96</v>
      </c>
      <c r="D164" s="740">
        <v>36</v>
      </c>
      <c r="E164" s="736">
        <v>0</v>
      </c>
      <c r="F164" s="480">
        <v>606.78</v>
      </c>
      <c r="G164" s="736">
        <f t="shared" si="34"/>
        <v>0</v>
      </c>
      <c r="H164" s="736">
        <f>PRODUCT(F164,D164)</f>
        <v>21844.079999999998</v>
      </c>
      <c r="I164" s="736">
        <f>SUM(G164:H164)</f>
        <v>21844.079999999998</v>
      </c>
    </row>
    <row r="165" spans="1:9" hidden="1" outlineLevel="2" x14ac:dyDescent="0.25">
      <c r="A165" s="733" t="s">
        <v>2201</v>
      </c>
      <c r="B165" s="768" t="s">
        <v>2202</v>
      </c>
      <c r="C165" s="735" t="s">
        <v>96</v>
      </c>
      <c r="D165" s="740">
        <v>20</v>
      </c>
      <c r="E165" s="736">
        <v>0</v>
      </c>
      <c r="F165" s="480">
        <v>773.73</v>
      </c>
      <c r="G165" s="736">
        <f t="shared" si="34"/>
        <v>0</v>
      </c>
      <c r="H165" s="736">
        <f>PRODUCT(F165,D165)</f>
        <v>15474.6</v>
      </c>
      <c r="I165" s="736">
        <f>SUM(G165:H165)</f>
        <v>15474.6</v>
      </c>
    </row>
    <row r="166" spans="1:9" hidden="1" outlineLevel="2" x14ac:dyDescent="0.25">
      <c r="A166" s="733" t="s">
        <v>2203</v>
      </c>
      <c r="B166" s="750" t="s">
        <v>2204</v>
      </c>
      <c r="C166" s="735" t="s">
        <v>96</v>
      </c>
      <c r="D166" s="740">
        <v>48</v>
      </c>
      <c r="E166" s="736">
        <v>0</v>
      </c>
      <c r="F166" s="736">
        <v>18.96</v>
      </c>
      <c r="G166" s="736">
        <f t="shared" si="34"/>
        <v>0</v>
      </c>
      <c r="H166" s="736">
        <f t="shared" ref="H166:H168" si="37">PRODUCT(F166,D166)</f>
        <v>910.08</v>
      </c>
      <c r="I166" s="736">
        <f t="shared" ref="I166:I168" si="38">SUM(G166:H166)</f>
        <v>910.08</v>
      </c>
    </row>
    <row r="167" spans="1:9" hidden="1" outlineLevel="2" x14ac:dyDescent="0.25">
      <c r="A167" s="733" t="s">
        <v>2205</v>
      </c>
      <c r="B167" s="750" t="s">
        <v>2206</v>
      </c>
      <c r="C167" s="735" t="s">
        <v>96</v>
      </c>
      <c r="D167" s="740">
        <v>72</v>
      </c>
      <c r="E167" s="736">
        <v>0</v>
      </c>
      <c r="F167" s="736">
        <v>14.76</v>
      </c>
      <c r="G167" s="736">
        <f t="shared" si="34"/>
        <v>0</v>
      </c>
      <c r="H167" s="736">
        <f t="shared" si="37"/>
        <v>1062.72</v>
      </c>
      <c r="I167" s="736">
        <f t="shared" si="38"/>
        <v>1062.72</v>
      </c>
    </row>
    <row r="168" spans="1:9" hidden="1" outlineLevel="2" x14ac:dyDescent="0.25">
      <c r="A168" s="733" t="s">
        <v>2207</v>
      </c>
      <c r="B168" s="750" t="s">
        <v>2208</v>
      </c>
      <c r="C168" s="735" t="s">
        <v>96</v>
      </c>
      <c r="D168" s="740">
        <v>40</v>
      </c>
      <c r="E168" s="736">
        <v>0</v>
      </c>
      <c r="F168" s="736">
        <v>12</v>
      </c>
      <c r="G168" s="736">
        <f t="shared" si="34"/>
        <v>0</v>
      </c>
      <c r="H168" s="736">
        <f t="shared" si="37"/>
        <v>480</v>
      </c>
      <c r="I168" s="736">
        <f t="shared" si="38"/>
        <v>480</v>
      </c>
    </row>
    <row r="169" spans="1:9" hidden="1" outlineLevel="2" x14ac:dyDescent="0.25">
      <c r="A169" s="733" t="s">
        <v>2209</v>
      </c>
      <c r="B169" s="746" t="s">
        <v>2210</v>
      </c>
      <c r="C169" s="735" t="s">
        <v>96</v>
      </c>
      <c r="D169" s="740">
        <v>2</v>
      </c>
      <c r="E169" s="736">
        <v>200</v>
      </c>
      <c r="F169" s="717">
        <v>247</v>
      </c>
      <c r="G169" s="736">
        <f t="shared" si="34"/>
        <v>400</v>
      </c>
      <c r="H169" s="736">
        <f>PRODUCT(F169,D169)</f>
        <v>494</v>
      </c>
      <c r="I169" s="736">
        <f>SUM(G169:H169)</f>
        <v>894</v>
      </c>
    </row>
    <row r="170" spans="1:9" hidden="1" outlineLevel="1" x14ac:dyDescent="0.25">
      <c r="A170" s="733" t="s">
        <v>2211</v>
      </c>
      <c r="B170" s="739" t="s">
        <v>2212</v>
      </c>
      <c r="C170" s="735" t="s">
        <v>96</v>
      </c>
      <c r="D170" s="733">
        <v>2</v>
      </c>
      <c r="E170" s="736">
        <v>0</v>
      </c>
      <c r="F170" s="733">
        <v>175.63</v>
      </c>
      <c r="G170" s="736">
        <f t="shared" si="34"/>
        <v>0</v>
      </c>
      <c r="H170" s="733">
        <f>PRODUCT(F170,D170)</f>
        <v>351.26</v>
      </c>
      <c r="I170" s="733">
        <f>SUM(G170:H170)</f>
        <v>351.26</v>
      </c>
    </row>
    <row r="171" spans="1:9" collapsed="1" x14ac:dyDescent="0.25">
      <c r="A171" s="762">
        <v>13</v>
      </c>
      <c r="B171" s="729" t="s">
        <v>2213</v>
      </c>
      <c r="C171" s="730" t="s">
        <v>96</v>
      </c>
      <c r="D171" s="730">
        <v>4</v>
      </c>
      <c r="E171" s="732"/>
      <c r="F171" s="732"/>
      <c r="G171" s="732">
        <f>SUM(G172:G177)</f>
        <v>800</v>
      </c>
      <c r="H171" s="732">
        <f>SUM(H172:H177)</f>
        <v>21588.120000000003</v>
      </c>
      <c r="I171" s="732">
        <f>SUM(G171:H171)</f>
        <v>22388.120000000003</v>
      </c>
    </row>
    <row r="172" spans="1:9" hidden="1" outlineLevel="1" x14ac:dyDescent="0.25">
      <c r="A172" s="733" t="s">
        <v>1612</v>
      </c>
      <c r="B172" s="738" t="s">
        <v>2214</v>
      </c>
      <c r="C172" s="735" t="s">
        <v>96</v>
      </c>
      <c r="D172" s="735">
        <v>2</v>
      </c>
      <c r="E172" s="736">
        <v>0</v>
      </c>
      <c r="F172" s="480">
        <v>6124</v>
      </c>
      <c r="G172" s="736">
        <f t="shared" ref="G172:G177" si="39">PRODUCT(E172,D172)</f>
        <v>0</v>
      </c>
      <c r="H172" s="736">
        <f t="shared" ref="H172:H177" si="40">PRODUCT(F172,D172)</f>
        <v>12248</v>
      </c>
      <c r="I172" s="736">
        <f>SUM(G172:H172)</f>
        <v>12248</v>
      </c>
    </row>
    <row r="173" spans="1:9" hidden="1" outlineLevel="1" x14ac:dyDescent="0.25">
      <c r="A173" s="733" t="s">
        <v>1614</v>
      </c>
      <c r="B173" s="738" t="s">
        <v>2215</v>
      </c>
      <c r="C173" s="735" t="s">
        <v>96</v>
      </c>
      <c r="D173" s="735">
        <v>4</v>
      </c>
      <c r="E173" s="736">
        <v>0</v>
      </c>
      <c r="F173" s="736">
        <v>61</v>
      </c>
      <c r="G173" s="736">
        <f t="shared" si="39"/>
        <v>0</v>
      </c>
      <c r="H173" s="736">
        <f t="shared" si="40"/>
        <v>244</v>
      </c>
      <c r="I173" s="736">
        <f t="shared" ref="I173:I177" si="41">SUM(G173:H173)</f>
        <v>244</v>
      </c>
    </row>
    <row r="174" spans="1:9" hidden="1" outlineLevel="1" x14ac:dyDescent="0.25">
      <c r="A174" s="733" t="s">
        <v>1616</v>
      </c>
      <c r="B174" s="739" t="s">
        <v>2162</v>
      </c>
      <c r="C174" s="735" t="s">
        <v>96</v>
      </c>
      <c r="D174" s="735">
        <v>2</v>
      </c>
      <c r="E174" s="736">
        <v>200</v>
      </c>
      <c r="F174" s="480">
        <v>141.06</v>
      </c>
      <c r="G174" s="736">
        <f t="shared" si="39"/>
        <v>400</v>
      </c>
      <c r="H174" s="736">
        <f t="shared" si="40"/>
        <v>282.12</v>
      </c>
      <c r="I174" s="736">
        <f t="shared" si="41"/>
        <v>682.12</v>
      </c>
    </row>
    <row r="175" spans="1:9" hidden="1" outlineLevel="1" x14ac:dyDescent="0.25">
      <c r="A175" s="733" t="s">
        <v>1618</v>
      </c>
      <c r="B175" s="767" t="s">
        <v>2216</v>
      </c>
      <c r="C175" s="735" t="s">
        <v>96</v>
      </c>
      <c r="D175" s="735">
        <v>2</v>
      </c>
      <c r="E175" s="736">
        <v>200</v>
      </c>
      <c r="F175" s="736">
        <v>482</v>
      </c>
      <c r="G175" s="736">
        <f t="shared" si="39"/>
        <v>400</v>
      </c>
      <c r="H175" s="736">
        <f t="shared" si="40"/>
        <v>964</v>
      </c>
      <c r="I175" s="736">
        <f t="shared" si="41"/>
        <v>1364</v>
      </c>
    </row>
    <row r="176" spans="1:9" hidden="1" outlineLevel="1" x14ac:dyDescent="0.25">
      <c r="A176" s="733" t="s">
        <v>1620</v>
      </c>
      <c r="B176" s="738" t="s">
        <v>2217</v>
      </c>
      <c r="C176" s="735" t="s">
        <v>96</v>
      </c>
      <c r="D176" s="735">
        <v>4</v>
      </c>
      <c r="E176" s="736">
        <v>0</v>
      </c>
      <c r="F176" s="736">
        <v>1350</v>
      </c>
      <c r="G176" s="736">
        <f t="shared" si="39"/>
        <v>0</v>
      </c>
      <c r="H176" s="736">
        <f t="shared" si="40"/>
        <v>5400</v>
      </c>
      <c r="I176" s="736">
        <f t="shared" si="41"/>
        <v>5400</v>
      </c>
    </row>
    <row r="177" spans="1:9" hidden="1" outlineLevel="1" x14ac:dyDescent="0.25">
      <c r="A177" s="733" t="s">
        <v>1967</v>
      </c>
      <c r="B177" s="725" t="s">
        <v>2218</v>
      </c>
      <c r="C177" s="735" t="s">
        <v>96</v>
      </c>
      <c r="D177" s="735">
        <v>2</v>
      </c>
      <c r="E177" s="736">
        <v>0</v>
      </c>
      <c r="F177" s="736">
        <v>1225</v>
      </c>
      <c r="G177" s="736">
        <f t="shared" si="39"/>
        <v>0</v>
      </c>
      <c r="H177" s="736">
        <f t="shared" si="40"/>
        <v>2450</v>
      </c>
      <c r="I177" s="736">
        <f t="shared" si="41"/>
        <v>2450</v>
      </c>
    </row>
    <row r="178" spans="1:9" collapsed="1" x14ac:dyDescent="0.25">
      <c r="A178" s="1471" t="s">
        <v>1209</v>
      </c>
      <c r="B178" s="1472"/>
      <c r="C178" s="1472"/>
      <c r="D178" s="1472"/>
      <c r="E178" s="1472"/>
      <c r="F178" s="1473"/>
      <c r="G178" s="732">
        <f>G171+G142+G137+G134+G132+G129+G109+G93+G90+G44+G31+G26+G4</f>
        <v>2088871.2</v>
      </c>
      <c r="H178" s="732">
        <f>H171+H142+H137+H134+H132+H129+H109+H93+H90+H44+H31+H26+H4</f>
        <v>5694695.0873118648</v>
      </c>
      <c r="I178" s="732">
        <f>I171+I142+I137+I134+I132+I129+I109+I93+I90+I44+I31+I26+I4</f>
        <v>7783566.2873118659</v>
      </c>
    </row>
    <row r="179" spans="1:9" x14ac:dyDescent="0.25">
      <c r="G179" s="764"/>
      <c r="H179" s="764"/>
      <c r="I179" s="764"/>
    </row>
    <row r="183" spans="1:9" x14ac:dyDescent="0.25">
      <c r="B183" s="771"/>
    </row>
    <row r="184" spans="1:9" x14ac:dyDescent="0.25">
      <c r="B184" s="771"/>
    </row>
    <row r="185" spans="1:9" x14ac:dyDescent="0.25">
      <c r="B185" s="771"/>
    </row>
  </sheetData>
  <mergeCells count="9">
    <mergeCell ref="A178:F178"/>
    <mergeCell ref="A1:I1"/>
    <mergeCell ref="A2:A3"/>
    <mergeCell ref="B2:B3"/>
    <mergeCell ref="C2:C3"/>
    <mergeCell ref="D2:D3"/>
    <mergeCell ref="E2:F2"/>
    <mergeCell ref="G2:H2"/>
    <mergeCell ref="I2:I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6"/>
  <sheetViews>
    <sheetView zoomScale="120" zoomScaleNormal="120" workbookViewId="0">
      <pane ySplit="3" topLeftCell="A4" activePane="bottomLeft" state="frozen"/>
      <selection pane="bottomLeft" activeCell="I104" sqref="I104"/>
    </sheetView>
  </sheetViews>
  <sheetFormatPr defaultRowHeight="13.15" outlineLevelRow="1" x14ac:dyDescent="0.25"/>
  <cols>
    <col min="1" max="1" width="6.44140625" style="705" bestFit="1" customWidth="1"/>
    <col min="2" max="2" width="57.109375" style="705" bestFit="1" customWidth="1"/>
    <col min="3" max="3" width="7.109375" style="724" bestFit="1" customWidth="1"/>
    <col min="4" max="4" width="7.33203125" style="724" bestFit="1" customWidth="1"/>
    <col min="5" max="5" width="9" style="724" bestFit="1" customWidth="1"/>
    <col min="6" max="6" width="10.5546875" style="724" bestFit="1" customWidth="1"/>
    <col min="7" max="7" width="9.88671875" style="724" bestFit="1" customWidth="1"/>
    <col min="8" max="9" width="11.33203125" style="724" bestFit="1" customWidth="1"/>
    <col min="10" max="245" width="9.109375" style="705"/>
    <col min="246" max="246" width="6" style="705" bestFit="1" customWidth="1"/>
    <col min="247" max="247" width="51.5546875" style="705" bestFit="1" customWidth="1"/>
    <col min="248" max="248" width="9.88671875" style="705" bestFit="1" customWidth="1"/>
    <col min="249" max="249" width="13.44140625" style="705" bestFit="1" customWidth="1"/>
    <col min="250" max="250" width="7.109375" style="705" bestFit="1" customWidth="1"/>
    <col min="251" max="251" width="6.5546875" style="705" bestFit="1" customWidth="1"/>
    <col min="252" max="252" width="9" style="705" bestFit="1" customWidth="1"/>
    <col min="253" max="253" width="10.109375" style="705" bestFit="1" customWidth="1"/>
    <col min="254" max="254" width="9.88671875" style="705" bestFit="1" customWidth="1"/>
    <col min="255" max="255" width="10.109375" style="705" bestFit="1" customWidth="1"/>
    <col min="256" max="256" width="11.33203125" style="705" bestFit="1" customWidth="1"/>
    <col min="257" max="257" width="12.88671875" style="705" bestFit="1" customWidth="1"/>
    <col min="258" max="258" width="9.88671875" style="705" bestFit="1" customWidth="1"/>
    <col min="259" max="259" width="13.44140625" style="705" bestFit="1" customWidth="1"/>
    <col min="260" max="260" width="6.44140625" style="705" bestFit="1" customWidth="1"/>
    <col min="261" max="261" width="10" style="705" bestFit="1" customWidth="1"/>
    <col min="262" max="262" width="6.44140625" style="705" bestFit="1" customWidth="1"/>
    <col min="263" max="263" width="10" style="705" bestFit="1" customWidth="1"/>
    <col min="264" max="264" width="6.44140625" style="705" bestFit="1" customWidth="1"/>
    <col min="265" max="265" width="10.88671875" style="705" bestFit="1" customWidth="1"/>
    <col min="266" max="501" width="9.109375" style="705"/>
    <col min="502" max="502" width="6" style="705" bestFit="1" customWidth="1"/>
    <col min="503" max="503" width="51.5546875" style="705" bestFit="1" customWidth="1"/>
    <col min="504" max="504" width="9.88671875" style="705" bestFit="1" customWidth="1"/>
    <col min="505" max="505" width="13.44140625" style="705" bestFit="1" customWidth="1"/>
    <col min="506" max="506" width="7.109375" style="705" bestFit="1" customWidth="1"/>
    <col min="507" max="507" width="6.5546875" style="705" bestFit="1" customWidth="1"/>
    <col min="508" max="508" width="9" style="705" bestFit="1" customWidth="1"/>
    <col min="509" max="509" width="10.109375" style="705" bestFit="1" customWidth="1"/>
    <col min="510" max="510" width="9.88671875" style="705" bestFit="1" customWidth="1"/>
    <col min="511" max="511" width="10.109375" style="705" bestFit="1" customWidth="1"/>
    <col min="512" max="512" width="11.33203125" style="705" bestFit="1" customWidth="1"/>
    <col min="513" max="513" width="12.88671875" style="705" bestFit="1" customWidth="1"/>
    <col min="514" max="514" width="9.88671875" style="705" bestFit="1" customWidth="1"/>
    <col min="515" max="515" width="13.44140625" style="705" bestFit="1" customWidth="1"/>
    <col min="516" max="516" width="6.44140625" style="705" bestFit="1" customWidth="1"/>
    <col min="517" max="517" width="10" style="705" bestFit="1" customWidth="1"/>
    <col min="518" max="518" width="6.44140625" style="705" bestFit="1" customWidth="1"/>
    <col min="519" max="519" width="10" style="705" bestFit="1" customWidth="1"/>
    <col min="520" max="520" width="6.44140625" style="705" bestFit="1" customWidth="1"/>
    <col min="521" max="521" width="10.88671875" style="705" bestFit="1" customWidth="1"/>
    <col min="522" max="757" width="9.109375" style="705"/>
    <col min="758" max="758" width="6" style="705" bestFit="1" customWidth="1"/>
    <col min="759" max="759" width="51.5546875" style="705" bestFit="1" customWidth="1"/>
    <col min="760" max="760" width="9.88671875" style="705" bestFit="1" customWidth="1"/>
    <col min="761" max="761" width="13.44140625" style="705" bestFit="1" customWidth="1"/>
    <col min="762" max="762" width="7.109375" style="705" bestFit="1" customWidth="1"/>
    <col min="763" max="763" width="6.5546875" style="705" bestFit="1" customWidth="1"/>
    <col min="764" max="764" width="9" style="705" bestFit="1" customWidth="1"/>
    <col min="765" max="765" width="10.109375" style="705" bestFit="1" customWidth="1"/>
    <col min="766" max="766" width="9.88671875" style="705" bestFit="1" customWidth="1"/>
    <col min="767" max="767" width="10.109375" style="705" bestFit="1" customWidth="1"/>
    <col min="768" max="768" width="11.33203125" style="705" bestFit="1" customWidth="1"/>
    <col min="769" max="769" width="12.88671875" style="705" bestFit="1" customWidth="1"/>
    <col min="770" max="770" width="9.88671875" style="705" bestFit="1" customWidth="1"/>
    <col min="771" max="771" width="13.44140625" style="705" bestFit="1" customWidth="1"/>
    <col min="772" max="772" width="6.44140625" style="705" bestFit="1" customWidth="1"/>
    <col min="773" max="773" width="10" style="705" bestFit="1" customWidth="1"/>
    <col min="774" max="774" width="6.44140625" style="705" bestFit="1" customWidth="1"/>
    <col min="775" max="775" width="10" style="705" bestFit="1" customWidth="1"/>
    <col min="776" max="776" width="6.44140625" style="705" bestFit="1" customWidth="1"/>
    <col min="777" max="777" width="10.88671875" style="705" bestFit="1" customWidth="1"/>
    <col min="778" max="1013" width="9.109375" style="705"/>
    <col min="1014" max="1014" width="6" style="705" bestFit="1" customWidth="1"/>
    <col min="1015" max="1015" width="51.5546875" style="705" bestFit="1" customWidth="1"/>
    <col min="1016" max="1016" width="9.88671875" style="705" bestFit="1" customWidth="1"/>
    <col min="1017" max="1017" width="13.44140625" style="705" bestFit="1" customWidth="1"/>
    <col min="1018" max="1018" width="7.109375" style="705" bestFit="1" customWidth="1"/>
    <col min="1019" max="1019" width="6.5546875" style="705" bestFit="1" customWidth="1"/>
    <col min="1020" max="1020" width="9" style="705" bestFit="1" customWidth="1"/>
    <col min="1021" max="1021" width="10.109375" style="705" bestFit="1" customWidth="1"/>
    <col min="1022" max="1022" width="9.88671875" style="705" bestFit="1" customWidth="1"/>
    <col min="1023" max="1023" width="10.109375" style="705" bestFit="1" customWidth="1"/>
    <col min="1024" max="1024" width="11.33203125" style="705" bestFit="1" customWidth="1"/>
    <col min="1025" max="1025" width="12.88671875" style="705" bestFit="1" customWidth="1"/>
    <col min="1026" max="1026" width="9.88671875" style="705" bestFit="1" customWidth="1"/>
    <col min="1027" max="1027" width="13.44140625" style="705" bestFit="1" customWidth="1"/>
    <col min="1028" max="1028" width="6.44140625" style="705" bestFit="1" customWidth="1"/>
    <col min="1029" max="1029" width="10" style="705" bestFit="1" customWidth="1"/>
    <col min="1030" max="1030" width="6.44140625" style="705" bestFit="1" customWidth="1"/>
    <col min="1031" max="1031" width="10" style="705" bestFit="1" customWidth="1"/>
    <col min="1032" max="1032" width="6.44140625" style="705" bestFit="1" customWidth="1"/>
    <col min="1033" max="1033" width="10.88671875" style="705" bestFit="1" customWidth="1"/>
    <col min="1034" max="1269" width="9.109375" style="705"/>
    <col min="1270" max="1270" width="6" style="705" bestFit="1" customWidth="1"/>
    <col min="1271" max="1271" width="51.5546875" style="705" bestFit="1" customWidth="1"/>
    <col min="1272" max="1272" width="9.88671875" style="705" bestFit="1" customWidth="1"/>
    <col min="1273" max="1273" width="13.44140625" style="705" bestFit="1" customWidth="1"/>
    <col min="1274" max="1274" width="7.109375" style="705" bestFit="1" customWidth="1"/>
    <col min="1275" max="1275" width="6.5546875" style="705" bestFit="1" customWidth="1"/>
    <col min="1276" max="1276" width="9" style="705" bestFit="1" customWidth="1"/>
    <col min="1277" max="1277" width="10.109375" style="705" bestFit="1" customWidth="1"/>
    <col min="1278" max="1278" width="9.88671875" style="705" bestFit="1" customWidth="1"/>
    <col min="1279" max="1279" width="10.109375" style="705" bestFit="1" customWidth="1"/>
    <col min="1280" max="1280" width="11.33203125" style="705" bestFit="1" customWidth="1"/>
    <col min="1281" max="1281" width="12.88671875" style="705" bestFit="1" customWidth="1"/>
    <col min="1282" max="1282" width="9.88671875" style="705" bestFit="1" customWidth="1"/>
    <col min="1283" max="1283" width="13.44140625" style="705" bestFit="1" customWidth="1"/>
    <col min="1284" max="1284" width="6.44140625" style="705" bestFit="1" customWidth="1"/>
    <col min="1285" max="1285" width="10" style="705" bestFit="1" customWidth="1"/>
    <col min="1286" max="1286" width="6.44140625" style="705" bestFit="1" customWidth="1"/>
    <col min="1287" max="1287" width="10" style="705" bestFit="1" customWidth="1"/>
    <col min="1288" max="1288" width="6.44140625" style="705" bestFit="1" customWidth="1"/>
    <col min="1289" max="1289" width="10.88671875" style="705" bestFit="1" customWidth="1"/>
    <col min="1290" max="1525" width="9.109375" style="705"/>
    <col min="1526" max="1526" width="6" style="705" bestFit="1" customWidth="1"/>
    <col min="1527" max="1527" width="51.5546875" style="705" bestFit="1" customWidth="1"/>
    <col min="1528" max="1528" width="9.88671875" style="705" bestFit="1" customWidth="1"/>
    <col min="1529" max="1529" width="13.44140625" style="705" bestFit="1" customWidth="1"/>
    <col min="1530" max="1530" width="7.109375" style="705" bestFit="1" customWidth="1"/>
    <col min="1531" max="1531" width="6.5546875" style="705" bestFit="1" customWidth="1"/>
    <col min="1532" max="1532" width="9" style="705" bestFit="1" customWidth="1"/>
    <col min="1533" max="1533" width="10.109375" style="705" bestFit="1" customWidth="1"/>
    <col min="1534" max="1534" width="9.88671875" style="705" bestFit="1" customWidth="1"/>
    <col min="1535" max="1535" width="10.109375" style="705" bestFit="1" customWidth="1"/>
    <col min="1536" max="1536" width="11.33203125" style="705" bestFit="1" customWidth="1"/>
    <col min="1537" max="1537" width="12.88671875" style="705" bestFit="1" customWidth="1"/>
    <col min="1538" max="1538" width="9.88671875" style="705" bestFit="1" customWidth="1"/>
    <col min="1539" max="1539" width="13.44140625" style="705" bestFit="1" customWidth="1"/>
    <col min="1540" max="1540" width="6.44140625" style="705" bestFit="1" customWidth="1"/>
    <col min="1541" max="1541" width="10" style="705" bestFit="1" customWidth="1"/>
    <col min="1542" max="1542" width="6.44140625" style="705" bestFit="1" customWidth="1"/>
    <col min="1543" max="1543" width="10" style="705" bestFit="1" customWidth="1"/>
    <col min="1544" max="1544" width="6.44140625" style="705" bestFit="1" customWidth="1"/>
    <col min="1545" max="1545" width="10.88671875" style="705" bestFit="1" customWidth="1"/>
    <col min="1546" max="1781" width="9.109375" style="705"/>
    <col min="1782" max="1782" width="6" style="705" bestFit="1" customWidth="1"/>
    <col min="1783" max="1783" width="51.5546875" style="705" bestFit="1" customWidth="1"/>
    <col min="1784" max="1784" width="9.88671875" style="705" bestFit="1" customWidth="1"/>
    <col min="1785" max="1785" width="13.44140625" style="705" bestFit="1" customWidth="1"/>
    <col min="1786" max="1786" width="7.109375" style="705" bestFit="1" customWidth="1"/>
    <col min="1787" max="1787" width="6.5546875" style="705" bestFit="1" customWidth="1"/>
    <col min="1788" max="1788" width="9" style="705" bestFit="1" customWidth="1"/>
    <col min="1789" max="1789" width="10.109375" style="705" bestFit="1" customWidth="1"/>
    <col min="1790" max="1790" width="9.88671875" style="705" bestFit="1" customWidth="1"/>
    <col min="1791" max="1791" width="10.109375" style="705" bestFit="1" customWidth="1"/>
    <col min="1792" max="1792" width="11.33203125" style="705" bestFit="1" customWidth="1"/>
    <col min="1793" max="1793" width="12.88671875" style="705" bestFit="1" customWidth="1"/>
    <col min="1794" max="1794" width="9.88671875" style="705" bestFit="1" customWidth="1"/>
    <col min="1795" max="1795" width="13.44140625" style="705" bestFit="1" customWidth="1"/>
    <col min="1796" max="1796" width="6.44140625" style="705" bestFit="1" customWidth="1"/>
    <col min="1797" max="1797" width="10" style="705" bestFit="1" customWidth="1"/>
    <col min="1798" max="1798" width="6.44140625" style="705" bestFit="1" customWidth="1"/>
    <col min="1799" max="1799" width="10" style="705" bestFit="1" customWidth="1"/>
    <col min="1800" max="1800" width="6.44140625" style="705" bestFit="1" customWidth="1"/>
    <col min="1801" max="1801" width="10.88671875" style="705" bestFit="1" customWidth="1"/>
    <col min="1802" max="2037" width="9.109375" style="705"/>
    <col min="2038" max="2038" width="6" style="705" bestFit="1" customWidth="1"/>
    <col min="2039" max="2039" width="51.5546875" style="705" bestFit="1" customWidth="1"/>
    <col min="2040" max="2040" width="9.88671875" style="705" bestFit="1" customWidth="1"/>
    <col min="2041" max="2041" width="13.44140625" style="705" bestFit="1" customWidth="1"/>
    <col min="2042" max="2042" width="7.109375" style="705" bestFit="1" customWidth="1"/>
    <col min="2043" max="2043" width="6.5546875" style="705" bestFit="1" customWidth="1"/>
    <col min="2044" max="2044" width="9" style="705" bestFit="1" customWidth="1"/>
    <col min="2045" max="2045" width="10.109375" style="705" bestFit="1" customWidth="1"/>
    <col min="2046" max="2046" width="9.88671875" style="705" bestFit="1" customWidth="1"/>
    <col min="2047" max="2047" width="10.109375" style="705" bestFit="1" customWidth="1"/>
    <col min="2048" max="2048" width="11.33203125" style="705" bestFit="1" customWidth="1"/>
    <col min="2049" max="2049" width="12.88671875" style="705" bestFit="1" customWidth="1"/>
    <col min="2050" max="2050" width="9.88671875" style="705" bestFit="1" customWidth="1"/>
    <col min="2051" max="2051" width="13.44140625" style="705" bestFit="1" customWidth="1"/>
    <col min="2052" max="2052" width="6.44140625" style="705" bestFit="1" customWidth="1"/>
    <col min="2053" max="2053" width="10" style="705" bestFit="1" customWidth="1"/>
    <col min="2054" max="2054" width="6.44140625" style="705" bestFit="1" customWidth="1"/>
    <col min="2055" max="2055" width="10" style="705" bestFit="1" customWidth="1"/>
    <col min="2056" max="2056" width="6.44140625" style="705" bestFit="1" customWidth="1"/>
    <col min="2057" max="2057" width="10.88671875" style="705" bestFit="1" customWidth="1"/>
    <col min="2058" max="2293" width="9.109375" style="705"/>
    <col min="2294" max="2294" width="6" style="705" bestFit="1" customWidth="1"/>
    <col min="2295" max="2295" width="51.5546875" style="705" bestFit="1" customWidth="1"/>
    <col min="2296" max="2296" width="9.88671875" style="705" bestFit="1" customWidth="1"/>
    <col min="2297" max="2297" width="13.44140625" style="705" bestFit="1" customWidth="1"/>
    <col min="2298" max="2298" width="7.109375" style="705" bestFit="1" customWidth="1"/>
    <col min="2299" max="2299" width="6.5546875" style="705" bestFit="1" customWidth="1"/>
    <col min="2300" max="2300" width="9" style="705" bestFit="1" customWidth="1"/>
    <col min="2301" max="2301" width="10.109375" style="705" bestFit="1" customWidth="1"/>
    <col min="2302" max="2302" width="9.88671875" style="705" bestFit="1" customWidth="1"/>
    <col min="2303" max="2303" width="10.109375" style="705" bestFit="1" customWidth="1"/>
    <col min="2304" max="2304" width="11.33203125" style="705" bestFit="1" customWidth="1"/>
    <col min="2305" max="2305" width="12.88671875" style="705" bestFit="1" customWidth="1"/>
    <col min="2306" max="2306" width="9.88671875" style="705" bestFit="1" customWidth="1"/>
    <col min="2307" max="2307" width="13.44140625" style="705" bestFit="1" customWidth="1"/>
    <col min="2308" max="2308" width="6.44140625" style="705" bestFit="1" customWidth="1"/>
    <col min="2309" max="2309" width="10" style="705" bestFit="1" customWidth="1"/>
    <col min="2310" max="2310" width="6.44140625" style="705" bestFit="1" customWidth="1"/>
    <col min="2311" max="2311" width="10" style="705" bestFit="1" customWidth="1"/>
    <col min="2312" max="2312" width="6.44140625" style="705" bestFit="1" customWidth="1"/>
    <col min="2313" max="2313" width="10.88671875" style="705" bestFit="1" customWidth="1"/>
    <col min="2314" max="2549" width="9.109375" style="705"/>
    <col min="2550" max="2550" width="6" style="705" bestFit="1" customWidth="1"/>
    <col min="2551" max="2551" width="51.5546875" style="705" bestFit="1" customWidth="1"/>
    <col min="2552" max="2552" width="9.88671875" style="705" bestFit="1" customWidth="1"/>
    <col min="2553" max="2553" width="13.44140625" style="705" bestFit="1" customWidth="1"/>
    <col min="2554" max="2554" width="7.109375" style="705" bestFit="1" customWidth="1"/>
    <col min="2555" max="2555" width="6.5546875" style="705" bestFit="1" customWidth="1"/>
    <col min="2556" max="2556" width="9" style="705" bestFit="1" customWidth="1"/>
    <col min="2557" max="2557" width="10.109375" style="705" bestFit="1" customWidth="1"/>
    <col min="2558" max="2558" width="9.88671875" style="705" bestFit="1" customWidth="1"/>
    <col min="2559" max="2559" width="10.109375" style="705" bestFit="1" customWidth="1"/>
    <col min="2560" max="2560" width="11.33203125" style="705" bestFit="1" customWidth="1"/>
    <col min="2561" max="2561" width="12.88671875" style="705" bestFit="1" customWidth="1"/>
    <col min="2562" max="2562" width="9.88671875" style="705" bestFit="1" customWidth="1"/>
    <col min="2563" max="2563" width="13.44140625" style="705" bestFit="1" customWidth="1"/>
    <col min="2564" max="2564" width="6.44140625" style="705" bestFit="1" customWidth="1"/>
    <col min="2565" max="2565" width="10" style="705" bestFit="1" customWidth="1"/>
    <col min="2566" max="2566" width="6.44140625" style="705" bestFit="1" customWidth="1"/>
    <col min="2567" max="2567" width="10" style="705" bestFit="1" customWidth="1"/>
    <col min="2568" max="2568" width="6.44140625" style="705" bestFit="1" customWidth="1"/>
    <col min="2569" max="2569" width="10.88671875" style="705" bestFit="1" customWidth="1"/>
    <col min="2570" max="2805" width="9.109375" style="705"/>
    <col min="2806" max="2806" width="6" style="705" bestFit="1" customWidth="1"/>
    <col min="2807" max="2807" width="51.5546875" style="705" bestFit="1" customWidth="1"/>
    <col min="2808" max="2808" width="9.88671875" style="705" bestFit="1" customWidth="1"/>
    <col min="2809" max="2809" width="13.44140625" style="705" bestFit="1" customWidth="1"/>
    <col min="2810" max="2810" width="7.109375" style="705" bestFit="1" customWidth="1"/>
    <col min="2811" max="2811" width="6.5546875" style="705" bestFit="1" customWidth="1"/>
    <col min="2812" max="2812" width="9" style="705" bestFit="1" customWidth="1"/>
    <col min="2813" max="2813" width="10.109375" style="705" bestFit="1" customWidth="1"/>
    <col min="2814" max="2814" width="9.88671875" style="705" bestFit="1" customWidth="1"/>
    <col min="2815" max="2815" width="10.109375" style="705" bestFit="1" customWidth="1"/>
    <col min="2816" max="2816" width="11.33203125" style="705" bestFit="1" customWidth="1"/>
    <col min="2817" max="2817" width="12.88671875" style="705" bestFit="1" customWidth="1"/>
    <col min="2818" max="2818" width="9.88671875" style="705" bestFit="1" customWidth="1"/>
    <col min="2819" max="2819" width="13.44140625" style="705" bestFit="1" customWidth="1"/>
    <col min="2820" max="2820" width="6.44140625" style="705" bestFit="1" customWidth="1"/>
    <col min="2821" max="2821" width="10" style="705" bestFit="1" customWidth="1"/>
    <col min="2822" max="2822" width="6.44140625" style="705" bestFit="1" customWidth="1"/>
    <col min="2823" max="2823" width="10" style="705" bestFit="1" customWidth="1"/>
    <col min="2824" max="2824" width="6.44140625" style="705" bestFit="1" customWidth="1"/>
    <col min="2825" max="2825" width="10.88671875" style="705" bestFit="1" customWidth="1"/>
    <col min="2826" max="3061" width="9.109375" style="705"/>
    <col min="3062" max="3062" width="6" style="705" bestFit="1" customWidth="1"/>
    <col min="3063" max="3063" width="51.5546875" style="705" bestFit="1" customWidth="1"/>
    <col min="3064" max="3064" width="9.88671875" style="705" bestFit="1" customWidth="1"/>
    <col min="3065" max="3065" width="13.44140625" style="705" bestFit="1" customWidth="1"/>
    <col min="3066" max="3066" width="7.109375" style="705" bestFit="1" customWidth="1"/>
    <col min="3067" max="3067" width="6.5546875" style="705" bestFit="1" customWidth="1"/>
    <col min="3068" max="3068" width="9" style="705" bestFit="1" customWidth="1"/>
    <col min="3069" max="3069" width="10.109375" style="705" bestFit="1" customWidth="1"/>
    <col min="3070" max="3070" width="9.88671875" style="705" bestFit="1" customWidth="1"/>
    <col min="3071" max="3071" width="10.109375" style="705" bestFit="1" customWidth="1"/>
    <col min="3072" max="3072" width="11.33203125" style="705" bestFit="1" customWidth="1"/>
    <col min="3073" max="3073" width="12.88671875" style="705" bestFit="1" customWidth="1"/>
    <col min="3074" max="3074" width="9.88671875" style="705" bestFit="1" customWidth="1"/>
    <col min="3075" max="3075" width="13.44140625" style="705" bestFit="1" customWidth="1"/>
    <col min="3076" max="3076" width="6.44140625" style="705" bestFit="1" customWidth="1"/>
    <col min="3077" max="3077" width="10" style="705" bestFit="1" customWidth="1"/>
    <col min="3078" max="3078" width="6.44140625" style="705" bestFit="1" customWidth="1"/>
    <col min="3079" max="3079" width="10" style="705" bestFit="1" customWidth="1"/>
    <col min="3080" max="3080" width="6.44140625" style="705" bestFit="1" customWidth="1"/>
    <col min="3081" max="3081" width="10.88671875" style="705" bestFit="1" customWidth="1"/>
    <col min="3082" max="3317" width="9.109375" style="705"/>
    <col min="3318" max="3318" width="6" style="705" bestFit="1" customWidth="1"/>
    <col min="3319" max="3319" width="51.5546875" style="705" bestFit="1" customWidth="1"/>
    <col min="3320" max="3320" width="9.88671875" style="705" bestFit="1" customWidth="1"/>
    <col min="3321" max="3321" width="13.44140625" style="705" bestFit="1" customWidth="1"/>
    <col min="3322" max="3322" width="7.109375" style="705" bestFit="1" customWidth="1"/>
    <col min="3323" max="3323" width="6.5546875" style="705" bestFit="1" customWidth="1"/>
    <col min="3324" max="3324" width="9" style="705" bestFit="1" customWidth="1"/>
    <col min="3325" max="3325" width="10.109375" style="705" bestFit="1" customWidth="1"/>
    <col min="3326" max="3326" width="9.88671875" style="705" bestFit="1" customWidth="1"/>
    <col min="3327" max="3327" width="10.109375" style="705" bestFit="1" customWidth="1"/>
    <col min="3328" max="3328" width="11.33203125" style="705" bestFit="1" customWidth="1"/>
    <col min="3329" max="3329" width="12.88671875" style="705" bestFit="1" customWidth="1"/>
    <col min="3330" max="3330" width="9.88671875" style="705" bestFit="1" customWidth="1"/>
    <col min="3331" max="3331" width="13.44140625" style="705" bestFit="1" customWidth="1"/>
    <col min="3332" max="3332" width="6.44140625" style="705" bestFit="1" customWidth="1"/>
    <col min="3333" max="3333" width="10" style="705" bestFit="1" customWidth="1"/>
    <col min="3334" max="3334" width="6.44140625" style="705" bestFit="1" customWidth="1"/>
    <col min="3335" max="3335" width="10" style="705" bestFit="1" customWidth="1"/>
    <col min="3336" max="3336" width="6.44140625" style="705" bestFit="1" customWidth="1"/>
    <col min="3337" max="3337" width="10.88671875" style="705" bestFit="1" customWidth="1"/>
    <col min="3338" max="3573" width="9.109375" style="705"/>
    <col min="3574" max="3574" width="6" style="705" bestFit="1" customWidth="1"/>
    <col min="3575" max="3575" width="51.5546875" style="705" bestFit="1" customWidth="1"/>
    <col min="3576" max="3576" width="9.88671875" style="705" bestFit="1" customWidth="1"/>
    <col min="3577" max="3577" width="13.44140625" style="705" bestFit="1" customWidth="1"/>
    <col min="3578" max="3578" width="7.109375" style="705" bestFit="1" customWidth="1"/>
    <col min="3579" max="3579" width="6.5546875" style="705" bestFit="1" customWidth="1"/>
    <col min="3580" max="3580" width="9" style="705" bestFit="1" customWidth="1"/>
    <col min="3581" max="3581" width="10.109375" style="705" bestFit="1" customWidth="1"/>
    <col min="3582" max="3582" width="9.88671875" style="705" bestFit="1" customWidth="1"/>
    <col min="3583" max="3583" width="10.109375" style="705" bestFit="1" customWidth="1"/>
    <col min="3584" max="3584" width="11.33203125" style="705" bestFit="1" customWidth="1"/>
    <col min="3585" max="3585" width="12.88671875" style="705" bestFit="1" customWidth="1"/>
    <col min="3586" max="3586" width="9.88671875" style="705" bestFit="1" customWidth="1"/>
    <col min="3587" max="3587" width="13.44140625" style="705" bestFit="1" customWidth="1"/>
    <col min="3588" max="3588" width="6.44140625" style="705" bestFit="1" customWidth="1"/>
    <col min="3589" max="3589" width="10" style="705" bestFit="1" customWidth="1"/>
    <col min="3590" max="3590" width="6.44140625" style="705" bestFit="1" customWidth="1"/>
    <col min="3591" max="3591" width="10" style="705" bestFit="1" customWidth="1"/>
    <col min="3592" max="3592" width="6.44140625" style="705" bestFit="1" customWidth="1"/>
    <col min="3593" max="3593" width="10.88671875" style="705" bestFit="1" customWidth="1"/>
    <col min="3594" max="3829" width="9.109375" style="705"/>
    <col min="3830" max="3830" width="6" style="705" bestFit="1" customWidth="1"/>
    <col min="3831" max="3831" width="51.5546875" style="705" bestFit="1" customWidth="1"/>
    <col min="3832" max="3832" width="9.88671875" style="705" bestFit="1" customWidth="1"/>
    <col min="3833" max="3833" width="13.44140625" style="705" bestFit="1" customWidth="1"/>
    <col min="3834" max="3834" width="7.109375" style="705" bestFit="1" customWidth="1"/>
    <col min="3835" max="3835" width="6.5546875" style="705" bestFit="1" customWidth="1"/>
    <col min="3836" max="3836" width="9" style="705" bestFit="1" customWidth="1"/>
    <col min="3837" max="3837" width="10.109375" style="705" bestFit="1" customWidth="1"/>
    <col min="3838" max="3838" width="9.88671875" style="705" bestFit="1" customWidth="1"/>
    <col min="3839" max="3839" width="10.109375" style="705" bestFit="1" customWidth="1"/>
    <col min="3840" max="3840" width="11.33203125" style="705" bestFit="1" customWidth="1"/>
    <col min="3841" max="3841" width="12.88671875" style="705" bestFit="1" customWidth="1"/>
    <col min="3842" max="3842" width="9.88671875" style="705" bestFit="1" customWidth="1"/>
    <col min="3843" max="3843" width="13.44140625" style="705" bestFit="1" customWidth="1"/>
    <col min="3844" max="3844" width="6.44140625" style="705" bestFit="1" customWidth="1"/>
    <col min="3845" max="3845" width="10" style="705" bestFit="1" customWidth="1"/>
    <col min="3846" max="3846" width="6.44140625" style="705" bestFit="1" customWidth="1"/>
    <col min="3847" max="3847" width="10" style="705" bestFit="1" customWidth="1"/>
    <col min="3848" max="3848" width="6.44140625" style="705" bestFit="1" customWidth="1"/>
    <col min="3849" max="3849" width="10.88671875" style="705" bestFit="1" customWidth="1"/>
    <col min="3850" max="4085" width="9.109375" style="705"/>
    <col min="4086" max="4086" width="6" style="705" bestFit="1" customWidth="1"/>
    <col min="4087" max="4087" width="51.5546875" style="705" bestFit="1" customWidth="1"/>
    <col min="4088" max="4088" width="9.88671875" style="705" bestFit="1" customWidth="1"/>
    <col min="4089" max="4089" width="13.44140625" style="705" bestFit="1" customWidth="1"/>
    <col min="4090" max="4090" width="7.109375" style="705" bestFit="1" customWidth="1"/>
    <col min="4091" max="4091" width="6.5546875" style="705" bestFit="1" customWidth="1"/>
    <col min="4092" max="4092" width="9" style="705" bestFit="1" customWidth="1"/>
    <col min="4093" max="4093" width="10.109375" style="705" bestFit="1" customWidth="1"/>
    <col min="4094" max="4094" width="9.88671875" style="705" bestFit="1" customWidth="1"/>
    <col min="4095" max="4095" width="10.109375" style="705" bestFit="1" customWidth="1"/>
    <col min="4096" max="4096" width="11.33203125" style="705" bestFit="1" customWidth="1"/>
    <col min="4097" max="4097" width="12.88671875" style="705" bestFit="1" customWidth="1"/>
    <col min="4098" max="4098" width="9.88671875" style="705" bestFit="1" customWidth="1"/>
    <col min="4099" max="4099" width="13.44140625" style="705" bestFit="1" customWidth="1"/>
    <col min="4100" max="4100" width="6.44140625" style="705" bestFit="1" customWidth="1"/>
    <col min="4101" max="4101" width="10" style="705" bestFit="1" customWidth="1"/>
    <col min="4102" max="4102" width="6.44140625" style="705" bestFit="1" customWidth="1"/>
    <col min="4103" max="4103" width="10" style="705" bestFit="1" customWidth="1"/>
    <col min="4104" max="4104" width="6.44140625" style="705" bestFit="1" customWidth="1"/>
    <col min="4105" max="4105" width="10.88671875" style="705" bestFit="1" customWidth="1"/>
    <col min="4106" max="4341" width="9.109375" style="705"/>
    <col min="4342" max="4342" width="6" style="705" bestFit="1" customWidth="1"/>
    <col min="4343" max="4343" width="51.5546875" style="705" bestFit="1" customWidth="1"/>
    <col min="4344" max="4344" width="9.88671875" style="705" bestFit="1" customWidth="1"/>
    <col min="4345" max="4345" width="13.44140625" style="705" bestFit="1" customWidth="1"/>
    <col min="4346" max="4346" width="7.109375" style="705" bestFit="1" customWidth="1"/>
    <col min="4347" max="4347" width="6.5546875" style="705" bestFit="1" customWidth="1"/>
    <col min="4348" max="4348" width="9" style="705" bestFit="1" customWidth="1"/>
    <col min="4349" max="4349" width="10.109375" style="705" bestFit="1" customWidth="1"/>
    <col min="4350" max="4350" width="9.88671875" style="705" bestFit="1" customWidth="1"/>
    <col min="4351" max="4351" width="10.109375" style="705" bestFit="1" customWidth="1"/>
    <col min="4352" max="4352" width="11.33203125" style="705" bestFit="1" customWidth="1"/>
    <col min="4353" max="4353" width="12.88671875" style="705" bestFit="1" customWidth="1"/>
    <col min="4354" max="4354" width="9.88671875" style="705" bestFit="1" customWidth="1"/>
    <col min="4355" max="4355" width="13.44140625" style="705" bestFit="1" customWidth="1"/>
    <col min="4356" max="4356" width="6.44140625" style="705" bestFit="1" customWidth="1"/>
    <col min="4357" max="4357" width="10" style="705" bestFit="1" customWidth="1"/>
    <col min="4358" max="4358" width="6.44140625" style="705" bestFit="1" customWidth="1"/>
    <col min="4359" max="4359" width="10" style="705" bestFit="1" customWidth="1"/>
    <col min="4360" max="4360" width="6.44140625" style="705" bestFit="1" customWidth="1"/>
    <col min="4361" max="4361" width="10.88671875" style="705" bestFit="1" customWidth="1"/>
    <col min="4362" max="4597" width="9.109375" style="705"/>
    <col min="4598" max="4598" width="6" style="705" bestFit="1" customWidth="1"/>
    <col min="4599" max="4599" width="51.5546875" style="705" bestFit="1" customWidth="1"/>
    <col min="4600" max="4600" width="9.88671875" style="705" bestFit="1" customWidth="1"/>
    <col min="4601" max="4601" width="13.44140625" style="705" bestFit="1" customWidth="1"/>
    <col min="4602" max="4602" width="7.109375" style="705" bestFit="1" customWidth="1"/>
    <col min="4603" max="4603" width="6.5546875" style="705" bestFit="1" customWidth="1"/>
    <col min="4604" max="4604" width="9" style="705" bestFit="1" customWidth="1"/>
    <col min="4605" max="4605" width="10.109375" style="705" bestFit="1" customWidth="1"/>
    <col min="4606" max="4606" width="9.88671875" style="705" bestFit="1" customWidth="1"/>
    <col min="4607" max="4607" width="10.109375" style="705" bestFit="1" customWidth="1"/>
    <col min="4608" max="4608" width="11.33203125" style="705" bestFit="1" customWidth="1"/>
    <col min="4609" max="4609" width="12.88671875" style="705" bestFit="1" customWidth="1"/>
    <col min="4610" max="4610" width="9.88671875" style="705" bestFit="1" customWidth="1"/>
    <col min="4611" max="4611" width="13.44140625" style="705" bestFit="1" customWidth="1"/>
    <col min="4612" max="4612" width="6.44140625" style="705" bestFit="1" customWidth="1"/>
    <col min="4613" max="4613" width="10" style="705" bestFit="1" customWidth="1"/>
    <col min="4614" max="4614" width="6.44140625" style="705" bestFit="1" customWidth="1"/>
    <col min="4615" max="4615" width="10" style="705" bestFit="1" customWidth="1"/>
    <col min="4616" max="4616" width="6.44140625" style="705" bestFit="1" customWidth="1"/>
    <col min="4617" max="4617" width="10.88671875" style="705" bestFit="1" customWidth="1"/>
    <col min="4618" max="4853" width="9.109375" style="705"/>
    <col min="4854" max="4854" width="6" style="705" bestFit="1" customWidth="1"/>
    <col min="4855" max="4855" width="51.5546875" style="705" bestFit="1" customWidth="1"/>
    <col min="4856" max="4856" width="9.88671875" style="705" bestFit="1" customWidth="1"/>
    <col min="4857" max="4857" width="13.44140625" style="705" bestFit="1" customWidth="1"/>
    <col min="4858" max="4858" width="7.109375" style="705" bestFit="1" customWidth="1"/>
    <col min="4859" max="4859" width="6.5546875" style="705" bestFit="1" customWidth="1"/>
    <col min="4860" max="4860" width="9" style="705" bestFit="1" customWidth="1"/>
    <col min="4861" max="4861" width="10.109375" style="705" bestFit="1" customWidth="1"/>
    <col min="4862" max="4862" width="9.88671875" style="705" bestFit="1" customWidth="1"/>
    <col min="4863" max="4863" width="10.109375" style="705" bestFit="1" customWidth="1"/>
    <col min="4864" max="4864" width="11.33203125" style="705" bestFit="1" customWidth="1"/>
    <col min="4865" max="4865" width="12.88671875" style="705" bestFit="1" customWidth="1"/>
    <col min="4866" max="4866" width="9.88671875" style="705" bestFit="1" customWidth="1"/>
    <col min="4867" max="4867" width="13.44140625" style="705" bestFit="1" customWidth="1"/>
    <col min="4868" max="4868" width="6.44140625" style="705" bestFit="1" customWidth="1"/>
    <col min="4869" max="4869" width="10" style="705" bestFit="1" customWidth="1"/>
    <col min="4870" max="4870" width="6.44140625" style="705" bestFit="1" customWidth="1"/>
    <col min="4871" max="4871" width="10" style="705" bestFit="1" customWidth="1"/>
    <col min="4872" max="4872" width="6.44140625" style="705" bestFit="1" customWidth="1"/>
    <col min="4873" max="4873" width="10.88671875" style="705" bestFit="1" customWidth="1"/>
    <col min="4874" max="5109" width="9.109375" style="705"/>
    <col min="5110" max="5110" width="6" style="705" bestFit="1" customWidth="1"/>
    <col min="5111" max="5111" width="51.5546875" style="705" bestFit="1" customWidth="1"/>
    <col min="5112" max="5112" width="9.88671875" style="705" bestFit="1" customWidth="1"/>
    <col min="5113" max="5113" width="13.44140625" style="705" bestFit="1" customWidth="1"/>
    <col min="5114" max="5114" width="7.109375" style="705" bestFit="1" customWidth="1"/>
    <col min="5115" max="5115" width="6.5546875" style="705" bestFit="1" customWidth="1"/>
    <col min="5116" max="5116" width="9" style="705" bestFit="1" customWidth="1"/>
    <col min="5117" max="5117" width="10.109375" style="705" bestFit="1" customWidth="1"/>
    <col min="5118" max="5118" width="9.88671875" style="705" bestFit="1" customWidth="1"/>
    <col min="5119" max="5119" width="10.109375" style="705" bestFit="1" customWidth="1"/>
    <col min="5120" max="5120" width="11.33203125" style="705" bestFit="1" customWidth="1"/>
    <col min="5121" max="5121" width="12.88671875" style="705" bestFit="1" customWidth="1"/>
    <col min="5122" max="5122" width="9.88671875" style="705" bestFit="1" customWidth="1"/>
    <col min="5123" max="5123" width="13.44140625" style="705" bestFit="1" customWidth="1"/>
    <col min="5124" max="5124" width="6.44140625" style="705" bestFit="1" customWidth="1"/>
    <col min="5125" max="5125" width="10" style="705" bestFit="1" customWidth="1"/>
    <col min="5126" max="5126" width="6.44140625" style="705" bestFit="1" customWidth="1"/>
    <col min="5127" max="5127" width="10" style="705" bestFit="1" customWidth="1"/>
    <col min="5128" max="5128" width="6.44140625" style="705" bestFit="1" customWidth="1"/>
    <col min="5129" max="5129" width="10.88671875" style="705" bestFit="1" customWidth="1"/>
    <col min="5130" max="5365" width="9.109375" style="705"/>
    <col min="5366" max="5366" width="6" style="705" bestFit="1" customWidth="1"/>
    <col min="5367" max="5367" width="51.5546875" style="705" bestFit="1" customWidth="1"/>
    <col min="5368" max="5368" width="9.88671875" style="705" bestFit="1" customWidth="1"/>
    <col min="5369" max="5369" width="13.44140625" style="705" bestFit="1" customWidth="1"/>
    <col min="5370" max="5370" width="7.109375" style="705" bestFit="1" customWidth="1"/>
    <col min="5371" max="5371" width="6.5546875" style="705" bestFit="1" customWidth="1"/>
    <col min="5372" max="5372" width="9" style="705" bestFit="1" customWidth="1"/>
    <col min="5373" max="5373" width="10.109375" style="705" bestFit="1" customWidth="1"/>
    <col min="5374" max="5374" width="9.88671875" style="705" bestFit="1" customWidth="1"/>
    <col min="5375" max="5375" width="10.109375" style="705" bestFit="1" customWidth="1"/>
    <col min="5376" max="5376" width="11.33203125" style="705" bestFit="1" customWidth="1"/>
    <col min="5377" max="5377" width="12.88671875" style="705" bestFit="1" customWidth="1"/>
    <col min="5378" max="5378" width="9.88671875" style="705" bestFit="1" customWidth="1"/>
    <col min="5379" max="5379" width="13.44140625" style="705" bestFit="1" customWidth="1"/>
    <col min="5380" max="5380" width="6.44140625" style="705" bestFit="1" customWidth="1"/>
    <col min="5381" max="5381" width="10" style="705" bestFit="1" customWidth="1"/>
    <col min="5382" max="5382" width="6.44140625" style="705" bestFit="1" customWidth="1"/>
    <col min="5383" max="5383" width="10" style="705" bestFit="1" customWidth="1"/>
    <col min="5384" max="5384" width="6.44140625" style="705" bestFit="1" customWidth="1"/>
    <col min="5385" max="5385" width="10.88671875" style="705" bestFit="1" customWidth="1"/>
    <col min="5386" max="5621" width="9.109375" style="705"/>
    <col min="5622" max="5622" width="6" style="705" bestFit="1" customWidth="1"/>
    <col min="5623" max="5623" width="51.5546875" style="705" bestFit="1" customWidth="1"/>
    <col min="5624" max="5624" width="9.88671875" style="705" bestFit="1" customWidth="1"/>
    <col min="5625" max="5625" width="13.44140625" style="705" bestFit="1" customWidth="1"/>
    <col min="5626" max="5626" width="7.109375" style="705" bestFit="1" customWidth="1"/>
    <col min="5627" max="5627" width="6.5546875" style="705" bestFit="1" customWidth="1"/>
    <col min="5628" max="5628" width="9" style="705" bestFit="1" customWidth="1"/>
    <col min="5629" max="5629" width="10.109375" style="705" bestFit="1" customWidth="1"/>
    <col min="5630" max="5630" width="9.88671875" style="705" bestFit="1" customWidth="1"/>
    <col min="5631" max="5631" width="10.109375" style="705" bestFit="1" customWidth="1"/>
    <col min="5632" max="5632" width="11.33203125" style="705" bestFit="1" customWidth="1"/>
    <col min="5633" max="5633" width="12.88671875" style="705" bestFit="1" customWidth="1"/>
    <col min="5634" max="5634" width="9.88671875" style="705" bestFit="1" customWidth="1"/>
    <col min="5635" max="5635" width="13.44140625" style="705" bestFit="1" customWidth="1"/>
    <col min="5636" max="5636" width="6.44140625" style="705" bestFit="1" customWidth="1"/>
    <col min="5637" max="5637" width="10" style="705" bestFit="1" customWidth="1"/>
    <col min="5638" max="5638" width="6.44140625" style="705" bestFit="1" customWidth="1"/>
    <col min="5639" max="5639" width="10" style="705" bestFit="1" customWidth="1"/>
    <col min="5640" max="5640" width="6.44140625" style="705" bestFit="1" customWidth="1"/>
    <col min="5641" max="5641" width="10.88671875" style="705" bestFit="1" customWidth="1"/>
    <col min="5642" max="5877" width="9.109375" style="705"/>
    <col min="5878" max="5878" width="6" style="705" bestFit="1" customWidth="1"/>
    <col min="5879" max="5879" width="51.5546875" style="705" bestFit="1" customWidth="1"/>
    <col min="5880" max="5880" width="9.88671875" style="705" bestFit="1" customWidth="1"/>
    <col min="5881" max="5881" width="13.44140625" style="705" bestFit="1" customWidth="1"/>
    <col min="5882" max="5882" width="7.109375" style="705" bestFit="1" customWidth="1"/>
    <col min="5883" max="5883" width="6.5546875" style="705" bestFit="1" customWidth="1"/>
    <col min="5884" max="5884" width="9" style="705" bestFit="1" customWidth="1"/>
    <col min="5885" max="5885" width="10.109375" style="705" bestFit="1" customWidth="1"/>
    <col min="5886" max="5886" width="9.88671875" style="705" bestFit="1" customWidth="1"/>
    <col min="5887" max="5887" width="10.109375" style="705" bestFit="1" customWidth="1"/>
    <col min="5888" max="5888" width="11.33203125" style="705" bestFit="1" customWidth="1"/>
    <col min="5889" max="5889" width="12.88671875" style="705" bestFit="1" customWidth="1"/>
    <col min="5890" max="5890" width="9.88671875" style="705" bestFit="1" customWidth="1"/>
    <col min="5891" max="5891" width="13.44140625" style="705" bestFit="1" customWidth="1"/>
    <col min="5892" max="5892" width="6.44140625" style="705" bestFit="1" customWidth="1"/>
    <col min="5893" max="5893" width="10" style="705" bestFit="1" customWidth="1"/>
    <col min="5894" max="5894" width="6.44140625" style="705" bestFit="1" customWidth="1"/>
    <col min="5895" max="5895" width="10" style="705" bestFit="1" customWidth="1"/>
    <col min="5896" max="5896" width="6.44140625" style="705" bestFit="1" customWidth="1"/>
    <col min="5897" max="5897" width="10.88671875" style="705" bestFit="1" customWidth="1"/>
    <col min="5898" max="6133" width="9.109375" style="705"/>
    <col min="6134" max="6134" width="6" style="705" bestFit="1" customWidth="1"/>
    <col min="6135" max="6135" width="51.5546875" style="705" bestFit="1" customWidth="1"/>
    <col min="6136" max="6136" width="9.88671875" style="705" bestFit="1" customWidth="1"/>
    <col min="6137" max="6137" width="13.44140625" style="705" bestFit="1" customWidth="1"/>
    <col min="6138" max="6138" width="7.109375" style="705" bestFit="1" customWidth="1"/>
    <col min="6139" max="6139" width="6.5546875" style="705" bestFit="1" customWidth="1"/>
    <col min="6140" max="6140" width="9" style="705" bestFit="1" customWidth="1"/>
    <col min="6141" max="6141" width="10.109375" style="705" bestFit="1" customWidth="1"/>
    <col min="6142" max="6142" width="9.88671875" style="705" bestFit="1" customWidth="1"/>
    <col min="6143" max="6143" width="10.109375" style="705" bestFit="1" customWidth="1"/>
    <col min="6144" max="6144" width="11.33203125" style="705" bestFit="1" customWidth="1"/>
    <col min="6145" max="6145" width="12.88671875" style="705" bestFit="1" customWidth="1"/>
    <col min="6146" max="6146" width="9.88671875" style="705" bestFit="1" customWidth="1"/>
    <col min="6147" max="6147" width="13.44140625" style="705" bestFit="1" customWidth="1"/>
    <col min="6148" max="6148" width="6.44140625" style="705" bestFit="1" customWidth="1"/>
    <col min="6149" max="6149" width="10" style="705" bestFit="1" customWidth="1"/>
    <col min="6150" max="6150" width="6.44140625" style="705" bestFit="1" customWidth="1"/>
    <col min="6151" max="6151" width="10" style="705" bestFit="1" customWidth="1"/>
    <col min="6152" max="6152" width="6.44140625" style="705" bestFit="1" customWidth="1"/>
    <col min="6153" max="6153" width="10.88671875" style="705" bestFit="1" customWidth="1"/>
    <col min="6154" max="6389" width="9.109375" style="705"/>
    <col min="6390" max="6390" width="6" style="705" bestFit="1" customWidth="1"/>
    <col min="6391" max="6391" width="51.5546875" style="705" bestFit="1" customWidth="1"/>
    <col min="6392" max="6392" width="9.88671875" style="705" bestFit="1" customWidth="1"/>
    <col min="6393" max="6393" width="13.44140625" style="705" bestFit="1" customWidth="1"/>
    <col min="6394" max="6394" width="7.109375" style="705" bestFit="1" customWidth="1"/>
    <col min="6395" max="6395" width="6.5546875" style="705" bestFit="1" customWidth="1"/>
    <col min="6396" max="6396" width="9" style="705" bestFit="1" customWidth="1"/>
    <col min="6397" max="6397" width="10.109375" style="705" bestFit="1" customWidth="1"/>
    <col min="6398" max="6398" width="9.88671875" style="705" bestFit="1" customWidth="1"/>
    <col min="6399" max="6399" width="10.109375" style="705" bestFit="1" customWidth="1"/>
    <col min="6400" max="6400" width="11.33203125" style="705" bestFit="1" customWidth="1"/>
    <col min="6401" max="6401" width="12.88671875" style="705" bestFit="1" customWidth="1"/>
    <col min="6402" max="6402" width="9.88671875" style="705" bestFit="1" customWidth="1"/>
    <col min="6403" max="6403" width="13.44140625" style="705" bestFit="1" customWidth="1"/>
    <col min="6404" max="6404" width="6.44140625" style="705" bestFit="1" customWidth="1"/>
    <col min="6405" max="6405" width="10" style="705" bestFit="1" customWidth="1"/>
    <col min="6406" max="6406" width="6.44140625" style="705" bestFit="1" customWidth="1"/>
    <col min="6407" max="6407" width="10" style="705" bestFit="1" customWidth="1"/>
    <col min="6408" max="6408" width="6.44140625" style="705" bestFit="1" customWidth="1"/>
    <col min="6409" max="6409" width="10.88671875" style="705" bestFit="1" customWidth="1"/>
    <col min="6410" max="6645" width="9.109375" style="705"/>
    <col min="6646" max="6646" width="6" style="705" bestFit="1" customWidth="1"/>
    <col min="6647" max="6647" width="51.5546875" style="705" bestFit="1" customWidth="1"/>
    <col min="6648" max="6648" width="9.88671875" style="705" bestFit="1" customWidth="1"/>
    <col min="6649" max="6649" width="13.44140625" style="705" bestFit="1" customWidth="1"/>
    <col min="6650" max="6650" width="7.109375" style="705" bestFit="1" customWidth="1"/>
    <col min="6651" max="6651" width="6.5546875" style="705" bestFit="1" customWidth="1"/>
    <col min="6652" max="6652" width="9" style="705" bestFit="1" customWidth="1"/>
    <col min="6653" max="6653" width="10.109375" style="705" bestFit="1" customWidth="1"/>
    <col min="6654" max="6654" width="9.88671875" style="705" bestFit="1" customWidth="1"/>
    <col min="6655" max="6655" width="10.109375" style="705" bestFit="1" customWidth="1"/>
    <col min="6656" max="6656" width="11.33203125" style="705" bestFit="1" customWidth="1"/>
    <col min="6657" max="6657" width="12.88671875" style="705" bestFit="1" customWidth="1"/>
    <col min="6658" max="6658" width="9.88671875" style="705" bestFit="1" customWidth="1"/>
    <col min="6659" max="6659" width="13.44140625" style="705" bestFit="1" customWidth="1"/>
    <col min="6660" max="6660" width="6.44140625" style="705" bestFit="1" customWidth="1"/>
    <col min="6661" max="6661" width="10" style="705" bestFit="1" customWidth="1"/>
    <col min="6662" max="6662" width="6.44140625" style="705" bestFit="1" customWidth="1"/>
    <col min="6663" max="6663" width="10" style="705" bestFit="1" customWidth="1"/>
    <col min="6664" max="6664" width="6.44140625" style="705" bestFit="1" customWidth="1"/>
    <col min="6665" max="6665" width="10.88671875" style="705" bestFit="1" customWidth="1"/>
    <col min="6666" max="6901" width="9.109375" style="705"/>
    <col min="6902" max="6902" width="6" style="705" bestFit="1" customWidth="1"/>
    <col min="6903" max="6903" width="51.5546875" style="705" bestFit="1" customWidth="1"/>
    <col min="6904" max="6904" width="9.88671875" style="705" bestFit="1" customWidth="1"/>
    <col min="6905" max="6905" width="13.44140625" style="705" bestFit="1" customWidth="1"/>
    <col min="6906" max="6906" width="7.109375" style="705" bestFit="1" customWidth="1"/>
    <col min="6907" max="6907" width="6.5546875" style="705" bestFit="1" customWidth="1"/>
    <col min="6908" max="6908" width="9" style="705" bestFit="1" customWidth="1"/>
    <col min="6909" max="6909" width="10.109375" style="705" bestFit="1" customWidth="1"/>
    <col min="6910" max="6910" width="9.88671875" style="705" bestFit="1" customWidth="1"/>
    <col min="6911" max="6911" width="10.109375" style="705" bestFit="1" customWidth="1"/>
    <col min="6912" max="6912" width="11.33203125" style="705" bestFit="1" customWidth="1"/>
    <col min="6913" max="6913" width="12.88671875" style="705" bestFit="1" customWidth="1"/>
    <col min="6914" max="6914" width="9.88671875" style="705" bestFit="1" customWidth="1"/>
    <col min="6915" max="6915" width="13.44140625" style="705" bestFit="1" customWidth="1"/>
    <col min="6916" max="6916" width="6.44140625" style="705" bestFit="1" customWidth="1"/>
    <col min="6917" max="6917" width="10" style="705" bestFit="1" customWidth="1"/>
    <col min="6918" max="6918" width="6.44140625" style="705" bestFit="1" customWidth="1"/>
    <col min="6919" max="6919" width="10" style="705" bestFit="1" customWidth="1"/>
    <col min="6920" max="6920" width="6.44140625" style="705" bestFit="1" customWidth="1"/>
    <col min="6921" max="6921" width="10.88671875" style="705" bestFit="1" customWidth="1"/>
    <col min="6922" max="7157" width="9.109375" style="705"/>
    <col min="7158" max="7158" width="6" style="705" bestFit="1" customWidth="1"/>
    <col min="7159" max="7159" width="51.5546875" style="705" bestFit="1" customWidth="1"/>
    <col min="7160" max="7160" width="9.88671875" style="705" bestFit="1" customWidth="1"/>
    <col min="7161" max="7161" width="13.44140625" style="705" bestFit="1" customWidth="1"/>
    <col min="7162" max="7162" width="7.109375" style="705" bestFit="1" customWidth="1"/>
    <col min="7163" max="7163" width="6.5546875" style="705" bestFit="1" customWidth="1"/>
    <col min="7164" max="7164" width="9" style="705" bestFit="1" customWidth="1"/>
    <col min="7165" max="7165" width="10.109375" style="705" bestFit="1" customWidth="1"/>
    <col min="7166" max="7166" width="9.88671875" style="705" bestFit="1" customWidth="1"/>
    <col min="7167" max="7167" width="10.109375" style="705" bestFit="1" customWidth="1"/>
    <col min="7168" max="7168" width="11.33203125" style="705" bestFit="1" customWidth="1"/>
    <col min="7169" max="7169" width="12.88671875" style="705" bestFit="1" customWidth="1"/>
    <col min="7170" max="7170" width="9.88671875" style="705" bestFit="1" customWidth="1"/>
    <col min="7171" max="7171" width="13.44140625" style="705" bestFit="1" customWidth="1"/>
    <col min="7172" max="7172" width="6.44140625" style="705" bestFit="1" customWidth="1"/>
    <col min="7173" max="7173" width="10" style="705" bestFit="1" customWidth="1"/>
    <col min="7174" max="7174" width="6.44140625" style="705" bestFit="1" customWidth="1"/>
    <col min="7175" max="7175" width="10" style="705" bestFit="1" customWidth="1"/>
    <col min="7176" max="7176" width="6.44140625" style="705" bestFit="1" customWidth="1"/>
    <col min="7177" max="7177" width="10.88671875" style="705" bestFit="1" customWidth="1"/>
    <col min="7178" max="7413" width="9.109375" style="705"/>
    <col min="7414" max="7414" width="6" style="705" bestFit="1" customWidth="1"/>
    <col min="7415" max="7415" width="51.5546875" style="705" bestFit="1" customWidth="1"/>
    <col min="7416" max="7416" width="9.88671875" style="705" bestFit="1" customWidth="1"/>
    <col min="7417" max="7417" width="13.44140625" style="705" bestFit="1" customWidth="1"/>
    <col min="7418" max="7418" width="7.109375" style="705" bestFit="1" customWidth="1"/>
    <col min="7419" max="7419" width="6.5546875" style="705" bestFit="1" customWidth="1"/>
    <col min="7420" max="7420" width="9" style="705" bestFit="1" customWidth="1"/>
    <col min="7421" max="7421" width="10.109375" style="705" bestFit="1" customWidth="1"/>
    <col min="7422" max="7422" width="9.88671875" style="705" bestFit="1" customWidth="1"/>
    <col min="7423" max="7423" width="10.109375" style="705" bestFit="1" customWidth="1"/>
    <col min="7424" max="7424" width="11.33203125" style="705" bestFit="1" customWidth="1"/>
    <col min="7425" max="7425" width="12.88671875" style="705" bestFit="1" customWidth="1"/>
    <col min="7426" max="7426" width="9.88671875" style="705" bestFit="1" customWidth="1"/>
    <col min="7427" max="7427" width="13.44140625" style="705" bestFit="1" customWidth="1"/>
    <col min="7428" max="7428" width="6.44140625" style="705" bestFit="1" customWidth="1"/>
    <col min="7429" max="7429" width="10" style="705" bestFit="1" customWidth="1"/>
    <col min="7430" max="7430" width="6.44140625" style="705" bestFit="1" customWidth="1"/>
    <col min="7431" max="7431" width="10" style="705" bestFit="1" customWidth="1"/>
    <col min="7432" max="7432" width="6.44140625" style="705" bestFit="1" customWidth="1"/>
    <col min="7433" max="7433" width="10.88671875" style="705" bestFit="1" customWidth="1"/>
    <col min="7434" max="7669" width="9.109375" style="705"/>
    <col min="7670" max="7670" width="6" style="705" bestFit="1" customWidth="1"/>
    <col min="7671" max="7671" width="51.5546875" style="705" bestFit="1" customWidth="1"/>
    <col min="7672" max="7672" width="9.88671875" style="705" bestFit="1" customWidth="1"/>
    <col min="7673" max="7673" width="13.44140625" style="705" bestFit="1" customWidth="1"/>
    <col min="7674" max="7674" width="7.109375" style="705" bestFit="1" customWidth="1"/>
    <col min="7675" max="7675" width="6.5546875" style="705" bestFit="1" customWidth="1"/>
    <col min="7676" max="7676" width="9" style="705" bestFit="1" customWidth="1"/>
    <col min="7677" max="7677" width="10.109375" style="705" bestFit="1" customWidth="1"/>
    <col min="7678" max="7678" width="9.88671875" style="705" bestFit="1" customWidth="1"/>
    <col min="7679" max="7679" width="10.109375" style="705" bestFit="1" customWidth="1"/>
    <col min="7680" max="7680" width="11.33203125" style="705" bestFit="1" customWidth="1"/>
    <col min="7681" max="7681" width="12.88671875" style="705" bestFit="1" customWidth="1"/>
    <col min="7682" max="7682" width="9.88671875" style="705" bestFit="1" customWidth="1"/>
    <col min="7683" max="7683" width="13.44140625" style="705" bestFit="1" customWidth="1"/>
    <col min="7684" max="7684" width="6.44140625" style="705" bestFit="1" customWidth="1"/>
    <col min="7685" max="7685" width="10" style="705" bestFit="1" customWidth="1"/>
    <col min="7686" max="7686" width="6.44140625" style="705" bestFit="1" customWidth="1"/>
    <col min="7687" max="7687" width="10" style="705" bestFit="1" customWidth="1"/>
    <col min="7688" max="7688" width="6.44140625" style="705" bestFit="1" customWidth="1"/>
    <col min="7689" max="7689" width="10.88671875" style="705" bestFit="1" customWidth="1"/>
    <col min="7690" max="7925" width="9.109375" style="705"/>
    <col min="7926" max="7926" width="6" style="705" bestFit="1" customWidth="1"/>
    <col min="7927" max="7927" width="51.5546875" style="705" bestFit="1" customWidth="1"/>
    <col min="7928" max="7928" width="9.88671875" style="705" bestFit="1" customWidth="1"/>
    <col min="7929" max="7929" width="13.44140625" style="705" bestFit="1" customWidth="1"/>
    <col min="7930" max="7930" width="7.109375" style="705" bestFit="1" customWidth="1"/>
    <col min="7931" max="7931" width="6.5546875" style="705" bestFit="1" customWidth="1"/>
    <col min="7932" max="7932" width="9" style="705" bestFit="1" customWidth="1"/>
    <col min="7933" max="7933" width="10.109375" style="705" bestFit="1" customWidth="1"/>
    <col min="7934" max="7934" width="9.88671875" style="705" bestFit="1" customWidth="1"/>
    <col min="7935" max="7935" width="10.109375" style="705" bestFit="1" customWidth="1"/>
    <col min="7936" max="7936" width="11.33203125" style="705" bestFit="1" customWidth="1"/>
    <col min="7937" max="7937" width="12.88671875" style="705" bestFit="1" customWidth="1"/>
    <col min="7938" max="7938" width="9.88671875" style="705" bestFit="1" customWidth="1"/>
    <col min="7939" max="7939" width="13.44140625" style="705" bestFit="1" customWidth="1"/>
    <col min="7940" max="7940" width="6.44140625" style="705" bestFit="1" customWidth="1"/>
    <col min="7941" max="7941" width="10" style="705" bestFit="1" customWidth="1"/>
    <col min="7942" max="7942" width="6.44140625" style="705" bestFit="1" customWidth="1"/>
    <col min="7943" max="7943" width="10" style="705" bestFit="1" customWidth="1"/>
    <col min="7944" max="7944" width="6.44140625" style="705" bestFit="1" customWidth="1"/>
    <col min="7945" max="7945" width="10.88671875" style="705" bestFit="1" customWidth="1"/>
    <col min="7946" max="8181" width="9.109375" style="705"/>
    <col min="8182" max="8182" width="6" style="705" bestFit="1" customWidth="1"/>
    <col min="8183" max="8183" width="51.5546875" style="705" bestFit="1" customWidth="1"/>
    <col min="8184" max="8184" width="9.88671875" style="705" bestFit="1" customWidth="1"/>
    <col min="8185" max="8185" width="13.44140625" style="705" bestFit="1" customWidth="1"/>
    <col min="8186" max="8186" width="7.109375" style="705" bestFit="1" customWidth="1"/>
    <col min="8187" max="8187" width="6.5546875" style="705" bestFit="1" customWidth="1"/>
    <col min="8188" max="8188" width="9" style="705" bestFit="1" customWidth="1"/>
    <col min="8189" max="8189" width="10.109375" style="705" bestFit="1" customWidth="1"/>
    <col min="8190" max="8190" width="9.88671875" style="705" bestFit="1" customWidth="1"/>
    <col min="8191" max="8191" width="10.109375" style="705" bestFit="1" customWidth="1"/>
    <col min="8192" max="8192" width="11.33203125" style="705" bestFit="1" customWidth="1"/>
    <col min="8193" max="8193" width="12.88671875" style="705" bestFit="1" customWidth="1"/>
    <col min="8194" max="8194" width="9.88671875" style="705" bestFit="1" customWidth="1"/>
    <col min="8195" max="8195" width="13.44140625" style="705" bestFit="1" customWidth="1"/>
    <col min="8196" max="8196" width="6.44140625" style="705" bestFit="1" customWidth="1"/>
    <col min="8197" max="8197" width="10" style="705" bestFit="1" customWidth="1"/>
    <col min="8198" max="8198" width="6.44140625" style="705" bestFit="1" customWidth="1"/>
    <col min="8199" max="8199" width="10" style="705" bestFit="1" customWidth="1"/>
    <col min="8200" max="8200" width="6.44140625" style="705" bestFit="1" customWidth="1"/>
    <col min="8201" max="8201" width="10.88671875" style="705" bestFit="1" customWidth="1"/>
    <col min="8202" max="8437" width="9.109375" style="705"/>
    <col min="8438" max="8438" width="6" style="705" bestFit="1" customWidth="1"/>
    <col min="8439" max="8439" width="51.5546875" style="705" bestFit="1" customWidth="1"/>
    <col min="8440" max="8440" width="9.88671875" style="705" bestFit="1" customWidth="1"/>
    <col min="8441" max="8441" width="13.44140625" style="705" bestFit="1" customWidth="1"/>
    <col min="8442" max="8442" width="7.109375" style="705" bestFit="1" customWidth="1"/>
    <col min="8443" max="8443" width="6.5546875" style="705" bestFit="1" customWidth="1"/>
    <col min="8444" max="8444" width="9" style="705" bestFit="1" customWidth="1"/>
    <col min="8445" max="8445" width="10.109375" style="705" bestFit="1" customWidth="1"/>
    <col min="8446" max="8446" width="9.88671875" style="705" bestFit="1" customWidth="1"/>
    <col min="8447" max="8447" width="10.109375" style="705" bestFit="1" customWidth="1"/>
    <col min="8448" max="8448" width="11.33203125" style="705" bestFit="1" customWidth="1"/>
    <col min="8449" max="8449" width="12.88671875" style="705" bestFit="1" customWidth="1"/>
    <col min="8450" max="8450" width="9.88671875" style="705" bestFit="1" customWidth="1"/>
    <col min="8451" max="8451" width="13.44140625" style="705" bestFit="1" customWidth="1"/>
    <col min="8452" max="8452" width="6.44140625" style="705" bestFit="1" customWidth="1"/>
    <col min="8453" max="8453" width="10" style="705" bestFit="1" customWidth="1"/>
    <col min="8454" max="8454" width="6.44140625" style="705" bestFit="1" customWidth="1"/>
    <col min="8455" max="8455" width="10" style="705" bestFit="1" customWidth="1"/>
    <col min="8456" max="8456" width="6.44140625" style="705" bestFit="1" customWidth="1"/>
    <col min="8457" max="8457" width="10.88671875" style="705" bestFit="1" customWidth="1"/>
    <col min="8458" max="8693" width="9.109375" style="705"/>
    <col min="8694" max="8694" width="6" style="705" bestFit="1" customWidth="1"/>
    <col min="8695" max="8695" width="51.5546875" style="705" bestFit="1" customWidth="1"/>
    <col min="8696" max="8696" width="9.88671875" style="705" bestFit="1" customWidth="1"/>
    <col min="8697" max="8697" width="13.44140625" style="705" bestFit="1" customWidth="1"/>
    <col min="8698" max="8698" width="7.109375" style="705" bestFit="1" customWidth="1"/>
    <col min="8699" max="8699" width="6.5546875" style="705" bestFit="1" customWidth="1"/>
    <col min="8700" max="8700" width="9" style="705" bestFit="1" customWidth="1"/>
    <col min="8701" max="8701" width="10.109375" style="705" bestFit="1" customWidth="1"/>
    <col min="8702" max="8702" width="9.88671875" style="705" bestFit="1" customWidth="1"/>
    <col min="8703" max="8703" width="10.109375" style="705" bestFit="1" customWidth="1"/>
    <col min="8704" max="8704" width="11.33203125" style="705" bestFit="1" customWidth="1"/>
    <col min="8705" max="8705" width="12.88671875" style="705" bestFit="1" customWidth="1"/>
    <col min="8706" max="8706" width="9.88671875" style="705" bestFit="1" customWidth="1"/>
    <col min="8707" max="8707" width="13.44140625" style="705" bestFit="1" customWidth="1"/>
    <col min="8708" max="8708" width="6.44140625" style="705" bestFit="1" customWidth="1"/>
    <col min="8709" max="8709" width="10" style="705" bestFit="1" customWidth="1"/>
    <col min="8710" max="8710" width="6.44140625" style="705" bestFit="1" customWidth="1"/>
    <col min="8711" max="8711" width="10" style="705" bestFit="1" customWidth="1"/>
    <col min="8712" max="8712" width="6.44140625" style="705" bestFit="1" customWidth="1"/>
    <col min="8713" max="8713" width="10.88671875" style="705" bestFit="1" customWidth="1"/>
    <col min="8714" max="8949" width="9.109375" style="705"/>
    <col min="8950" max="8950" width="6" style="705" bestFit="1" customWidth="1"/>
    <col min="8951" max="8951" width="51.5546875" style="705" bestFit="1" customWidth="1"/>
    <col min="8952" max="8952" width="9.88671875" style="705" bestFit="1" customWidth="1"/>
    <col min="8953" max="8953" width="13.44140625" style="705" bestFit="1" customWidth="1"/>
    <col min="8954" max="8954" width="7.109375" style="705" bestFit="1" customWidth="1"/>
    <col min="8955" max="8955" width="6.5546875" style="705" bestFit="1" customWidth="1"/>
    <col min="8956" max="8956" width="9" style="705" bestFit="1" customWidth="1"/>
    <col min="8957" max="8957" width="10.109375" style="705" bestFit="1" customWidth="1"/>
    <col min="8958" max="8958" width="9.88671875" style="705" bestFit="1" customWidth="1"/>
    <col min="8959" max="8959" width="10.109375" style="705" bestFit="1" customWidth="1"/>
    <col min="8960" max="8960" width="11.33203125" style="705" bestFit="1" customWidth="1"/>
    <col min="8961" max="8961" width="12.88671875" style="705" bestFit="1" customWidth="1"/>
    <col min="8962" max="8962" width="9.88671875" style="705" bestFit="1" customWidth="1"/>
    <col min="8963" max="8963" width="13.44140625" style="705" bestFit="1" customWidth="1"/>
    <col min="8964" max="8964" width="6.44140625" style="705" bestFit="1" customWidth="1"/>
    <col min="8965" max="8965" width="10" style="705" bestFit="1" customWidth="1"/>
    <col min="8966" max="8966" width="6.44140625" style="705" bestFit="1" customWidth="1"/>
    <col min="8967" max="8967" width="10" style="705" bestFit="1" customWidth="1"/>
    <col min="8968" max="8968" width="6.44140625" style="705" bestFit="1" customWidth="1"/>
    <col min="8969" max="8969" width="10.88671875" style="705" bestFit="1" customWidth="1"/>
    <col min="8970" max="9205" width="9.109375" style="705"/>
    <col min="9206" max="9206" width="6" style="705" bestFit="1" customWidth="1"/>
    <col min="9207" max="9207" width="51.5546875" style="705" bestFit="1" customWidth="1"/>
    <col min="9208" max="9208" width="9.88671875" style="705" bestFit="1" customWidth="1"/>
    <col min="9209" max="9209" width="13.44140625" style="705" bestFit="1" customWidth="1"/>
    <col min="9210" max="9210" width="7.109375" style="705" bestFit="1" customWidth="1"/>
    <col min="9211" max="9211" width="6.5546875" style="705" bestFit="1" customWidth="1"/>
    <col min="9212" max="9212" width="9" style="705" bestFit="1" customWidth="1"/>
    <col min="9213" max="9213" width="10.109375" style="705" bestFit="1" customWidth="1"/>
    <col min="9214" max="9214" width="9.88671875" style="705" bestFit="1" customWidth="1"/>
    <col min="9215" max="9215" width="10.109375" style="705" bestFit="1" customWidth="1"/>
    <col min="9216" max="9216" width="11.33203125" style="705" bestFit="1" customWidth="1"/>
    <col min="9217" max="9217" width="12.88671875" style="705" bestFit="1" customWidth="1"/>
    <col min="9218" max="9218" width="9.88671875" style="705" bestFit="1" customWidth="1"/>
    <col min="9219" max="9219" width="13.44140625" style="705" bestFit="1" customWidth="1"/>
    <col min="9220" max="9220" width="6.44140625" style="705" bestFit="1" customWidth="1"/>
    <col min="9221" max="9221" width="10" style="705" bestFit="1" customWidth="1"/>
    <col min="9222" max="9222" width="6.44140625" style="705" bestFit="1" customWidth="1"/>
    <col min="9223" max="9223" width="10" style="705" bestFit="1" customWidth="1"/>
    <col min="9224" max="9224" width="6.44140625" style="705" bestFit="1" customWidth="1"/>
    <col min="9225" max="9225" width="10.88671875" style="705" bestFit="1" customWidth="1"/>
    <col min="9226" max="9461" width="9.109375" style="705"/>
    <col min="9462" max="9462" width="6" style="705" bestFit="1" customWidth="1"/>
    <col min="9463" max="9463" width="51.5546875" style="705" bestFit="1" customWidth="1"/>
    <col min="9464" max="9464" width="9.88671875" style="705" bestFit="1" customWidth="1"/>
    <col min="9465" max="9465" width="13.44140625" style="705" bestFit="1" customWidth="1"/>
    <col min="9466" max="9466" width="7.109375" style="705" bestFit="1" customWidth="1"/>
    <col min="9467" max="9467" width="6.5546875" style="705" bestFit="1" customWidth="1"/>
    <col min="9468" max="9468" width="9" style="705" bestFit="1" customWidth="1"/>
    <col min="9469" max="9469" width="10.109375" style="705" bestFit="1" customWidth="1"/>
    <col min="9470" max="9470" width="9.88671875" style="705" bestFit="1" customWidth="1"/>
    <col min="9471" max="9471" width="10.109375" style="705" bestFit="1" customWidth="1"/>
    <col min="9472" max="9472" width="11.33203125" style="705" bestFit="1" customWidth="1"/>
    <col min="9473" max="9473" width="12.88671875" style="705" bestFit="1" customWidth="1"/>
    <col min="9474" max="9474" width="9.88671875" style="705" bestFit="1" customWidth="1"/>
    <col min="9475" max="9475" width="13.44140625" style="705" bestFit="1" customWidth="1"/>
    <col min="9476" max="9476" width="6.44140625" style="705" bestFit="1" customWidth="1"/>
    <col min="9477" max="9477" width="10" style="705" bestFit="1" customWidth="1"/>
    <col min="9478" max="9478" width="6.44140625" style="705" bestFit="1" customWidth="1"/>
    <col min="9479" max="9479" width="10" style="705" bestFit="1" customWidth="1"/>
    <col min="9480" max="9480" width="6.44140625" style="705" bestFit="1" customWidth="1"/>
    <col min="9481" max="9481" width="10.88671875" style="705" bestFit="1" customWidth="1"/>
    <col min="9482" max="9717" width="9.109375" style="705"/>
    <col min="9718" max="9718" width="6" style="705" bestFit="1" customWidth="1"/>
    <col min="9719" max="9719" width="51.5546875" style="705" bestFit="1" customWidth="1"/>
    <col min="9720" max="9720" width="9.88671875" style="705" bestFit="1" customWidth="1"/>
    <col min="9721" max="9721" width="13.44140625" style="705" bestFit="1" customWidth="1"/>
    <col min="9722" max="9722" width="7.109375" style="705" bestFit="1" customWidth="1"/>
    <col min="9723" max="9723" width="6.5546875" style="705" bestFit="1" customWidth="1"/>
    <col min="9724" max="9724" width="9" style="705" bestFit="1" customWidth="1"/>
    <col min="9725" max="9725" width="10.109375" style="705" bestFit="1" customWidth="1"/>
    <col min="9726" max="9726" width="9.88671875" style="705" bestFit="1" customWidth="1"/>
    <col min="9727" max="9727" width="10.109375" style="705" bestFit="1" customWidth="1"/>
    <col min="9728" max="9728" width="11.33203125" style="705" bestFit="1" customWidth="1"/>
    <col min="9729" max="9729" width="12.88671875" style="705" bestFit="1" customWidth="1"/>
    <col min="9730" max="9730" width="9.88671875" style="705" bestFit="1" customWidth="1"/>
    <col min="9731" max="9731" width="13.44140625" style="705" bestFit="1" customWidth="1"/>
    <col min="9732" max="9732" width="6.44140625" style="705" bestFit="1" customWidth="1"/>
    <col min="9733" max="9733" width="10" style="705" bestFit="1" customWidth="1"/>
    <col min="9734" max="9734" width="6.44140625" style="705" bestFit="1" customWidth="1"/>
    <col min="9735" max="9735" width="10" style="705" bestFit="1" customWidth="1"/>
    <col min="9736" max="9736" width="6.44140625" style="705" bestFit="1" customWidth="1"/>
    <col min="9737" max="9737" width="10.88671875" style="705" bestFit="1" customWidth="1"/>
    <col min="9738" max="9973" width="9.109375" style="705"/>
    <col min="9974" max="9974" width="6" style="705" bestFit="1" customWidth="1"/>
    <col min="9975" max="9975" width="51.5546875" style="705" bestFit="1" customWidth="1"/>
    <col min="9976" max="9976" width="9.88671875" style="705" bestFit="1" customWidth="1"/>
    <col min="9977" max="9977" width="13.44140625" style="705" bestFit="1" customWidth="1"/>
    <col min="9978" max="9978" width="7.109375" style="705" bestFit="1" customWidth="1"/>
    <col min="9979" max="9979" width="6.5546875" style="705" bestFit="1" customWidth="1"/>
    <col min="9980" max="9980" width="9" style="705" bestFit="1" customWidth="1"/>
    <col min="9981" max="9981" width="10.109375" style="705" bestFit="1" customWidth="1"/>
    <col min="9982" max="9982" width="9.88671875" style="705" bestFit="1" customWidth="1"/>
    <col min="9983" max="9983" width="10.109375" style="705" bestFit="1" customWidth="1"/>
    <col min="9984" max="9984" width="11.33203125" style="705" bestFit="1" customWidth="1"/>
    <col min="9985" max="9985" width="12.88671875" style="705" bestFit="1" customWidth="1"/>
    <col min="9986" max="9986" width="9.88671875" style="705" bestFit="1" customWidth="1"/>
    <col min="9987" max="9987" width="13.44140625" style="705" bestFit="1" customWidth="1"/>
    <col min="9988" max="9988" width="6.44140625" style="705" bestFit="1" customWidth="1"/>
    <col min="9989" max="9989" width="10" style="705" bestFit="1" customWidth="1"/>
    <col min="9990" max="9990" width="6.44140625" style="705" bestFit="1" customWidth="1"/>
    <col min="9991" max="9991" width="10" style="705" bestFit="1" customWidth="1"/>
    <col min="9992" max="9992" width="6.44140625" style="705" bestFit="1" customWidth="1"/>
    <col min="9993" max="9993" width="10.88671875" style="705" bestFit="1" customWidth="1"/>
    <col min="9994" max="10229" width="9.109375" style="705"/>
    <col min="10230" max="10230" width="6" style="705" bestFit="1" customWidth="1"/>
    <col min="10231" max="10231" width="51.5546875" style="705" bestFit="1" customWidth="1"/>
    <col min="10232" max="10232" width="9.88671875" style="705" bestFit="1" customWidth="1"/>
    <col min="10233" max="10233" width="13.44140625" style="705" bestFit="1" customWidth="1"/>
    <col min="10234" max="10234" width="7.109375" style="705" bestFit="1" customWidth="1"/>
    <col min="10235" max="10235" width="6.5546875" style="705" bestFit="1" customWidth="1"/>
    <col min="10236" max="10236" width="9" style="705" bestFit="1" customWidth="1"/>
    <col min="10237" max="10237" width="10.109375" style="705" bestFit="1" customWidth="1"/>
    <col min="10238" max="10238" width="9.88671875" style="705" bestFit="1" customWidth="1"/>
    <col min="10239" max="10239" width="10.109375" style="705" bestFit="1" customWidth="1"/>
    <col min="10240" max="10240" width="11.33203125" style="705" bestFit="1" customWidth="1"/>
    <col min="10241" max="10241" width="12.88671875" style="705" bestFit="1" customWidth="1"/>
    <col min="10242" max="10242" width="9.88671875" style="705" bestFit="1" customWidth="1"/>
    <col min="10243" max="10243" width="13.44140625" style="705" bestFit="1" customWidth="1"/>
    <col min="10244" max="10244" width="6.44140625" style="705" bestFit="1" customWidth="1"/>
    <col min="10245" max="10245" width="10" style="705" bestFit="1" customWidth="1"/>
    <col min="10246" max="10246" width="6.44140625" style="705" bestFit="1" customWidth="1"/>
    <col min="10247" max="10247" width="10" style="705" bestFit="1" customWidth="1"/>
    <col min="10248" max="10248" width="6.44140625" style="705" bestFit="1" customWidth="1"/>
    <col min="10249" max="10249" width="10.88671875" style="705" bestFit="1" customWidth="1"/>
    <col min="10250" max="10485" width="9.109375" style="705"/>
    <col min="10486" max="10486" width="6" style="705" bestFit="1" customWidth="1"/>
    <col min="10487" max="10487" width="51.5546875" style="705" bestFit="1" customWidth="1"/>
    <col min="10488" max="10488" width="9.88671875" style="705" bestFit="1" customWidth="1"/>
    <col min="10489" max="10489" width="13.44140625" style="705" bestFit="1" customWidth="1"/>
    <col min="10490" max="10490" width="7.109375" style="705" bestFit="1" customWidth="1"/>
    <col min="10491" max="10491" width="6.5546875" style="705" bestFit="1" customWidth="1"/>
    <col min="10492" max="10492" width="9" style="705" bestFit="1" customWidth="1"/>
    <col min="10493" max="10493" width="10.109375" style="705" bestFit="1" customWidth="1"/>
    <col min="10494" max="10494" width="9.88671875" style="705" bestFit="1" customWidth="1"/>
    <col min="10495" max="10495" width="10.109375" style="705" bestFit="1" customWidth="1"/>
    <col min="10496" max="10496" width="11.33203125" style="705" bestFit="1" customWidth="1"/>
    <col min="10497" max="10497" width="12.88671875" style="705" bestFit="1" customWidth="1"/>
    <col min="10498" max="10498" width="9.88671875" style="705" bestFit="1" customWidth="1"/>
    <col min="10499" max="10499" width="13.44140625" style="705" bestFit="1" customWidth="1"/>
    <col min="10500" max="10500" width="6.44140625" style="705" bestFit="1" customWidth="1"/>
    <col min="10501" max="10501" width="10" style="705" bestFit="1" customWidth="1"/>
    <col min="10502" max="10502" width="6.44140625" style="705" bestFit="1" customWidth="1"/>
    <col min="10503" max="10503" width="10" style="705" bestFit="1" customWidth="1"/>
    <col min="10504" max="10504" width="6.44140625" style="705" bestFit="1" customWidth="1"/>
    <col min="10505" max="10505" width="10.88671875" style="705" bestFit="1" customWidth="1"/>
    <col min="10506" max="10741" width="9.109375" style="705"/>
    <col min="10742" max="10742" width="6" style="705" bestFit="1" customWidth="1"/>
    <col min="10743" max="10743" width="51.5546875" style="705" bestFit="1" customWidth="1"/>
    <col min="10744" max="10744" width="9.88671875" style="705" bestFit="1" customWidth="1"/>
    <col min="10745" max="10745" width="13.44140625" style="705" bestFit="1" customWidth="1"/>
    <col min="10746" max="10746" width="7.109375" style="705" bestFit="1" customWidth="1"/>
    <col min="10747" max="10747" width="6.5546875" style="705" bestFit="1" customWidth="1"/>
    <col min="10748" max="10748" width="9" style="705" bestFit="1" customWidth="1"/>
    <col min="10749" max="10749" width="10.109375" style="705" bestFit="1" customWidth="1"/>
    <col min="10750" max="10750" width="9.88671875" style="705" bestFit="1" customWidth="1"/>
    <col min="10751" max="10751" width="10.109375" style="705" bestFit="1" customWidth="1"/>
    <col min="10752" max="10752" width="11.33203125" style="705" bestFit="1" customWidth="1"/>
    <col min="10753" max="10753" width="12.88671875" style="705" bestFit="1" customWidth="1"/>
    <col min="10754" max="10754" width="9.88671875" style="705" bestFit="1" customWidth="1"/>
    <col min="10755" max="10755" width="13.44140625" style="705" bestFit="1" customWidth="1"/>
    <col min="10756" max="10756" width="6.44140625" style="705" bestFit="1" customWidth="1"/>
    <col min="10757" max="10757" width="10" style="705" bestFit="1" customWidth="1"/>
    <col min="10758" max="10758" width="6.44140625" style="705" bestFit="1" customWidth="1"/>
    <col min="10759" max="10759" width="10" style="705" bestFit="1" customWidth="1"/>
    <col min="10760" max="10760" width="6.44140625" style="705" bestFit="1" customWidth="1"/>
    <col min="10761" max="10761" width="10.88671875" style="705" bestFit="1" customWidth="1"/>
    <col min="10762" max="10997" width="9.109375" style="705"/>
    <col min="10998" max="10998" width="6" style="705" bestFit="1" customWidth="1"/>
    <col min="10999" max="10999" width="51.5546875" style="705" bestFit="1" customWidth="1"/>
    <col min="11000" max="11000" width="9.88671875" style="705" bestFit="1" customWidth="1"/>
    <col min="11001" max="11001" width="13.44140625" style="705" bestFit="1" customWidth="1"/>
    <col min="11002" max="11002" width="7.109375" style="705" bestFit="1" customWidth="1"/>
    <col min="11003" max="11003" width="6.5546875" style="705" bestFit="1" customWidth="1"/>
    <col min="11004" max="11004" width="9" style="705" bestFit="1" customWidth="1"/>
    <col min="11005" max="11005" width="10.109375" style="705" bestFit="1" customWidth="1"/>
    <col min="11006" max="11006" width="9.88671875" style="705" bestFit="1" customWidth="1"/>
    <col min="11007" max="11007" width="10.109375" style="705" bestFit="1" customWidth="1"/>
    <col min="11008" max="11008" width="11.33203125" style="705" bestFit="1" customWidth="1"/>
    <col min="11009" max="11009" width="12.88671875" style="705" bestFit="1" customWidth="1"/>
    <col min="11010" max="11010" width="9.88671875" style="705" bestFit="1" customWidth="1"/>
    <col min="11011" max="11011" width="13.44140625" style="705" bestFit="1" customWidth="1"/>
    <col min="11012" max="11012" width="6.44140625" style="705" bestFit="1" customWidth="1"/>
    <col min="11013" max="11013" width="10" style="705" bestFit="1" customWidth="1"/>
    <col min="11014" max="11014" width="6.44140625" style="705" bestFit="1" customWidth="1"/>
    <col min="11015" max="11015" width="10" style="705" bestFit="1" customWidth="1"/>
    <col min="11016" max="11016" width="6.44140625" style="705" bestFit="1" customWidth="1"/>
    <col min="11017" max="11017" width="10.88671875" style="705" bestFit="1" customWidth="1"/>
    <col min="11018" max="11253" width="9.109375" style="705"/>
    <col min="11254" max="11254" width="6" style="705" bestFit="1" customWidth="1"/>
    <col min="11255" max="11255" width="51.5546875" style="705" bestFit="1" customWidth="1"/>
    <col min="11256" max="11256" width="9.88671875" style="705" bestFit="1" customWidth="1"/>
    <col min="11257" max="11257" width="13.44140625" style="705" bestFit="1" customWidth="1"/>
    <col min="11258" max="11258" width="7.109375" style="705" bestFit="1" customWidth="1"/>
    <col min="11259" max="11259" width="6.5546875" style="705" bestFit="1" customWidth="1"/>
    <col min="11260" max="11260" width="9" style="705" bestFit="1" customWidth="1"/>
    <col min="11261" max="11261" width="10.109375" style="705" bestFit="1" customWidth="1"/>
    <col min="11262" max="11262" width="9.88671875" style="705" bestFit="1" customWidth="1"/>
    <col min="11263" max="11263" width="10.109375" style="705" bestFit="1" customWidth="1"/>
    <col min="11264" max="11264" width="11.33203125" style="705" bestFit="1" customWidth="1"/>
    <col min="11265" max="11265" width="12.88671875" style="705" bestFit="1" customWidth="1"/>
    <col min="11266" max="11266" width="9.88671875" style="705" bestFit="1" customWidth="1"/>
    <col min="11267" max="11267" width="13.44140625" style="705" bestFit="1" customWidth="1"/>
    <col min="11268" max="11268" width="6.44140625" style="705" bestFit="1" customWidth="1"/>
    <col min="11269" max="11269" width="10" style="705" bestFit="1" customWidth="1"/>
    <col min="11270" max="11270" width="6.44140625" style="705" bestFit="1" customWidth="1"/>
    <col min="11271" max="11271" width="10" style="705" bestFit="1" customWidth="1"/>
    <col min="11272" max="11272" width="6.44140625" style="705" bestFit="1" customWidth="1"/>
    <col min="11273" max="11273" width="10.88671875" style="705" bestFit="1" customWidth="1"/>
    <col min="11274" max="11509" width="9.109375" style="705"/>
    <col min="11510" max="11510" width="6" style="705" bestFit="1" customWidth="1"/>
    <col min="11511" max="11511" width="51.5546875" style="705" bestFit="1" customWidth="1"/>
    <col min="11512" max="11512" width="9.88671875" style="705" bestFit="1" customWidth="1"/>
    <col min="11513" max="11513" width="13.44140625" style="705" bestFit="1" customWidth="1"/>
    <col min="11514" max="11514" width="7.109375" style="705" bestFit="1" customWidth="1"/>
    <col min="11515" max="11515" width="6.5546875" style="705" bestFit="1" customWidth="1"/>
    <col min="11516" max="11516" width="9" style="705" bestFit="1" customWidth="1"/>
    <col min="11517" max="11517" width="10.109375" style="705" bestFit="1" customWidth="1"/>
    <col min="11518" max="11518" width="9.88671875" style="705" bestFit="1" customWidth="1"/>
    <col min="11519" max="11519" width="10.109375" style="705" bestFit="1" customWidth="1"/>
    <col min="11520" max="11520" width="11.33203125" style="705" bestFit="1" customWidth="1"/>
    <col min="11521" max="11521" width="12.88671875" style="705" bestFit="1" customWidth="1"/>
    <col min="11522" max="11522" width="9.88671875" style="705" bestFit="1" customWidth="1"/>
    <col min="11523" max="11523" width="13.44140625" style="705" bestFit="1" customWidth="1"/>
    <col min="11524" max="11524" width="6.44140625" style="705" bestFit="1" customWidth="1"/>
    <col min="11525" max="11525" width="10" style="705" bestFit="1" customWidth="1"/>
    <col min="11526" max="11526" width="6.44140625" style="705" bestFit="1" customWidth="1"/>
    <col min="11527" max="11527" width="10" style="705" bestFit="1" customWidth="1"/>
    <col min="11528" max="11528" width="6.44140625" style="705" bestFit="1" customWidth="1"/>
    <col min="11529" max="11529" width="10.88671875" style="705" bestFit="1" customWidth="1"/>
    <col min="11530" max="11765" width="9.109375" style="705"/>
    <col min="11766" max="11766" width="6" style="705" bestFit="1" customWidth="1"/>
    <col min="11767" max="11767" width="51.5546875" style="705" bestFit="1" customWidth="1"/>
    <col min="11768" max="11768" width="9.88671875" style="705" bestFit="1" customWidth="1"/>
    <col min="11769" max="11769" width="13.44140625" style="705" bestFit="1" customWidth="1"/>
    <col min="11770" max="11770" width="7.109375" style="705" bestFit="1" customWidth="1"/>
    <col min="11771" max="11771" width="6.5546875" style="705" bestFit="1" customWidth="1"/>
    <col min="11772" max="11772" width="9" style="705" bestFit="1" customWidth="1"/>
    <col min="11773" max="11773" width="10.109375" style="705" bestFit="1" customWidth="1"/>
    <col min="11774" max="11774" width="9.88671875" style="705" bestFit="1" customWidth="1"/>
    <col min="11775" max="11775" width="10.109375" style="705" bestFit="1" customWidth="1"/>
    <col min="11776" max="11776" width="11.33203125" style="705" bestFit="1" customWidth="1"/>
    <col min="11777" max="11777" width="12.88671875" style="705" bestFit="1" customWidth="1"/>
    <col min="11778" max="11778" width="9.88671875" style="705" bestFit="1" customWidth="1"/>
    <col min="11779" max="11779" width="13.44140625" style="705" bestFit="1" customWidth="1"/>
    <col min="11780" max="11780" width="6.44140625" style="705" bestFit="1" customWidth="1"/>
    <col min="11781" max="11781" width="10" style="705" bestFit="1" customWidth="1"/>
    <col min="11782" max="11782" width="6.44140625" style="705" bestFit="1" customWidth="1"/>
    <col min="11783" max="11783" width="10" style="705" bestFit="1" customWidth="1"/>
    <col min="11784" max="11784" width="6.44140625" style="705" bestFit="1" customWidth="1"/>
    <col min="11785" max="11785" width="10.88671875" style="705" bestFit="1" customWidth="1"/>
    <col min="11786" max="12021" width="9.109375" style="705"/>
    <col min="12022" max="12022" width="6" style="705" bestFit="1" customWidth="1"/>
    <col min="12023" max="12023" width="51.5546875" style="705" bestFit="1" customWidth="1"/>
    <col min="12024" max="12024" width="9.88671875" style="705" bestFit="1" customWidth="1"/>
    <col min="12025" max="12025" width="13.44140625" style="705" bestFit="1" customWidth="1"/>
    <col min="12026" max="12026" width="7.109375" style="705" bestFit="1" customWidth="1"/>
    <col min="12027" max="12027" width="6.5546875" style="705" bestFit="1" customWidth="1"/>
    <col min="12028" max="12028" width="9" style="705" bestFit="1" customWidth="1"/>
    <col min="12029" max="12029" width="10.109375" style="705" bestFit="1" customWidth="1"/>
    <col min="12030" max="12030" width="9.88671875" style="705" bestFit="1" customWidth="1"/>
    <col min="12031" max="12031" width="10.109375" style="705" bestFit="1" customWidth="1"/>
    <col min="12032" max="12032" width="11.33203125" style="705" bestFit="1" customWidth="1"/>
    <col min="12033" max="12033" width="12.88671875" style="705" bestFit="1" customWidth="1"/>
    <col min="12034" max="12034" width="9.88671875" style="705" bestFit="1" customWidth="1"/>
    <col min="12035" max="12035" width="13.44140625" style="705" bestFit="1" customWidth="1"/>
    <col min="12036" max="12036" width="6.44140625" style="705" bestFit="1" customWidth="1"/>
    <col min="12037" max="12037" width="10" style="705" bestFit="1" customWidth="1"/>
    <col min="12038" max="12038" width="6.44140625" style="705" bestFit="1" customWidth="1"/>
    <col min="12039" max="12039" width="10" style="705" bestFit="1" customWidth="1"/>
    <col min="12040" max="12040" width="6.44140625" style="705" bestFit="1" customWidth="1"/>
    <col min="12041" max="12041" width="10.88671875" style="705" bestFit="1" customWidth="1"/>
    <col min="12042" max="12277" width="9.109375" style="705"/>
    <col min="12278" max="12278" width="6" style="705" bestFit="1" customWidth="1"/>
    <col min="12279" max="12279" width="51.5546875" style="705" bestFit="1" customWidth="1"/>
    <col min="12280" max="12280" width="9.88671875" style="705" bestFit="1" customWidth="1"/>
    <col min="12281" max="12281" width="13.44140625" style="705" bestFit="1" customWidth="1"/>
    <col min="12282" max="12282" width="7.109375" style="705" bestFit="1" customWidth="1"/>
    <col min="12283" max="12283" width="6.5546875" style="705" bestFit="1" customWidth="1"/>
    <col min="12284" max="12284" width="9" style="705" bestFit="1" customWidth="1"/>
    <col min="12285" max="12285" width="10.109375" style="705" bestFit="1" customWidth="1"/>
    <col min="12286" max="12286" width="9.88671875" style="705" bestFit="1" customWidth="1"/>
    <col min="12287" max="12287" width="10.109375" style="705" bestFit="1" customWidth="1"/>
    <col min="12288" max="12288" width="11.33203125" style="705" bestFit="1" customWidth="1"/>
    <col min="12289" max="12289" width="12.88671875" style="705" bestFit="1" customWidth="1"/>
    <col min="12290" max="12290" width="9.88671875" style="705" bestFit="1" customWidth="1"/>
    <col min="12291" max="12291" width="13.44140625" style="705" bestFit="1" customWidth="1"/>
    <col min="12292" max="12292" width="6.44140625" style="705" bestFit="1" customWidth="1"/>
    <col min="12293" max="12293" width="10" style="705" bestFit="1" customWidth="1"/>
    <col min="12294" max="12294" width="6.44140625" style="705" bestFit="1" customWidth="1"/>
    <col min="12295" max="12295" width="10" style="705" bestFit="1" customWidth="1"/>
    <col min="12296" max="12296" width="6.44140625" style="705" bestFit="1" customWidth="1"/>
    <col min="12297" max="12297" width="10.88671875" style="705" bestFit="1" customWidth="1"/>
    <col min="12298" max="12533" width="9.109375" style="705"/>
    <col min="12534" max="12534" width="6" style="705" bestFit="1" customWidth="1"/>
    <col min="12535" max="12535" width="51.5546875" style="705" bestFit="1" customWidth="1"/>
    <col min="12536" max="12536" width="9.88671875" style="705" bestFit="1" customWidth="1"/>
    <col min="12537" max="12537" width="13.44140625" style="705" bestFit="1" customWidth="1"/>
    <col min="12538" max="12538" width="7.109375" style="705" bestFit="1" customWidth="1"/>
    <col min="12539" max="12539" width="6.5546875" style="705" bestFit="1" customWidth="1"/>
    <col min="12540" max="12540" width="9" style="705" bestFit="1" customWidth="1"/>
    <col min="12541" max="12541" width="10.109375" style="705" bestFit="1" customWidth="1"/>
    <col min="12542" max="12542" width="9.88671875" style="705" bestFit="1" customWidth="1"/>
    <col min="12543" max="12543" width="10.109375" style="705" bestFit="1" customWidth="1"/>
    <col min="12544" max="12544" width="11.33203125" style="705" bestFit="1" customWidth="1"/>
    <col min="12545" max="12545" width="12.88671875" style="705" bestFit="1" customWidth="1"/>
    <col min="12546" max="12546" width="9.88671875" style="705" bestFit="1" customWidth="1"/>
    <col min="12547" max="12547" width="13.44140625" style="705" bestFit="1" customWidth="1"/>
    <col min="12548" max="12548" width="6.44140625" style="705" bestFit="1" customWidth="1"/>
    <col min="12549" max="12549" width="10" style="705" bestFit="1" customWidth="1"/>
    <col min="12550" max="12550" width="6.44140625" style="705" bestFit="1" customWidth="1"/>
    <col min="12551" max="12551" width="10" style="705" bestFit="1" customWidth="1"/>
    <col min="12552" max="12552" width="6.44140625" style="705" bestFit="1" customWidth="1"/>
    <col min="12553" max="12553" width="10.88671875" style="705" bestFit="1" customWidth="1"/>
    <col min="12554" max="12789" width="9.109375" style="705"/>
    <col min="12790" max="12790" width="6" style="705" bestFit="1" customWidth="1"/>
    <col min="12791" max="12791" width="51.5546875" style="705" bestFit="1" customWidth="1"/>
    <col min="12792" max="12792" width="9.88671875" style="705" bestFit="1" customWidth="1"/>
    <col min="12793" max="12793" width="13.44140625" style="705" bestFit="1" customWidth="1"/>
    <col min="12794" max="12794" width="7.109375" style="705" bestFit="1" customWidth="1"/>
    <col min="12795" max="12795" width="6.5546875" style="705" bestFit="1" customWidth="1"/>
    <col min="12796" max="12796" width="9" style="705" bestFit="1" customWidth="1"/>
    <col min="12797" max="12797" width="10.109375" style="705" bestFit="1" customWidth="1"/>
    <col min="12798" max="12798" width="9.88671875" style="705" bestFit="1" customWidth="1"/>
    <col min="12799" max="12799" width="10.109375" style="705" bestFit="1" customWidth="1"/>
    <col min="12800" max="12800" width="11.33203125" style="705" bestFit="1" customWidth="1"/>
    <col min="12801" max="12801" width="12.88671875" style="705" bestFit="1" customWidth="1"/>
    <col min="12802" max="12802" width="9.88671875" style="705" bestFit="1" customWidth="1"/>
    <col min="12803" max="12803" width="13.44140625" style="705" bestFit="1" customWidth="1"/>
    <col min="12804" max="12804" width="6.44140625" style="705" bestFit="1" customWidth="1"/>
    <col min="12805" max="12805" width="10" style="705" bestFit="1" customWidth="1"/>
    <col min="12806" max="12806" width="6.44140625" style="705" bestFit="1" customWidth="1"/>
    <col min="12807" max="12807" width="10" style="705" bestFit="1" customWidth="1"/>
    <col min="12808" max="12808" width="6.44140625" style="705" bestFit="1" customWidth="1"/>
    <col min="12809" max="12809" width="10.88671875" style="705" bestFit="1" customWidth="1"/>
    <col min="12810" max="13045" width="9.109375" style="705"/>
    <col min="13046" max="13046" width="6" style="705" bestFit="1" customWidth="1"/>
    <col min="13047" max="13047" width="51.5546875" style="705" bestFit="1" customWidth="1"/>
    <col min="13048" max="13048" width="9.88671875" style="705" bestFit="1" customWidth="1"/>
    <col min="13049" max="13049" width="13.44140625" style="705" bestFit="1" customWidth="1"/>
    <col min="13050" max="13050" width="7.109375" style="705" bestFit="1" customWidth="1"/>
    <col min="13051" max="13051" width="6.5546875" style="705" bestFit="1" customWidth="1"/>
    <col min="13052" max="13052" width="9" style="705" bestFit="1" customWidth="1"/>
    <col min="13053" max="13053" width="10.109375" style="705" bestFit="1" customWidth="1"/>
    <col min="13054" max="13054" width="9.88671875" style="705" bestFit="1" customWidth="1"/>
    <col min="13055" max="13055" width="10.109375" style="705" bestFit="1" customWidth="1"/>
    <col min="13056" max="13056" width="11.33203125" style="705" bestFit="1" customWidth="1"/>
    <col min="13057" max="13057" width="12.88671875" style="705" bestFit="1" customWidth="1"/>
    <col min="13058" max="13058" width="9.88671875" style="705" bestFit="1" customWidth="1"/>
    <col min="13059" max="13059" width="13.44140625" style="705" bestFit="1" customWidth="1"/>
    <col min="13060" max="13060" width="6.44140625" style="705" bestFit="1" customWidth="1"/>
    <col min="13061" max="13061" width="10" style="705" bestFit="1" customWidth="1"/>
    <col min="13062" max="13062" width="6.44140625" style="705" bestFit="1" customWidth="1"/>
    <col min="13063" max="13063" width="10" style="705" bestFit="1" customWidth="1"/>
    <col min="13064" max="13064" width="6.44140625" style="705" bestFit="1" customWidth="1"/>
    <col min="13065" max="13065" width="10.88671875" style="705" bestFit="1" customWidth="1"/>
    <col min="13066" max="13301" width="9.109375" style="705"/>
    <col min="13302" max="13302" width="6" style="705" bestFit="1" customWidth="1"/>
    <col min="13303" max="13303" width="51.5546875" style="705" bestFit="1" customWidth="1"/>
    <col min="13304" max="13304" width="9.88671875" style="705" bestFit="1" customWidth="1"/>
    <col min="13305" max="13305" width="13.44140625" style="705" bestFit="1" customWidth="1"/>
    <col min="13306" max="13306" width="7.109375" style="705" bestFit="1" customWidth="1"/>
    <col min="13307" max="13307" width="6.5546875" style="705" bestFit="1" customWidth="1"/>
    <col min="13308" max="13308" width="9" style="705" bestFit="1" customWidth="1"/>
    <col min="13309" max="13309" width="10.109375" style="705" bestFit="1" customWidth="1"/>
    <col min="13310" max="13310" width="9.88671875" style="705" bestFit="1" customWidth="1"/>
    <col min="13311" max="13311" width="10.109375" style="705" bestFit="1" customWidth="1"/>
    <col min="13312" max="13312" width="11.33203125" style="705" bestFit="1" customWidth="1"/>
    <col min="13313" max="13313" width="12.88671875" style="705" bestFit="1" customWidth="1"/>
    <col min="13314" max="13314" width="9.88671875" style="705" bestFit="1" customWidth="1"/>
    <col min="13315" max="13315" width="13.44140625" style="705" bestFit="1" customWidth="1"/>
    <col min="13316" max="13316" width="6.44140625" style="705" bestFit="1" customWidth="1"/>
    <col min="13317" max="13317" width="10" style="705" bestFit="1" customWidth="1"/>
    <col min="13318" max="13318" width="6.44140625" style="705" bestFit="1" customWidth="1"/>
    <col min="13319" max="13319" width="10" style="705" bestFit="1" customWidth="1"/>
    <col min="13320" max="13320" width="6.44140625" style="705" bestFit="1" customWidth="1"/>
    <col min="13321" max="13321" width="10.88671875" style="705" bestFit="1" customWidth="1"/>
    <col min="13322" max="13557" width="9.109375" style="705"/>
    <col min="13558" max="13558" width="6" style="705" bestFit="1" customWidth="1"/>
    <col min="13559" max="13559" width="51.5546875" style="705" bestFit="1" customWidth="1"/>
    <col min="13560" max="13560" width="9.88671875" style="705" bestFit="1" customWidth="1"/>
    <col min="13561" max="13561" width="13.44140625" style="705" bestFit="1" customWidth="1"/>
    <col min="13562" max="13562" width="7.109375" style="705" bestFit="1" customWidth="1"/>
    <col min="13563" max="13563" width="6.5546875" style="705" bestFit="1" customWidth="1"/>
    <col min="13564" max="13564" width="9" style="705" bestFit="1" customWidth="1"/>
    <col min="13565" max="13565" width="10.109375" style="705" bestFit="1" customWidth="1"/>
    <col min="13566" max="13566" width="9.88671875" style="705" bestFit="1" customWidth="1"/>
    <col min="13567" max="13567" width="10.109375" style="705" bestFit="1" customWidth="1"/>
    <col min="13568" max="13568" width="11.33203125" style="705" bestFit="1" customWidth="1"/>
    <col min="13569" max="13569" width="12.88671875" style="705" bestFit="1" customWidth="1"/>
    <col min="13570" max="13570" width="9.88671875" style="705" bestFit="1" customWidth="1"/>
    <col min="13571" max="13571" width="13.44140625" style="705" bestFit="1" customWidth="1"/>
    <col min="13572" max="13572" width="6.44140625" style="705" bestFit="1" customWidth="1"/>
    <col min="13573" max="13573" width="10" style="705" bestFit="1" customWidth="1"/>
    <col min="13574" max="13574" width="6.44140625" style="705" bestFit="1" customWidth="1"/>
    <col min="13575" max="13575" width="10" style="705" bestFit="1" customWidth="1"/>
    <col min="13576" max="13576" width="6.44140625" style="705" bestFit="1" customWidth="1"/>
    <col min="13577" max="13577" width="10.88671875" style="705" bestFit="1" customWidth="1"/>
    <col min="13578" max="13813" width="9.109375" style="705"/>
    <col min="13814" max="13814" width="6" style="705" bestFit="1" customWidth="1"/>
    <col min="13815" max="13815" width="51.5546875" style="705" bestFit="1" customWidth="1"/>
    <col min="13816" max="13816" width="9.88671875" style="705" bestFit="1" customWidth="1"/>
    <col min="13817" max="13817" width="13.44140625" style="705" bestFit="1" customWidth="1"/>
    <col min="13818" max="13818" width="7.109375" style="705" bestFit="1" customWidth="1"/>
    <col min="13819" max="13819" width="6.5546875" style="705" bestFit="1" customWidth="1"/>
    <col min="13820" max="13820" width="9" style="705" bestFit="1" customWidth="1"/>
    <col min="13821" max="13821" width="10.109375" style="705" bestFit="1" customWidth="1"/>
    <col min="13822" max="13822" width="9.88671875" style="705" bestFit="1" customWidth="1"/>
    <col min="13823" max="13823" width="10.109375" style="705" bestFit="1" customWidth="1"/>
    <col min="13824" max="13824" width="11.33203125" style="705" bestFit="1" customWidth="1"/>
    <col min="13825" max="13825" width="12.88671875" style="705" bestFit="1" customWidth="1"/>
    <col min="13826" max="13826" width="9.88671875" style="705" bestFit="1" customWidth="1"/>
    <col min="13827" max="13827" width="13.44140625" style="705" bestFit="1" customWidth="1"/>
    <col min="13828" max="13828" width="6.44140625" style="705" bestFit="1" customWidth="1"/>
    <col min="13829" max="13829" width="10" style="705" bestFit="1" customWidth="1"/>
    <col min="13830" max="13830" width="6.44140625" style="705" bestFit="1" customWidth="1"/>
    <col min="13831" max="13831" width="10" style="705" bestFit="1" customWidth="1"/>
    <col min="13832" max="13832" width="6.44140625" style="705" bestFit="1" customWidth="1"/>
    <col min="13833" max="13833" width="10.88671875" style="705" bestFit="1" customWidth="1"/>
    <col min="13834" max="14069" width="9.109375" style="705"/>
    <col min="14070" max="14070" width="6" style="705" bestFit="1" customWidth="1"/>
    <col min="14071" max="14071" width="51.5546875" style="705" bestFit="1" customWidth="1"/>
    <col min="14072" max="14072" width="9.88671875" style="705" bestFit="1" customWidth="1"/>
    <col min="14073" max="14073" width="13.44140625" style="705" bestFit="1" customWidth="1"/>
    <col min="14074" max="14074" width="7.109375" style="705" bestFit="1" customWidth="1"/>
    <col min="14075" max="14075" width="6.5546875" style="705" bestFit="1" customWidth="1"/>
    <col min="14076" max="14076" width="9" style="705" bestFit="1" customWidth="1"/>
    <col min="14077" max="14077" width="10.109375" style="705" bestFit="1" customWidth="1"/>
    <col min="14078" max="14078" width="9.88671875" style="705" bestFit="1" customWidth="1"/>
    <col min="14079" max="14079" width="10.109375" style="705" bestFit="1" customWidth="1"/>
    <col min="14080" max="14080" width="11.33203125" style="705" bestFit="1" customWidth="1"/>
    <col min="14081" max="14081" width="12.88671875" style="705" bestFit="1" customWidth="1"/>
    <col min="14082" max="14082" width="9.88671875" style="705" bestFit="1" customWidth="1"/>
    <col min="14083" max="14083" width="13.44140625" style="705" bestFit="1" customWidth="1"/>
    <col min="14084" max="14084" width="6.44140625" style="705" bestFit="1" customWidth="1"/>
    <col min="14085" max="14085" width="10" style="705" bestFit="1" customWidth="1"/>
    <col min="14086" max="14086" width="6.44140625" style="705" bestFit="1" customWidth="1"/>
    <col min="14087" max="14087" width="10" style="705" bestFit="1" customWidth="1"/>
    <col min="14088" max="14088" width="6.44140625" style="705" bestFit="1" customWidth="1"/>
    <col min="14089" max="14089" width="10.88671875" style="705" bestFit="1" customWidth="1"/>
    <col min="14090" max="14325" width="9.109375" style="705"/>
    <col min="14326" max="14326" width="6" style="705" bestFit="1" customWidth="1"/>
    <col min="14327" max="14327" width="51.5546875" style="705" bestFit="1" customWidth="1"/>
    <col min="14328" max="14328" width="9.88671875" style="705" bestFit="1" customWidth="1"/>
    <col min="14329" max="14329" width="13.44140625" style="705" bestFit="1" customWidth="1"/>
    <col min="14330" max="14330" width="7.109375" style="705" bestFit="1" customWidth="1"/>
    <col min="14331" max="14331" width="6.5546875" style="705" bestFit="1" customWidth="1"/>
    <col min="14332" max="14332" width="9" style="705" bestFit="1" customWidth="1"/>
    <col min="14333" max="14333" width="10.109375" style="705" bestFit="1" customWidth="1"/>
    <col min="14334" max="14334" width="9.88671875" style="705" bestFit="1" customWidth="1"/>
    <col min="14335" max="14335" width="10.109375" style="705" bestFit="1" customWidth="1"/>
    <col min="14336" max="14336" width="11.33203125" style="705" bestFit="1" customWidth="1"/>
    <col min="14337" max="14337" width="12.88671875" style="705" bestFit="1" customWidth="1"/>
    <col min="14338" max="14338" width="9.88671875" style="705" bestFit="1" customWidth="1"/>
    <col min="14339" max="14339" width="13.44140625" style="705" bestFit="1" customWidth="1"/>
    <col min="14340" max="14340" width="6.44140625" style="705" bestFit="1" customWidth="1"/>
    <col min="14341" max="14341" width="10" style="705" bestFit="1" customWidth="1"/>
    <col min="14342" max="14342" width="6.44140625" style="705" bestFit="1" customWidth="1"/>
    <col min="14343" max="14343" width="10" style="705" bestFit="1" customWidth="1"/>
    <col min="14344" max="14344" width="6.44140625" style="705" bestFit="1" customWidth="1"/>
    <col min="14345" max="14345" width="10.88671875" style="705" bestFit="1" customWidth="1"/>
    <col min="14346" max="14581" width="9.109375" style="705"/>
    <col min="14582" max="14582" width="6" style="705" bestFit="1" customWidth="1"/>
    <col min="14583" max="14583" width="51.5546875" style="705" bestFit="1" customWidth="1"/>
    <col min="14584" max="14584" width="9.88671875" style="705" bestFit="1" customWidth="1"/>
    <col min="14585" max="14585" width="13.44140625" style="705" bestFit="1" customWidth="1"/>
    <col min="14586" max="14586" width="7.109375" style="705" bestFit="1" customWidth="1"/>
    <col min="14587" max="14587" width="6.5546875" style="705" bestFit="1" customWidth="1"/>
    <col min="14588" max="14588" width="9" style="705" bestFit="1" customWidth="1"/>
    <col min="14589" max="14589" width="10.109375" style="705" bestFit="1" customWidth="1"/>
    <col min="14590" max="14590" width="9.88671875" style="705" bestFit="1" customWidth="1"/>
    <col min="14591" max="14591" width="10.109375" style="705" bestFit="1" customWidth="1"/>
    <col min="14592" max="14592" width="11.33203125" style="705" bestFit="1" customWidth="1"/>
    <col min="14593" max="14593" width="12.88671875" style="705" bestFit="1" customWidth="1"/>
    <col min="14594" max="14594" width="9.88671875" style="705" bestFit="1" customWidth="1"/>
    <col min="14595" max="14595" width="13.44140625" style="705" bestFit="1" customWidth="1"/>
    <col min="14596" max="14596" width="6.44140625" style="705" bestFit="1" customWidth="1"/>
    <col min="14597" max="14597" width="10" style="705" bestFit="1" customWidth="1"/>
    <col min="14598" max="14598" width="6.44140625" style="705" bestFit="1" customWidth="1"/>
    <col min="14599" max="14599" width="10" style="705" bestFit="1" customWidth="1"/>
    <col min="14600" max="14600" width="6.44140625" style="705" bestFit="1" customWidth="1"/>
    <col min="14601" max="14601" width="10.88671875" style="705" bestFit="1" customWidth="1"/>
    <col min="14602" max="14837" width="9.109375" style="705"/>
    <col min="14838" max="14838" width="6" style="705" bestFit="1" customWidth="1"/>
    <col min="14839" max="14839" width="51.5546875" style="705" bestFit="1" customWidth="1"/>
    <col min="14840" max="14840" width="9.88671875" style="705" bestFit="1" customWidth="1"/>
    <col min="14841" max="14841" width="13.44140625" style="705" bestFit="1" customWidth="1"/>
    <col min="14842" max="14842" width="7.109375" style="705" bestFit="1" customWidth="1"/>
    <col min="14843" max="14843" width="6.5546875" style="705" bestFit="1" customWidth="1"/>
    <col min="14844" max="14844" width="9" style="705" bestFit="1" customWidth="1"/>
    <col min="14845" max="14845" width="10.109375" style="705" bestFit="1" customWidth="1"/>
    <col min="14846" max="14846" width="9.88671875" style="705" bestFit="1" customWidth="1"/>
    <col min="14847" max="14847" width="10.109375" style="705" bestFit="1" customWidth="1"/>
    <col min="14848" max="14848" width="11.33203125" style="705" bestFit="1" customWidth="1"/>
    <col min="14849" max="14849" width="12.88671875" style="705" bestFit="1" customWidth="1"/>
    <col min="14850" max="14850" width="9.88671875" style="705" bestFit="1" customWidth="1"/>
    <col min="14851" max="14851" width="13.44140625" style="705" bestFit="1" customWidth="1"/>
    <col min="14852" max="14852" width="6.44140625" style="705" bestFit="1" customWidth="1"/>
    <col min="14853" max="14853" width="10" style="705" bestFit="1" customWidth="1"/>
    <col min="14854" max="14854" width="6.44140625" style="705" bestFit="1" customWidth="1"/>
    <col min="14855" max="14855" width="10" style="705" bestFit="1" customWidth="1"/>
    <col min="14856" max="14856" width="6.44140625" style="705" bestFit="1" customWidth="1"/>
    <col min="14857" max="14857" width="10.88671875" style="705" bestFit="1" customWidth="1"/>
    <col min="14858" max="15093" width="9.109375" style="705"/>
    <col min="15094" max="15094" width="6" style="705" bestFit="1" customWidth="1"/>
    <col min="15095" max="15095" width="51.5546875" style="705" bestFit="1" customWidth="1"/>
    <col min="15096" max="15096" width="9.88671875" style="705" bestFit="1" customWidth="1"/>
    <col min="15097" max="15097" width="13.44140625" style="705" bestFit="1" customWidth="1"/>
    <col min="15098" max="15098" width="7.109375" style="705" bestFit="1" customWidth="1"/>
    <col min="15099" max="15099" width="6.5546875" style="705" bestFit="1" customWidth="1"/>
    <col min="15100" max="15100" width="9" style="705" bestFit="1" customWidth="1"/>
    <col min="15101" max="15101" width="10.109375" style="705" bestFit="1" customWidth="1"/>
    <col min="15102" max="15102" width="9.88671875" style="705" bestFit="1" customWidth="1"/>
    <col min="15103" max="15103" width="10.109375" style="705" bestFit="1" customWidth="1"/>
    <col min="15104" max="15104" width="11.33203125" style="705" bestFit="1" customWidth="1"/>
    <col min="15105" max="15105" width="12.88671875" style="705" bestFit="1" customWidth="1"/>
    <col min="15106" max="15106" width="9.88671875" style="705" bestFit="1" customWidth="1"/>
    <col min="15107" max="15107" width="13.44140625" style="705" bestFit="1" customWidth="1"/>
    <col min="15108" max="15108" width="6.44140625" style="705" bestFit="1" customWidth="1"/>
    <col min="15109" max="15109" width="10" style="705" bestFit="1" customWidth="1"/>
    <col min="15110" max="15110" width="6.44140625" style="705" bestFit="1" customWidth="1"/>
    <col min="15111" max="15111" width="10" style="705" bestFit="1" customWidth="1"/>
    <col min="15112" max="15112" width="6.44140625" style="705" bestFit="1" customWidth="1"/>
    <col min="15113" max="15113" width="10.88671875" style="705" bestFit="1" customWidth="1"/>
    <col min="15114" max="15349" width="9.109375" style="705"/>
    <col min="15350" max="15350" width="6" style="705" bestFit="1" customWidth="1"/>
    <col min="15351" max="15351" width="51.5546875" style="705" bestFit="1" customWidth="1"/>
    <col min="15352" max="15352" width="9.88671875" style="705" bestFit="1" customWidth="1"/>
    <col min="15353" max="15353" width="13.44140625" style="705" bestFit="1" customWidth="1"/>
    <col min="15354" max="15354" width="7.109375" style="705" bestFit="1" customWidth="1"/>
    <col min="15355" max="15355" width="6.5546875" style="705" bestFit="1" customWidth="1"/>
    <col min="15356" max="15356" width="9" style="705" bestFit="1" customWidth="1"/>
    <col min="15357" max="15357" width="10.109375" style="705" bestFit="1" customWidth="1"/>
    <col min="15358" max="15358" width="9.88671875" style="705" bestFit="1" customWidth="1"/>
    <col min="15359" max="15359" width="10.109375" style="705" bestFit="1" customWidth="1"/>
    <col min="15360" max="15360" width="11.33203125" style="705" bestFit="1" customWidth="1"/>
    <col min="15361" max="15361" width="12.88671875" style="705" bestFit="1" customWidth="1"/>
    <col min="15362" max="15362" width="9.88671875" style="705" bestFit="1" customWidth="1"/>
    <col min="15363" max="15363" width="13.44140625" style="705" bestFit="1" customWidth="1"/>
    <col min="15364" max="15364" width="6.44140625" style="705" bestFit="1" customWidth="1"/>
    <col min="15365" max="15365" width="10" style="705" bestFit="1" customWidth="1"/>
    <col min="15366" max="15366" width="6.44140625" style="705" bestFit="1" customWidth="1"/>
    <col min="15367" max="15367" width="10" style="705" bestFit="1" customWidth="1"/>
    <col min="15368" max="15368" width="6.44140625" style="705" bestFit="1" customWidth="1"/>
    <col min="15369" max="15369" width="10.88671875" style="705" bestFit="1" customWidth="1"/>
    <col min="15370" max="15605" width="9.109375" style="705"/>
    <col min="15606" max="15606" width="6" style="705" bestFit="1" customWidth="1"/>
    <col min="15607" max="15607" width="51.5546875" style="705" bestFit="1" customWidth="1"/>
    <col min="15608" max="15608" width="9.88671875" style="705" bestFit="1" customWidth="1"/>
    <col min="15609" max="15609" width="13.44140625" style="705" bestFit="1" customWidth="1"/>
    <col min="15610" max="15610" width="7.109375" style="705" bestFit="1" customWidth="1"/>
    <col min="15611" max="15611" width="6.5546875" style="705" bestFit="1" customWidth="1"/>
    <col min="15612" max="15612" width="9" style="705" bestFit="1" customWidth="1"/>
    <col min="15613" max="15613" width="10.109375" style="705" bestFit="1" customWidth="1"/>
    <col min="15614" max="15614" width="9.88671875" style="705" bestFit="1" customWidth="1"/>
    <col min="15615" max="15615" width="10.109375" style="705" bestFit="1" customWidth="1"/>
    <col min="15616" max="15616" width="11.33203125" style="705" bestFit="1" customWidth="1"/>
    <col min="15617" max="15617" width="12.88671875" style="705" bestFit="1" customWidth="1"/>
    <col min="15618" max="15618" width="9.88671875" style="705" bestFit="1" customWidth="1"/>
    <col min="15619" max="15619" width="13.44140625" style="705" bestFit="1" customWidth="1"/>
    <col min="15620" max="15620" width="6.44140625" style="705" bestFit="1" customWidth="1"/>
    <col min="15621" max="15621" width="10" style="705" bestFit="1" customWidth="1"/>
    <col min="15622" max="15622" width="6.44140625" style="705" bestFit="1" customWidth="1"/>
    <col min="15623" max="15623" width="10" style="705" bestFit="1" customWidth="1"/>
    <col min="15624" max="15624" width="6.44140625" style="705" bestFit="1" customWidth="1"/>
    <col min="15625" max="15625" width="10.88671875" style="705" bestFit="1" customWidth="1"/>
    <col min="15626" max="15861" width="9.109375" style="705"/>
    <col min="15862" max="15862" width="6" style="705" bestFit="1" customWidth="1"/>
    <col min="15863" max="15863" width="51.5546875" style="705" bestFit="1" customWidth="1"/>
    <col min="15864" max="15864" width="9.88671875" style="705" bestFit="1" customWidth="1"/>
    <col min="15865" max="15865" width="13.44140625" style="705" bestFit="1" customWidth="1"/>
    <col min="15866" max="15866" width="7.109375" style="705" bestFit="1" customWidth="1"/>
    <col min="15867" max="15867" width="6.5546875" style="705" bestFit="1" customWidth="1"/>
    <col min="15868" max="15868" width="9" style="705" bestFit="1" customWidth="1"/>
    <col min="15869" max="15869" width="10.109375" style="705" bestFit="1" customWidth="1"/>
    <col min="15870" max="15870" width="9.88671875" style="705" bestFit="1" customWidth="1"/>
    <col min="15871" max="15871" width="10.109375" style="705" bestFit="1" customWidth="1"/>
    <col min="15872" max="15872" width="11.33203125" style="705" bestFit="1" customWidth="1"/>
    <col min="15873" max="15873" width="12.88671875" style="705" bestFit="1" customWidth="1"/>
    <col min="15874" max="15874" width="9.88671875" style="705" bestFit="1" customWidth="1"/>
    <col min="15875" max="15875" width="13.44140625" style="705" bestFit="1" customWidth="1"/>
    <col min="15876" max="15876" width="6.44140625" style="705" bestFit="1" customWidth="1"/>
    <col min="15877" max="15877" width="10" style="705" bestFit="1" customWidth="1"/>
    <col min="15878" max="15878" width="6.44140625" style="705" bestFit="1" customWidth="1"/>
    <col min="15879" max="15879" width="10" style="705" bestFit="1" customWidth="1"/>
    <col min="15880" max="15880" width="6.44140625" style="705" bestFit="1" customWidth="1"/>
    <col min="15881" max="15881" width="10.88671875" style="705" bestFit="1" customWidth="1"/>
    <col min="15882" max="16117" width="9.109375" style="705"/>
    <col min="16118" max="16118" width="6" style="705" bestFit="1" customWidth="1"/>
    <col min="16119" max="16119" width="51.5546875" style="705" bestFit="1" customWidth="1"/>
    <col min="16120" max="16120" width="9.88671875" style="705" bestFit="1" customWidth="1"/>
    <col min="16121" max="16121" width="13.44140625" style="705" bestFit="1" customWidth="1"/>
    <col min="16122" max="16122" width="7.109375" style="705" bestFit="1" customWidth="1"/>
    <col min="16123" max="16123" width="6.5546875" style="705" bestFit="1" customWidth="1"/>
    <col min="16124" max="16124" width="9" style="705" bestFit="1" customWidth="1"/>
    <col min="16125" max="16125" width="10.109375" style="705" bestFit="1" customWidth="1"/>
    <col min="16126" max="16126" width="9.88671875" style="705" bestFit="1" customWidth="1"/>
    <col min="16127" max="16127" width="10.109375" style="705" bestFit="1" customWidth="1"/>
    <col min="16128" max="16128" width="11.33203125" style="705" bestFit="1" customWidth="1"/>
    <col min="16129" max="16129" width="12.88671875" style="705" bestFit="1" customWidth="1"/>
    <col min="16130" max="16130" width="9.88671875" style="705" bestFit="1" customWidth="1"/>
    <col min="16131" max="16131" width="13.44140625" style="705" bestFit="1" customWidth="1"/>
    <col min="16132" max="16132" width="6.44140625" style="705" bestFit="1" customWidth="1"/>
    <col min="16133" max="16133" width="10" style="705" bestFit="1" customWidth="1"/>
    <col min="16134" max="16134" width="6.44140625" style="705" bestFit="1" customWidth="1"/>
    <col min="16135" max="16135" width="10" style="705" bestFit="1" customWidth="1"/>
    <col min="16136" max="16136" width="6.44140625" style="705" bestFit="1" customWidth="1"/>
    <col min="16137" max="16137" width="10.88671875" style="705" bestFit="1" customWidth="1"/>
    <col min="16138" max="16384" width="9.109375" style="705"/>
  </cols>
  <sheetData>
    <row r="1" spans="1:9" ht="25.55" customHeight="1" x14ac:dyDescent="0.25">
      <c r="A1" s="1485" t="s">
        <v>1851</v>
      </c>
      <c r="B1" s="1485"/>
      <c r="C1" s="1485"/>
      <c r="D1" s="1485"/>
      <c r="E1" s="1485"/>
      <c r="F1" s="1485"/>
      <c r="G1" s="1485"/>
      <c r="H1" s="1485"/>
      <c r="I1" s="1485"/>
    </row>
    <row r="2" spans="1:9" ht="15.05" customHeight="1" x14ac:dyDescent="0.25">
      <c r="A2" s="1486" t="s">
        <v>22</v>
      </c>
      <c r="B2" s="1487" t="s">
        <v>1216</v>
      </c>
      <c r="C2" s="1488" t="s">
        <v>23</v>
      </c>
      <c r="D2" s="1488" t="s">
        <v>882</v>
      </c>
      <c r="E2" s="1485" t="s">
        <v>883</v>
      </c>
      <c r="F2" s="1485"/>
      <c r="G2" s="1485" t="s">
        <v>1217</v>
      </c>
      <c r="H2" s="1485"/>
      <c r="I2" s="1488" t="s">
        <v>759</v>
      </c>
    </row>
    <row r="3" spans="1:9" ht="15.05" customHeight="1" x14ac:dyDescent="0.25">
      <c r="A3" s="1486"/>
      <c r="B3" s="1487"/>
      <c r="C3" s="1488"/>
      <c r="D3" s="1488"/>
      <c r="E3" s="706" t="s">
        <v>1219</v>
      </c>
      <c r="F3" s="706" t="s">
        <v>1220</v>
      </c>
      <c r="G3" s="707" t="s">
        <v>1219</v>
      </c>
      <c r="H3" s="706" t="s">
        <v>1220</v>
      </c>
      <c r="I3" s="1488"/>
    </row>
    <row r="4" spans="1:9" collapsed="1" x14ac:dyDescent="0.25">
      <c r="A4" s="708" t="s">
        <v>32</v>
      </c>
      <c r="B4" s="709" t="s">
        <v>1852</v>
      </c>
      <c r="C4" s="710" t="s">
        <v>44</v>
      </c>
      <c r="D4" s="710">
        <v>5</v>
      </c>
      <c r="E4" s="711"/>
      <c r="F4" s="711"/>
      <c r="G4" s="711">
        <f>SUM(G5:G12)</f>
        <v>15000</v>
      </c>
      <c r="H4" s="711">
        <f>SUM(H5:H12)</f>
        <v>29904.3</v>
      </c>
      <c r="I4" s="711">
        <f>SUM(I5:I12)</f>
        <v>44904.3</v>
      </c>
    </row>
    <row r="5" spans="1:9" hidden="1" outlineLevel="1" x14ac:dyDescent="0.25">
      <c r="A5" s="712" t="s">
        <v>1222</v>
      </c>
      <c r="B5" s="713" t="s">
        <v>1853</v>
      </c>
      <c r="C5" s="714" t="s">
        <v>44</v>
      </c>
      <c r="D5" s="714">
        <v>5</v>
      </c>
      <c r="E5" s="715">
        <v>1000</v>
      </c>
      <c r="F5" s="715">
        <v>3837.86</v>
      </c>
      <c r="G5" s="715">
        <f t="shared" ref="G5:G12" si="0">PRODUCT(E5,D5)</f>
        <v>5000</v>
      </c>
      <c r="H5" s="715">
        <f t="shared" ref="H5:H12" si="1">PRODUCT(F5,D5)</f>
        <v>19189.3</v>
      </c>
      <c r="I5" s="715">
        <f t="shared" ref="I5:I50" si="2">SUM(G5:H5)</f>
        <v>24189.3</v>
      </c>
    </row>
    <row r="6" spans="1:9" hidden="1" outlineLevel="1" x14ac:dyDescent="0.25">
      <c r="A6" s="712" t="s">
        <v>1224</v>
      </c>
      <c r="B6" s="713" t="s">
        <v>1854</v>
      </c>
      <c r="C6" s="714" t="s">
        <v>1855</v>
      </c>
      <c r="D6" s="714">
        <v>40</v>
      </c>
      <c r="E6" s="715">
        <v>250</v>
      </c>
      <c r="F6" s="715">
        <v>133</v>
      </c>
      <c r="G6" s="715">
        <f t="shared" si="0"/>
        <v>10000</v>
      </c>
      <c r="H6" s="715">
        <f t="shared" si="1"/>
        <v>5320</v>
      </c>
      <c r="I6" s="715">
        <f t="shared" si="2"/>
        <v>15320</v>
      </c>
    </row>
    <row r="7" spans="1:9" hidden="1" outlineLevel="1" x14ac:dyDescent="0.25">
      <c r="A7" s="712" t="s">
        <v>1226</v>
      </c>
      <c r="B7" s="713" t="s">
        <v>1856</v>
      </c>
      <c r="C7" s="714" t="s">
        <v>44</v>
      </c>
      <c r="D7" s="714">
        <v>5</v>
      </c>
      <c r="E7" s="715">
        <v>0</v>
      </c>
      <c r="F7" s="715">
        <v>257</v>
      </c>
      <c r="G7" s="715">
        <f t="shared" si="0"/>
        <v>0</v>
      </c>
      <c r="H7" s="715">
        <f t="shared" si="1"/>
        <v>1285</v>
      </c>
      <c r="I7" s="715">
        <f t="shared" si="2"/>
        <v>1285</v>
      </c>
    </row>
    <row r="8" spans="1:9" hidden="1" outlineLevel="1" x14ac:dyDescent="0.25">
      <c r="A8" s="712" t="s">
        <v>1228</v>
      </c>
      <c r="B8" s="713" t="s">
        <v>1857</v>
      </c>
      <c r="C8" s="714" t="s">
        <v>44</v>
      </c>
      <c r="D8" s="714">
        <v>20</v>
      </c>
      <c r="E8" s="715">
        <v>0</v>
      </c>
      <c r="F8" s="715">
        <v>17</v>
      </c>
      <c r="G8" s="715">
        <f t="shared" si="0"/>
        <v>0</v>
      </c>
      <c r="H8" s="715">
        <f t="shared" si="1"/>
        <v>340</v>
      </c>
      <c r="I8" s="715">
        <f t="shared" si="2"/>
        <v>340</v>
      </c>
    </row>
    <row r="9" spans="1:9" hidden="1" outlineLevel="1" x14ac:dyDescent="0.25">
      <c r="A9" s="712" t="s">
        <v>1230</v>
      </c>
      <c r="B9" s="713" t="s">
        <v>1858</v>
      </c>
      <c r="C9" s="714" t="s">
        <v>44</v>
      </c>
      <c r="D9" s="714">
        <v>5</v>
      </c>
      <c r="E9" s="715">
        <v>0</v>
      </c>
      <c r="F9" s="715">
        <v>212</v>
      </c>
      <c r="G9" s="715">
        <f t="shared" si="0"/>
        <v>0</v>
      </c>
      <c r="H9" s="715">
        <f t="shared" si="1"/>
        <v>1060</v>
      </c>
      <c r="I9" s="715">
        <f t="shared" si="2"/>
        <v>1060</v>
      </c>
    </row>
    <row r="10" spans="1:9" hidden="1" outlineLevel="1" x14ac:dyDescent="0.25">
      <c r="A10" s="712" t="s">
        <v>1232</v>
      </c>
      <c r="B10" s="713" t="s">
        <v>1859</v>
      </c>
      <c r="C10" s="714" t="s">
        <v>44</v>
      </c>
      <c r="D10" s="714">
        <v>5</v>
      </c>
      <c r="E10" s="715">
        <v>0</v>
      </c>
      <c r="F10" s="715">
        <v>201</v>
      </c>
      <c r="G10" s="715">
        <f t="shared" si="0"/>
        <v>0</v>
      </c>
      <c r="H10" s="715">
        <f t="shared" si="1"/>
        <v>1005</v>
      </c>
      <c r="I10" s="715">
        <f t="shared" si="2"/>
        <v>1005</v>
      </c>
    </row>
    <row r="11" spans="1:9" hidden="1" outlineLevel="1" x14ac:dyDescent="0.25">
      <c r="A11" s="712" t="s">
        <v>1234</v>
      </c>
      <c r="B11" s="713" t="s">
        <v>1860</v>
      </c>
      <c r="C11" s="714" t="s">
        <v>44</v>
      </c>
      <c r="D11" s="714">
        <v>40</v>
      </c>
      <c r="E11" s="715">
        <v>0</v>
      </c>
      <c r="F11" s="715">
        <v>41</v>
      </c>
      <c r="G11" s="715">
        <f t="shared" si="0"/>
        <v>0</v>
      </c>
      <c r="H11" s="715">
        <f t="shared" si="1"/>
        <v>1640</v>
      </c>
      <c r="I11" s="715">
        <f t="shared" si="2"/>
        <v>1640</v>
      </c>
    </row>
    <row r="12" spans="1:9" hidden="1" outlineLevel="1" x14ac:dyDescent="0.25">
      <c r="A12" s="712" t="s">
        <v>1236</v>
      </c>
      <c r="B12" s="713" t="s">
        <v>1861</v>
      </c>
      <c r="C12" s="714" t="s">
        <v>44</v>
      </c>
      <c r="D12" s="714">
        <v>5</v>
      </c>
      <c r="E12" s="715">
        <v>0</v>
      </c>
      <c r="F12" s="715">
        <v>13</v>
      </c>
      <c r="G12" s="715">
        <f t="shared" si="0"/>
        <v>0</v>
      </c>
      <c r="H12" s="715">
        <f t="shared" si="1"/>
        <v>65</v>
      </c>
      <c r="I12" s="715">
        <f t="shared" si="2"/>
        <v>65</v>
      </c>
    </row>
    <row r="13" spans="1:9" collapsed="1" x14ac:dyDescent="0.25">
      <c r="A13" s="716">
        <v>2</v>
      </c>
      <c r="B13" s="709" t="s">
        <v>1862</v>
      </c>
      <c r="C13" s="710" t="s">
        <v>1855</v>
      </c>
      <c r="D13" s="710">
        <f>SUM(D14:D14)</f>
        <v>16.3</v>
      </c>
      <c r="E13" s="711"/>
      <c r="F13" s="711"/>
      <c r="G13" s="711">
        <f>SUM(G14:G26)</f>
        <v>7650</v>
      </c>
      <c r="H13" s="711">
        <f>SUM(H14:H26)</f>
        <v>25888.060000000005</v>
      </c>
      <c r="I13" s="711">
        <f>SUM(I14:I26)</f>
        <v>33538.060000000005</v>
      </c>
    </row>
    <row r="14" spans="1:9" hidden="1" outlineLevel="1" x14ac:dyDescent="0.25">
      <c r="A14" s="712" t="s">
        <v>1863</v>
      </c>
      <c r="B14" s="713" t="s">
        <v>1864</v>
      </c>
      <c r="C14" s="714" t="s">
        <v>43</v>
      </c>
      <c r="D14" s="714">
        <v>16.3</v>
      </c>
      <c r="E14" s="715">
        <v>300</v>
      </c>
      <c r="F14" s="717">
        <v>192</v>
      </c>
      <c r="G14" s="715">
        <f t="shared" ref="G14:G26" si="3">PRODUCT(E14,D14)</f>
        <v>4890</v>
      </c>
      <c r="H14" s="715">
        <f t="shared" ref="H14:H26" si="4">PRODUCT(F14,D14)</f>
        <v>3129.6000000000004</v>
      </c>
      <c r="I14" s="715">
        <f t="shared" si="2"/>
        <v>8019.6</v>
      </c>
    </row>
    <row r="15" spans="1:9" hidden="1" outlineLevel="1" x14ac:dyDescent="0.25">
      <c r="A15" s="712" t="s">
        <v>1865</v>
      </c>
      <c r="B15" s="713" t="s">
        <v>1866</v>
      </c>
      <c r="C15" s="714" t="s">
        <v>43</v>
      </c>
      <c r="D15" s="714">
        <v>9.1999999999999993</v>
      </c>
      <c r="E15" s="715">
        <v>300</v>
      </c>
      <c r="F15" s="717">
        <v>631.4</v>
      </c>
      <c r="G15" s="715">
        <f t="shared" si="3"/>
        <v>2760</v>
      </c>
      <c r="H15" s="715">
        <f t="shared" si="4"/>
        <v>5808.8799999999992</v>
      </c>
      <c r="I15" s="715">
        <f t="shared" si="2"/>
        <v>8568.8799999999992</v>
      </c>
    </row>
    <row r="16" spans="1:9" hidden="1" outlineLevel="1" x14ac:dyDescent="0.25">
      <c r="A16" s="712" t="s">
        <v>1867</v>
      </c>
      <c r="B16" s="713" t="s">
        <v>1868</v>
      </c>
      <c r="C16" s="714" t="s">
        <v>44</v>
      </c>
      <c r="D16" s="714">
        <v>2</v>
      </c>
      <c r="E16" s="715">
        <v>0</v>
      </c>
      <c r="F16" s="715">
        <v>455</v>
      </c>
      <c r="G16" s="715">
        <f>PRODUCT(E16,D16)</f>
        <v>0</v>
      </c>
      <c r="H16" s="715">
        <f>PRODUCT(F16,D16)</f>
        <v>910</v>
      </c>
      <c r="I16" s="715">
        <f>SUM(G16:H16)</f>
        <v>910</v>
      </c>
    </row>
    <row r="17" spans="1:9" hidden="1" outlineLevel="1" x14ac:dyDescent="0.25">
      <c r="A17" s="712" t="s">
        <v>1869</v>
      </c>
      <c r="B17" s="705" t="s">
        <v>1870</v>
      </c>
      <c r="C17" s="714" t="s">
        <v>44</v>
      </c>
      <c r="D17" s="714">
        <v>5</v>
      </c>
      <c r="E17" s="715">
        <v>0</v>
      </c>
      <c r="F17" s="717">
        <v>296</v>
      </c>
      <c r="G17" s="715">
        <f>PRODUCT(E17,D17)</f>
        <v>0</v>
      </c>
      <c r="H17" s="715">
        <f>PRODUCT(F17,D17)</f>
        <v>1480</v>
      </c>
      <c r="I17" s="715">
        <f>SUM(G17:H17)</f>
        <v>1480</v>
      </c>
    </row>
    <row r="18" spans="1:9" hidden="1" outlineLevel="1" x14ac:dyDescent="0.25">
      <c r="A18" s="712" t="s">
        <v>1871</v>
      </c>
      <c r="B18" s="713" t="s">
        <v>1872</v>
      </c>
      <c r="C18" s="714" t="s">
        <v>44</v>
      </c>
      <c r="D18" s="714">
        <v>1</v>
      </c>
      <c r="E18" s="715">
        <v>0</v>
      </c>
      <c r="F18" s="715">
        <v>1430.28</v>
      </c>
      <c r="G18" s="715">
        <f t="shared" si="3"/>
        <v>0</v>
      </c>
      <c r="H18" s="715">
        <f t="shared" si="4"/>
        <v>1430.28</v>
      </c>
      <c r="I18" s="715">
        <f t="shared" si="2"/>
        <v>1430.28</v>
      </c>
    </row>
    <row r="19" spans="1:9" hidden="1" outlineLevel="1" x14ac:dyDescent="0.25">
      <c r="A19" s="712" t="s">
        <v>1873</v>
      </c>
      <c r="B19" s="713" t="s">
        <v>1874</v>
      </c>
      <c r="C19" s="714" t="s">
        <v>44</v>
      </c>
      <c r="D19" s="714">
        <v>2</v>
      </c>
      <c r="E19" s="715">
        <v>0</v>
      </c>
      <c r="F19" s="715">
        <v>2489.2800000000002</v>
      </c>
      <c r="G19" s="715">
        <f t="shared" si="3"/>
        <v>0</v>
      </c>
      <c r="H19" s="715">
        <f t="shared" si="4"/>
        <v>4978.5600000000004</v>
      </c>
      <c r="I19" s="715">
        <f t="shared" si="2"/>
        <v>4978.5600000000004</v>
      </c>
    </row>
    <row r="20" spans="1:9" hidden="1" outlineLevel="1" x14ac:dyDescent="0.25">
      <c r="A20" s="712" t="s">
        <v>1875</v>
      </c>
      <c r="B20" s="713" t="s">
        <v>1876</v>
      </c>
      <c r="C20" s="714" t="s">
        <v>44</v>
      </c>
      <c r="D20" s="714">
        <v>2</v>
      </c>
      <c r="E20" s="715">
        <v>0</v>
      </c>
      <c r="F20" s="715">
        <v>902.85</v>
      </c>
      <c r="G20" s="715">
        <f t="shared" si="3"/>
        <v>0</v>
      </c>
      <c r="H20" s="715">
        <f t="shared" si="4"/>
        <v>1805.7</v>
      </c>
      <c r="I20" s="715">
        <f t="shared" si="2"/>
        <v>1805.7</v>
      </c>
    </row>
    <row r="21" spans="1:9" hidden="1" outlineLevel="1" x14ac:dyDescent="0.25">
      <c r="A21" s="712" t="s">
        <v>1877</v>
      </c>
      <c r="B21" s="713" t="s">
        <v>1878</v>
      </c>
      <c r="C21" s="714" t="s">
        <v>44</v>
      </c>
      <c r="D21" s="714">
        <v>1</v>
      </c>
      <c r="E21" s="715">
        <v>0</v>
      </c>
      <c r="F21" s="715">
        <v>1003</v>
      </c>
      <c r="G21" s="715">
        <f t="shared" si="3"/>
        <v>0</v>
      </c>
      <c r="H21" s="715">
        <f t="shared" si="4"/>
        <v>1003</v>
      </c>
      <c r="I21" s="715">
        <f t="shared" si="2"/>
        <v>1003</v>
      </c>
    </row>
    <row r="22" spans="1:9" hidden="1" outlineLevel="1" x14ac:dyDescent="0.25">
      <c r="A22" s="712" t="s">
        <v>1879</v>
      </c>
      <c r="B22" s="504" t="s">
        <v>1880</v>
      </c>
      <c r="C22" s="714" t="s">
        <v>44</v>
      </c>
      <c r="D22" s="714">
        <v>2</v>
      </c>
      <c r="E22" s="715">
        <v>0</v>
      </c>
      <c r="F22" s="715">
        <v>951</v>
      </c>
      <c r="G22" s="715">
        <f t="shared" si="3"/>
        <v>0</v>
      </c>
      <c r="H22" s="715">
        <f t="shared" si="4"/>
        <v>1902</v>
      </c>
      <c r="I22" s="715">
        <f t="shared" si="2"/>
        <v>1902</v>
      </c>
    </row>
    <row r="23" spans="1:9" hidden="1" outlineLevel="1" x14ac:dyDescent="0.25">
      <c r="A23" s="712" t="s">
        <v>1881</v>
      </c>
      <c r="B23" s="713" t="s">
        <v>1882</v>
      </c>
      <c r="C23" s="714" t="s">
        <v>44</v>
      </c>
      <c r="D23" s="714">
        <v>2</v>
      </c>
      <c r="E23" s="715">
        <v>0</v>
      </c>
      <c r="F23" s="715">
        <v>951.86</v>
      </c>
      <c r="G23" s="715">
        <f t="shared" si="3"/>
        <v>0</v>
      </c>
      <c r="H23" s="715">
        <f t="shared" si="4"/>
        <v>1903.72</v>
      </c>
      <c r="I23" s="715">
        <f t="shared" si="2"/>
        <v>1903.72</v>
      </c>
    </row>
    <row r="24" spans="1:9" hidden="1" outlineLevel="1" x14ac:dyDescent="0.25">
      <c r="A24" s="712" t="s">
        <v>1883</v>
      </c>
      <c r="B24" s="713" t="s">
        <v>1884</v>
      </c>
      <c r="C24" s="714" t="s">
        <v>44</v>
      </c>
      <c r="D24" s="714">
        <f>PRODUCT(D23)</f>
        <v>2</v>
      </c>
      <c r="E24" s="715">
        <v>0</v>
      </c>
      <c r="F24" s="715">
        <v>27.12</v>
      </c>
      <c r="G24" s="715">
        <f t="shared" si="3"/>
        <v>0</v>
      </c>
      <c r="H24" s="715">
        <f t="shared" si="4"/>
        <v>54.24</v>
      </c>
      <c r="I24" s="715">
        <f t="shared" si="2"/>
        <v>54.24</v>
      </c>
    </row>
    <row r="25" spans="1:9" hidden="1" outlineLevel="1" x14ac:dyDescent="0.25">
      <c r="A25" s="712" t="s">
        <v>1885</v>
      </c>
      <c r="B25" s="713" t="s">
        <v>1886</v>
      </c>
      <c r="C25" s="714" t="s">
        <v>44</v>
      </c>
      <c r="D25" s="714">
        <v>1</v>
      </c>
      <c r="E25" s="715">
        <v>0</v>
      </c>
      <c r="F25" s="715">
        <v>518.4</v>
      </c>
      <c r="G25" s="715">
        <f t="shared" si="3"/>
        <v>0</v>
      </c>
      <c r="H25" s="715">
        <f t="shared" si="4"/>
        <v>518.4</v>
      </c>
      <c r="I25" s="715">
        <f t="shared" si="2"/>
        <v>518.4</v>
      </c>
    </row>
    <row r="26" spans="1:9" hidden="1" outlineLevel="1" x14ac:dyDescent="0.25">
      <c r="A26" s="712" t="s">
        <v>1887</v>
      </c>
      <c r="B26" s="713" t="s">
        <v>1888</v>
      </c>
      <c r="C26" s="714" t="s">
        <v>44</v>
      </c>
      <c r="D26" s="714">
        <v>16</v>
      </c>
      <c r="E26" s="715">
        <v>0</v>
      </c>
      <c r="F26" s="715">
        <v>60.23</v>
      </c>
      <c r="G26" s="715">
        <f t="shared" si="3"/>
        <v>0</v>
      </c>
      <c r="H26" s="715">
        <f t="shared" si="4"/>
        <v>963.68</v>
      </c>
      <c r="I26" s="715">
        <f t="shared" si="2"/>
        <v>963.68</v>
      </c>
    </row>
    <row r="27" spans="1:9" collapsed="1" x14ac:dyDescent="0.25">
      <c r="A27" s="716">
        <v>3</v>
      </c>
      <c r="B27" s="709" t="s">
        <v>1889</v>
      </c>
      <c r="C27" s="710" t="s">
        <v>318</v>
      </c>
      <c r="D27" s="710">
        <f>SUM(D28:D29)</f>
        <v>1355.7</v>
      </c>
      <c r="E27" s="711"/>
      <c r="F27" s="711"/>
      <c r="G27" s="711">
        <f>SUM(G28:G49)</f>
        <v>406710</v>
      </c>
      <c r="H27" s="711">
        <f>SUM(H28:H49)</f>
        <v>465878.97100000002</v>
      </c>
      <c r="I27" s="711">
        <f>SUM(I28:I49)</f>
        <v>872588.97100000002</v>
      </c>
    </row>
    <row r="28" spans="1:9" hidden="1" outlineLevel="1" x14ac:dyDescent="0.25">
      <c r="A28" s="712" t="s">
        <v>1353</v>
      </c>
      <c r="B28" s="713" t="s">
        <v>1890</v>
      </c>
      <c r="C28" s="714" t="s">
        <v>43</v>
      </c>
      <c r="D28" s="714">
        <v>14.4</v>
      </c>
      <c r="E28" s="715">
        <v>300</v>
      </c>
      <c r="F28" s="717">
        <v>80.709999999999994</v>
      </c>
      <c r="G28" s="715">
        <f t="shared" ref="G28:G65" si="5">PRODUCT(E28,D28)</f>
        <v>4320</v>
      </c>
      <c r="H28" s="715">
        <f t="shared" ref="H28:H49" si="6">PRODUCT(F28,D28)</f>
        <v>1162.2239999999999</v>
      </c>
      <c r="I28" s="715">
        <f t="shared" si="2"/>
        <v>5482.2240000000002</v>
      </c>
    </row>
    <row r="29" spans="1:9" hidden="1" outlineLevel="1" x14ac:dyDescent="0.25">
      <c r="A29" s="712" t="s">
        <v>1355</v>
      </c>
      <c r="B29" s="713" t="s">
        <v>1891</v>
      </c>
      <c r="C29" s="714" t="s">
        <v>43</v>
      </c>
      <c r="D29" s="714">
        <v>1341.3</v>
      </c>
      <c r="E29" s="715">
        <v>300</v>
      </c>
      <c r="F29" s="717">
        <v>197.29</v>
      </c>
      <c r="G29" s="715">
        <f t="shared" si="5"/>
        <v>402390</v>
      </c>
      <c r="H29" s="715">
        <f t="shared" si="6"/>
        <v>264625.07699999999</v>
      </c>
      <c r="I29" s="715">
        <f t="shared" si="2"/>
        <v>667015.07700000005</v>
      </c>
    </row>
    <row r="30" spans="1:9" hidden="1" outlineLevel="1" x14ac:dyDescent="0.25">
      <c r="A30" s="712" t="s">
        <v>1357</v>
      </c>
      <c r="B30" s="713" t="s">
        <v>1892</v>
      </c>
      <c r="C30" s="714" t="s">
        <v>44</v>
      </c>
      <c r="D30" s="714">
        <v>1103</v>
      </c>
      <c r="E30" s="715">
        <v>0</v>
      </c>
      <c r="F30" s="715">
        <v>59</v>
      </c>
      <c r="G30" s="715">
        <f t="shared" si="5"/>
        <v>0</v>
      </c>
      <c r="H30" s="715">
        <f t="shared" si="6"/>
        <v>65077</v>
      </c>
      <c r="I30" s="715">
        <f t="shared" si="2"/>
        <v>65077</v>
      </c>
    </row>
    <row r="31" spans="1:9" hidden="1" outlineLevel="1" x14ac:dyDescent="0.25">
      <c r="A31" s="712" t="s">
        <v>1359</v>
      </c>
      <c r="B31" s="713" t="s">
        <v>1893</v>
      </c>
      <c r="C31" s="714" t="s">
        <v>44</v>
      </c>
      <c r="D31" s="714">
        <v>1103</v>
      </c>
      <c r="E31" s="715">
        <v>0</v>
      </c>
      <c r="F31" s="715">
        <v>17</v>
      </c>
      <c r="G31" s="715">
        <f t="shared" si="5"/>
        <v>0</v>
      </c>
      <c r="H31" s="715">
        <f t="shared" si="6"/>
        <v>18751</v>
      </c>
      <c r="I31" s="715">
        <f t="shared" si="2"/>
        <v>18751</v>
      </c>
    </row>
    <row r="32" spans="1:9" hidden="1" outlineLevel="1" x14ac:dyDescent="0.25">
      <c r="A32" s="712" t="s">
        <v>1361</v>
      </c>
      <c r="B32" s="713" t="s">
        <v>1892</v>
      </c>
      <c r="C32" s="714" t="s">
        <v>44</v>
      </c>
      <c r="D32" s="714">
        <v>176</v>
      </c>
      <c r="E32" s="715">
        <v>0</v>
      </c>
      <c r="F32" s="715">
        <v>59</v>
      </c>
      <c r="G32" s="715">
        <f t="shared" si="5"/>
        <v>0</v>
      </c>
      <c r="H32" s="715">
        <f t="shared" si="6"/>
        <v>10384</v>
      </c>
      <c r="I32" s="715">
        <f t="shared" si="2"/>
        <v>10384</v>
      </c>
    </row>
    <row r="33" spans="1:9" hidden="1" outlineLevel="1" x14ac:dyDescent="0.25">
      <c r="A33" s="712" t="s">
        <v>1363</v>
      </c>
      <c r="B33" s="713" t="s">
        <v>1894</v>
      </c>
      <c r="C33" s="714" t="s">
        <v>44</v>
      </c>
      <c r="D33" s="714">
        <v>88</v>
      </c>
      <c r="E33" s="715">
        <v>0</v>
      </c>
      <c r="F33" s="715">
        <v>194.52</v>
      </c>
      <c r="G33" s="715">
        <f t="shared" si="5"/>
        <v>0</v>
      </c>
      <c r="H33" s="715">
        <f t="shared" si="6"/>
        <v>17117.760000000002</v>
      </c>
      <c r="I33" s="715">
        <f t="shared" si="2"/>
        <v>17117.760000000002</v>
      </c>
    </row>
    <row r="34" spans="1:9" hidden="1" outlineLevel="1" x14ac:dyDescent="0.25">
      <c r="A34" s="712" t="s">
        <v>1895</v>
      </c>
      <c r="B34" s="713" t="s">
        <v>1896</v>
      </c>
      <c r="C34" s="714" t="s">
        <v>44</v>
      </c>
      <c r="D34" s="714">
        <v>176</v>
      </c>
      <c r="E34" s="715">
        <v>0</v>
      </c>
      <c r="F34" s="715">
        <v>42.12</v>
      </c>
      <c r="G34" s="715">
        <f t="shared" si="5"/>
        <v>0</v>
      </c>
      <c r="H34" s="715">
        <f t="shared" si="6"/>
        <v>7413.12</v>
      </c>
      <c r="I34" s="715">
        <f t="shared" si="2"/>
        <v>7413.12</v>
      </c>
    </row>
    <row r="35" spans="1:9" hidden="1" outlineLevel="1" x14ac:dyDescent="0.25">
      <c r="A35" s="712" t="s">
        <v>1897</v>
      </c>
      <c r="B35" s="713" t="s">
        <v>1898</v>
      </c>
      <c r="C35" s="714" t="s">
        <v>44</v>
      </c>
      <c r="D35" s="714">
        <v>35</v>
      </c>
      <c r="E35" s="715">
        <v>0</v>
      </c>
      <c r="F35" s="717">
        <v>63.05</v>
      </c>
      <c r="G35" s="715">
        <f t="shared" si="5"/>
        <v>0</v>
      </c>
      <c r="H35" s="715">
        <f t="shared" si="6"/>
        <v>2206.75</v>
      </c>
      <c r="I35" s="715">
        <f t="shared" si="2"/>
        <v>2206.75</v>
      </c>
    </row>
    <row r="36" spans="1:9" hidden="1" outlineLevel="1" x14ac:dyDescent="0.25">
      <c r="A36" s="712" t="s">
        <v>1899</v>
      </c>
      <c r="B36" s="713" t="s">
        <v>1900</v>
      </c>
      <c r="C36" s="714" t="s">
        <v>44</v>
      </c>
      <c r="D36" s="714">
        <v>24</v>
      </c>
      <c r="E36" s="715">
        <v>0</v>
      </c>
      <c r="F36" s="717">
        <v>52.88</v>
      </c>
      <c r="G36" s="715">
        <f t="shared" si="5"/>
        <v>0</v>
      </c>
      <c r="H36" s="715">
        <f t="shared" si="6"/>
        <v>1269.1200000000001</v>
      </c>
      <c r="I36" s="715">
        <f t="shared" si="2"/>
        <v>1269.1200000000001</v>
      </c>
    </row>
    <row r="37" spans="1:9" hidden="1" outlineLevel="1" x14ac:dyDescent="0.25">
      <c r="A37" s="712" t="s">
        <v>1901</v>
      </c>
      <c r="B37" s="713" t="s">
        <v>1902</v>
      </c>
      <c r="C37" s="714" t="s">
        <v>44</v>
      </c>
      <c r="D37" s="714">
        <v>5</v>
      </c>
      <c r="E37" s="715">
        <v>0</v>
      </c>
      <c r="F37" s="715">
        <v>16</v>
      </c>
      <c r="G37" s="715">
        <f t="shared" si="5"/>
        <v>0</v>
      </c>
      <c r="H37" s="715">
        <f t="shared" si="6"/>
        <v>80</v>
      </c>
      <c r="I37" s="715">
        <f t="shared" si="2"/>
        <v>80</v>
      </c>
    </row>
    <row r="38" spans="1:9" hidden="1" outlineLevel="1" x14ac:dyDescent="0.25">
      <c r="A38" s="712" t="s">
        <v>1903</v>
      </c>
      <c r="B38" s="713" t="s">
        <v>1904</v>
      </c>
      <c r="C38" s="714" t="s">
        <v>44</v>
      </c>
      <c r="D38" s="714">
        <v>14</v>
      </c>
      <c r="E38" s="715">
        <v>0</v>
      </c>
      <c r="F38" s="717">
        <v>91.52</v>
      </c>
      <c r="G38" s="715">
        <f t="shared" si="5"/>
        <v>0</v>
      </c>
      <c r="H38" s="715">
        <f t="shared" si="6"/>
        <v>1281.28</v>
      </c>
      <c r="I38" s="715">
        <f t="shared" si="2"/>
        <v>1281.28</v>
      </c>
    </row>
    <row r="39" spans="1:9" hidden="1" outlineLevel="1" x14ac:dyDescent="0.25">
      <c r="A39" s="712" t="s">
        <v>1905</v>
      </c>
      <c r="B39" s="713" t="s">
        <v>1906</v>
      </c>
      <c r="C39" s="714" t="s">
        <v>44</v>
      </c>
      <c r="D39" s="714">
        <v>3</v>
      </c>
      <c r="E39" s="715">
        <v>0</v>
      </c>
      <c r="F39" s="717">
        <v>66.099999999999994</v>
      </c>
      <c r="G39" s="715">
        <f t="shared" si="5"/>
        <v>0</v>
      </c>
      <c r="H39" s="715">
        <f t="shared" si="6"/>
        <v>198.29999999999998</v>
      </c>
      <c r="I39" s="715">
        <f t="shared" si="2"/>
        <v>198.29999999999998</v>
      </c>
    </row>
    <row r="40" spans="1:9" hidden="1" outlineLevel="1" x14ac:dyDescent="0.25">
      <c r="A40" s="712" t="s">
        <v>1907</v>
      </c>
      <c r="B40" s="713" t="s">
        <v>1908</v>
      </c>
      <c r="C40" s="714" t="s">
        <v>44</v>
      </c>
      <c r="D40" s="714">
        <v>36</v>
      </c>
      <c r="E40" s="715">
        <v>0</v>
      </c>
      <c r="F40" s="717">
        <v>101.7</v>
      </c>
      <c r="G40" s="715">
        <f t="shared" si="5"/>
        <v>0</v>
      </c>
      <c r="H40" s="715">
        <f t="shared" si="6"/>
        <v>3661.2000000000003</v>
      </c>
      <c r="I40" s="715">
        <f t="shared" si="2"/>
        <v>3661.2000000000003</v>
      </c>
    </row>
    <row r="41" spans="1:9" hidden="1" outlineLevel="1" x14ac:dyDescent="0.25">
      <c r="A41" s="712" t="s">
        <v>1909</v>
      </c>
      <c r="B41" s="713" t="s">
        <v>1910</v>
      </c>
      <c r="C41" s="714" t="s">
        <v>44</v>
      </c>
      <c r="D41" s="714">
        <v>18</v>
      </c>
      <c r="E41" s="715">
        <v>0</v>
      </c>
      <c r="F41" s="717">
        <v>12.2</v>
      </c>
      <c r="G41" s="715">
        <f t="shared" si="5"/>
        <v>0</v>
      </c>
      <c r="H41" s="715">
        <f t="shared" si="6"/>
        <v>219.6</v>
      </c>
      <c r="I41" s="715">
        <f t="shared" si="2"/>
        <v>219.6</v>
      </c>
    </row>
    <row r="42" spans="1:9" hidden="1" outlineLevel="1" x14ac:dyDescent="0.25">
      <c r="A42" s="712" t="s">
        <v>1911</v>
      </c>
      <c r="B42" s="713" t="s">
        <v>1912</v>
      </c>
      <c r="C42" s="714" t="s">
        <v>44</v>
      </c>
      <c r="D42" s="714">
        <v>1</v>
      </c>
      <c r="E42" s="715">
        <v>0</v>
      </c>
      <c r="F42" s="715">
        <v>110.84</v>
      </c>
      <c r="G42" s="715">
        <f t="shared" si="5"/>
        <v>0</v>
      </c>
      <c r="H42" s="715">
        <f t="shared" si="6"/>
        <v>110.84</v>
      </c>
      <c r="I42" s="715">
        <f t="shared" si="2"/>
        <v>110.84</v>
      </c>
    </row>
    <row r="43" spans="1:9" hidden="1" outlineLevel="1" x14ac:dyDescent="0.25">
      <c r="A43" s="712" t="s">
        <v>1913</v>
      </c>
      <c r="B43" s="713" t="s">
        <v>1914</v>
      </c>
      <c r="C43" s="714" t="s">
        <v>44</v>
      </c>
      <c r="D43" s="714">
        <v>285</v>
      </c>
      <c r="E43" s="715">
        <v>0</v>
      </c>
      <c r="F43" s="717">
        <v>91.52</v>
      </c>
      <c r="G43" s="715">
        <f t="shared" si="5"/>
        <v>0</v>
      </c>
      <c r="H43" s="715">
        <f t="shared" si="6"/>
        <v>26083.199999999997</v>
      </c>
      <c r="I43" s="715">
        <f t="shared" si="2"/>
        <v>26083.199999999997</v>
      </c>
    </row>
    <row r="44" spans="1:9" hidden="1" outlineLevel="1" x14ac:dyDescent="0.25">
      <c r="A44" s="712" t="s">
        <v>1915</v>
      </c>
      <c r="B44" s="713" t="s">
        <v>1906</v>
      </c>
      <c r="C44" s="714" t="s">
        <v>44</v>
      </c>
      <c r="D44" s="714">
        <v>308</v>
      </c>
      <c r="E44" s="715">
        <v>0</v>
      </c>
      <c r="F44" s="717">
        <v>66.099999999999994</v>
      </c>
      <c r="G44" s="715">
        <f t="shared" si="5"/>
        <v>0</v>
      </c>
      <c r="H44" s="715">
        <f t="shared" si="6"/>
        <v>20358.8</v>
      </c>
      <c r="I44" s="715">
        <f t="shared" si="2"/>
        <v>20358.8</v>
      </c>
    </row>
    <row r="45" spans="1:9" hidden="1" outlineLevel="1" x14ac:dyDescent="0.25">
      <c r="A45" s="712" t="s">
        <v>1916</v>
      </c>
      <c r="B45" s="713" t="s">
        <v>1910</v>
      </c>
      <c r="C45" s="714" t="s">
        <v>44</v>
      </c>
      <c r="D45" s="714">
        <v>285</v>
      </c>
      <c r="E45" s="715">
        <v>0</v>
      </c>
      <c r="F45" s="717">
        <v>12.2</v>
      </c>
      <c r="G45" s="715">
        <f t="shared" si="5"/>
        <v>0</v>
      </c>
      <c r="H45" s="715">
        <f t="shared" si="6"/>
        <v>3477</v>
      </c>
      <c r="I45" s="715">
        <f t="shared" si="2"/>
        <v>3477</v>
      </c>
    </row>
    <row r="46" spans="1:9" hidden="1" outlineLevel="1" x14ac:dyDescent="0.25">
      <c r="A46" s="712" t="s">
        <v>1917</v>
      </c>
      <c r="B46" s="713" t="s">
        <v>1918</v>
      </c>
      <c r="C46" s="714" t="s">
        <v>44</v>
      </c>
      <c r="D46" s="714">
        <v>308</v>
      </c>
      <c r="E46" s="715">
        <v>0</v>
      </c>
      <c r="F46" s="715">
        <v>6</v>
      </c>
      <c r="G46" s="715">
        <f t="shared" si="5"/>
        <v>0</v>
      </c>
      <c r="H46" s="715">
        <f t="shared" si="6"/>
        <v>1848</v>
      </c>
      <c r="I46" s="715">
        <f t="shared" si="2"/>
        <v>1848</v>
      </c>
    </row>
    <row r="47" spans="1:9" hidden="1" outlineLevel="1" x14ac:dyDescent="0.25">
      <c r="A47" s="712" t="s">
        <v>1919</v>
      </c>
      <c r="B47" s="713" t="s">
        <v>1912</v>
      </c>
      <c r="C47" s="714" t="s">
        <v>44</v>
      </c>
      <c r="D47" s="714">
        <v>98</v>
      </c>
      <c r="E47" s="715">
        <v>0</v>
      </c>
      <c r="F47" s="715">
        <v>110.84</v>
      </c>
      <c r="G47" s="715">
        <f t="shared" si="5"/>
        <v>0</v>
      </c>
      <c r="H47" s="715">
        <f t="shared" si="6"/>
        <v>10862.32</v>
      </c>
      <c r="I47" s="715">
        <f t="shared" si="2"/>
        <v>10862.32</v>
      </c>
    </row>
    <row r="48" spans="1:9" hidden="1" outlineLevel="1" x14ac:dyDescent="0.25">
      <c r="A48" s="712" t="s">
        <v>1920</v>
      </c>
      <c r="B48" s="713" t="s">
        <v>1921</v>
      </c>
      <c r="C48" s="714" t="s">
        <v>44</v>
      </c>
      <c r="D48" s="714">
        <v>1</v>
      </c>
      <c r="E48" s="715">
        <v>0</v>
      </c>
      <c r="F48" s="715">
        <v>152.38</v>
      </c>
      <c r="G48" s="715">
        <f t="shared" si="5"/>
        <v>0</v>
      </c>
      <c r="H48" s="715">
        <f t="shared" si="6"/>
        <v>152.38</v>
      </c>
      <c r="I48" s="715">
        <f t="shared" si="2"/>
        <v>152.38</v>
      </c>
    </row>
    <row r="49" spans="1:9" hidden="1" outlineLevel="1" x14ac:dyDescent="0.25">
      <c r="A49" s="712" t="s">
        <v>1922</v>
      </c>
      <c r="B49" s="713" t="s">
        <v>1923</v>
      </c>
      <c r="C49" s="714" t="s">
        <v>44</v>
      </c>
      <c r="D49" s="714">
        <v>30</v>
      </c>
      <c r="E49" s="715">
        <v>0</v>
      </c>
      <c r="F49" s="715">
        <v>318</v>
      </c>
      <c r="G49" s="715">
        <f t="shared" si="5"/>
        <v>0</v>
      </c>
      <c r="H49" s="715">
        <f t="shared" si="6"/>
        <v>9540</v>
      </c>
      <c r="I49" s="715">
        <f t="shared" si="2"/>
        <v>9540</v>
      </c>
    </row>
    <row r="50" spans="1:9" s="718" customFormat="1" collapsed="1" x14ac:dyDescent="0.25">
      <c r="A50" s="716">
        <v>4</v>
      </c>
      <c r="B50" s="500" t="s">
        <v>1924</v>
      </c>
      <c r="C50" s="710" t="s">
        <v>44</v>
      </c>
      <c r="D50" s="710">
        <v>60</v>
      </c>
      <c r="E50" s="711">
        <v>100</v>
      </c>
      <c r="F50" s="711"/>
      <c r="G50" s="711">
        <f t="shared" si="5"/>
        <v>6000</v>
      </c>
      <c r="H50" s="711">
        <f>SUM(H51:H54)</f>
        <v>5343.6244067796597</v>
      </c>
      <c r="I50" s="711">
        <f t="shared" si="2"/>
        <v>11343.62440677966</v>
      </c>
    </row>
    <row r="51" spans="1:9" hidden="1" outlineLevel="1" x14ac:dyDescent="0.25">
      <c r="A51" s="712" t="s">
        <v>1366</v>
      </c>
      <c r="B51" s="492" t="s">
        <v>1335</v>
      </c>
      <c r="C51" s="493" t="s">
        <v>96</v>
      </c>
      <c r="D51" s="502">
        <v>60</v>
      </c>
      <c r="E51" s="480">
        <v>0</v>
      </c>
      <c r="F51" s="502">
        <v>51.864406779661017</v>
      </c>
      <c r="G51" s="480">
        <f>D51*E51</f>
        <v>0</v>
      </c>
      <c r="H51" s="503">
        <f>D51*F51</f>
        <v>3111.8644067796608</v>
      </c>
      <c r="I51" s="480">
        <f>SUM(G51:H51)</f>
        <v>3111.8644067796608</v>
      </c>
    </row>
    <row r="52" spans="1:9" hidden="1" outlineLevel="1" x14ac:dyDescent="0.25">
      <c r="A52" s="712" t="s">
        <v>1925</v>
      </c>
      <c r="B52" s="504" t="s">
        <v>681</v>
      </c>
      <c r="C52" s="493" t="s">
        <v>1110</v>
      </c>
      <c r="D52" s="505">
        <v>3.4799999999999998E-2</v>
      </c>
      <c r="E52" s="480">
        <v>0</v>
      </c>
      <c r="F52" s="480">
        <v>40200</v>
      </c>
      <c r="G52" s="480">
        <f>D52*E52</f>
        <v>0</v>
      </c>
      <c r="H52" s="503">
        <f>D52*F52</f>
        <v>1398.9599999999998</v>
      </c>
      <c r="I52" s="480">
        <f>SUM(G52:H52)</f>
        <v>1398.9599999999998</v>
      </c>
    </row>
    <row r="53" spans="1:9" hidden="1" outlineLevel="1" x14ac:dyDescent="0.25">
      <c r="A53" s="712" t="s">
        <v>1926</v>
      </c>
      <c r="B53" s="504" t="s">
        <v>1338</v>
      </c>
      <c r="C53" s="493" t="s">
        <v>96</v>
      </c>
      <c r="D53" s="505">
        <v>120</v>
      </c>
      <c r="E53" s="480">
        <v>0</v>
      </c>
      <c r="F53" s="480">
        <v>5.62</v>
      </c>
      <c r="G53" s="480">
        <v>0</v>
      </c>
      <c r="H53" s="503">
        <f>D53*F53</f>
        <v>674.4</v>
      </c>
      <c r="I53" s="480">
        <f>SUM(G53:H53)</f>
        <v>674.4</v>
      </c>
    </row>
    <row r="54" spans="1:9" hidden="1" outlineLevel="1" x14ac:dyDescent="0.25">
      <c r="A54" s="712" t="s">
        <v>1927</v>
      </c>
      <c r="B54" s="506" t="s">
        <v>1340</v>
      </c>
      <c r="C54" s="507" t="s">
        <v>96</v>
      </c>
      <c r="D54" s="507">
        <v>120</v>
      </c>
      <c r="E54" s="508">
        <v>0</v>
      </c>
      <c r="F54" s="508">
        <v>1.32</v>
      </c>
      <c r="G54" s="480">
        <v>0</v>
      </c>
      <c r="H54" s="503">
        <f>D54*F54</f>
        <v>158.4</v>
      </c>
      <c r="I54" s="480">
        <f>SUM(G54:H54)</f>
        <v>158.4</v>
      </c>
    </row>
    <row r="55" spans="1:9" collapsed="1" x14ac:dyDescent="0.25">
      <c r="A55" s="487" t="s">
        <v>249</v>
      </c>
      <c r="B55" s="500" t="s">
        <v>1928</v>
      </c>
      <c r="C55" s="509" t="s">
        <v>96</v>
      </c>
      <c r="D55" s="501">
        <v>80</v>
      </c>
      <c r="E55" s="489">
        <v>400</v>
      </c>
      <c r="F55" s="489"/>
      <c r="G55" s="489">
        <f t="shared" ref="G55:G61" si="7">D55*E55</f>
        <v>32000</v>
      </c>
      <c r="H55" s="490">
        <f>SUM(H56:H60)</f>
        <v>38160.675000000003</v>
      </c>
      <c r="I55" s="489">
        <f t="shared" ref="I55:I61" si="8">SUM(G55:H55)</f>
        <v>70160.675000000003</v>
      </c>
    </row>
    <row r="56" spans="1:9" hidden="1" outlineLevel="1" x14ac:dyDescent="0.25">
      <c r="A56" s="491" t="s">
        <v>1369</v>
      </c>
      <c r="B56" s="492" t="s">
        <v>1929</v>
      </c>
      <c r="C56" s="493" t="s">
        <v>281</v>
      </c>
      <c r="D56" s="502">
        <v>19</v>
      </c>
      <c r="E56" s="480">
        <v>0</v>
      </c>
      <c r="F56" s="480">
        <v>572.5</v>
      </c>
      <c r="G56" s="480">
        <f t="shared" si="7"/>
        <v>0</v>
      </c>
      <c r="H56" s="503">
        <f t="shared" ref="H56:H60" si="9">D56*F56</f>
        <v>10877.5</v>
      </c>
      <c r="I56" s="480">
        <f t="shared" si="8"/>
        <v>10877.5</v>
      </c>
    </row>
    <row r="57" spans="1:9" hidden="1" outlineLevel="1" x14ac:dyDescent="0.25">
      <c r="A57" s="491" t="s">
        <v>1930</v>
      </c>
      <c r="B57" s="492" t="s">
        <v>1931</v>
      </c>
      <c r="C57" s="493" t="s">
        <v>281</v>
      </c>
      <c r="D57" s="502">
        <v>1.25</v>
      </c>
      <c r="E57" s="480">
        <v>0</v>
      </c>
      <c r="F57" s="480">
        <v>958.7</v>
      </c>
      <c r="G57" s="480">
        <f t="shared" si="7"/>
        <v>0</v>
      </c>
      <c r="H57" s="503">
        <f t="shared" si="9"/>
        <v>1198.375</v>
      </c>
      <c r="I57" s="480">
        <f t="shared" si="8"/>
        <v>1198.375</v>
      </c>
    </row>
    <row r="58" spans="1:9" hidden="1" outlineLevel="1" x14ac:dyDescent="0.25">
      <c r="A58" s="491" t="s">
        <v>1932</v>
      </c>
      <c r="B58" s="492" t="s">
        <v>1347</v>
      </c>
      <c r="C58" s="493" t="s">
        <v>1110</v>
      </c>
      <c r="D58" s="502">
        <v>0.32</v>
      </c>
      <c r="E58" s="480">
        <v>0</v>
      </c>
      <c r="F58" s="480">
        <v>46000</v>
      </c>
      <c r="G58" s="480">
        <f t="shared" si="7"/>
        <v>0</v>
      </c>
      <c r="H58" s="503">
        <f t="shared" si="9"/>
        <v>14720</v>
      </c>
      <c r="I58" s="480">
        <f t="shared" si="8"/>
        <v>14720</v>
      </c>
    </row>
    <row r="59" spans="1:9" hidden="1" outlineLevel="1" x14ac:dyDescent="0.25">
      <c r="A59" s="491" t="s">
        <v>1933</v>
      </c>
      <c r="B59" s="492" t="s">
        <v>1349</v>
      </c>
      <c r="C59" s="493" t="s">
        <v>1110</v>
      </c>
      <c r="D59" s="502">
        <v>0.14000000000000001</v>
      </c>
      <c r="E59" s="480">
        <v>0</v>
      </c>
      <c r="F59" s="480">
        <v>46000</v>
      </c>
      <c r="G59" s="480">
        <f t="shared" si="7"/>
        <v>0</v>
      </c>
      <c r="H59" s="503">
        <f t="shared" si="9"/>
        <v>6440.0000000000009</v>
      </c>
      <c r="I59" s="480">
        <f t="shared" si="8"/>
        <v>6440.0000000000009</v>
      </c>
    </row>
    <row r="60" spans="1:9" hidden="1" outlineLevel="1" x14ac:dyDescent="0.25">
      <c r="A60" s="491" t="s">
        <v>1934</v>
      </c>
      <c r="B60" s="492" t="s">
        <v>1351</v>
      </c>
      <c r="C60" s="493" t="s">
        <v>96</v>
      </c>
      <c r="D60" s="502">
        <v>320</v>
      </c>
      <c r="E60" s="480">
        <v>0</v>
      </c>
      <c r="F60" s="480">
        <v>15.39</v>
      </c>
      <c r="G60" s="480">
        <f t="shared" si="7"/>
        <v>0</v>
      </c>
      <c r="H60" s="503">
        <f t="shared" si="9"/>
        <v>4924.8</v>
      </c>
      <c r="I60" s="480">
        <f t="shared" si="8"/>
        <v>4924.8</v>
      </c>
    </row>
    <row r="61" spans="1:9" s="718" customFormat="1" collapsed="1" x14ac:dyDescent="0.25">
      <c r="A61" s="716">
        <v>6</v>
      </c>
      <c r="B61" s="709" t="s">
        <v>1935</v>
      </c>
      <c r="C61" s="710" t="s">
        <v>96</v>
      </c>
      <c r="D61" s="710">
        <v>1</v>
      </c>
      <c r="E61" s="711">
        <v>400</v>
      </c>
      <c r="F61" s="711"/>
      <c r="G61" s="711">
        <f t="shared" si="7"/>
        <v>400</v>
      </c>
      <c r="H61" s="711">
        <f>SUM(H62:H63)</f>
        <v>408.32000000000005</v>
      </c>
      <c r="I61" s="711">
        <f t="shared" si="8"/>
        <v>808.32</v>
      </c>
    </row>
    <row r="62" spans="1:9" s="718" customFormat="1" hidden="1" outlineLevel="1" x14ac:dyDescent="0.25">
      <c r="A62" s="712" t="s">
        <v>1372</v>
      </c>
      <c r="B62" s="719" t="s">
        <v>1327</v>
      </c>
      <c r="C62" s="493" t="s">
        <v>1110</v>
      </c>
      <c r="D62" s="469">
        <v>3.2000000000000002E-3</v>
      </c>
      <c r="E62" s="471">
        <v>0</v>
      </c>
      <c r="F62" s="720">
        <v>46000</v>
      </c>
      <c r="G62" s="471">
        <f>PRODUCT(E61,D61)</f>
        <v>400</v>
      </c>
      <c r="H62" s="503">
        <f t="shared" ref="H62:H63" si="10">D62*F62</f>
        <v>147.20000000000002</v>
      </c>
      <c r="I62" s="480">
        <f t="shared" ref="I62:I65" si="11">SUM(G62:H62)</f>
        <v>547.20000000000005</v>
      </c>
    </row>
    <row r="63" spans="1:9" s="718" customFormat="1" hidden="1" outlineLevel="1" x14ac:dyDescent="0.25">
      <c r="A63" s="712" t="s">
        <v>1374</v>
      </c>
      <c r="B63" s="719" t="s">
        <v>1936</v>
      </c>
      <c r="C63" s="493" t="s">
        <v>1110</v>
      </c>
      <c r="D63" s="469">
        <v>5.4400000000000004E-3</v>
      </c>
      <c r="E63" s="471">
        <v>0</v>
      </c>
      <c r="F63" s="720">
        <v>48000</v>
      </c>
      <c r="G63" s="471">
        <f>PRODUCT(E62,D62)</f>
        <v>0</v>
      </c>
      <c r="H63" s="503">
        <f t="shared" si="10"/>
        <v>261.12</v>
      </c>
      <c r="I63" s="480">
        <f t="shared" si="11"/>
        <v>261.12</v>
      </c>
    </row>
    <row r="64" spans="1:9" collapsed="1" x14ac:dyDescent="0.25">
      <c r="A64" s="716">
        <v>7</v>
      </c>
      <c r="B64" s="709" t="s">
        <v>1937</v>
      </c>
      <c r="C64" s="710" t="s">
        <v>44</v>
      </c>
      <c r="D64" s="710">
        <v>1</v>
      </c>
      <c r="E64" s="711">
        <v>200</v>
      </c>
      <c r="F64" s="711"/>
      <c r="G64" s="711">
        <f t="shared" si="5"/>
        <v>200</v>
      </c>
      <c r="H64" s="711">
        <f>SUM(H65)</f>
        <v>1503</v>
      </c>
      <c r="I64" s="711">
        <f t="shared" si="11"/>
        <v>1703</v>
      </c>
    </row>
    <row r="65" spans="1:9" hidden="1" outlineLevel="1" x14ac:dyDescent="0.25">
      <c r="A65" s="712" t="s">
        <v>1129</v>
      </c>
      <c r="B65" s="713" t="s">
        <v>1938</v>
      </c>
      <c r="C65" s="714" t="s">
        <v>44</v>
      </c>
      <c r="D65" s="714">
        <v>1</v>
      </c>
      <c r="E65" s="715">
        <v>0</v>
      </c>
      <c r="F65" s="721">
        <v>1503</v>
      </c>
      <c r="G65" s="715">
        <f t="shared" si="5"/>
        <v>0</v>
      </c>
      <c r="H65" s="715">
        <f>PRODUCT(F65,D65)</f>
        <v>1503</v>
      </c>
      <c r="I65" s="715">
        <f t="shared" si="11"/>
        <v>1503</v>
      </c>
    </row>
    <row r="66" spans="1:9" collapsed="1" x14ac:dyDescent="0.25">
      <c r="A66" s="716">
        <v>8</v>
      </c>
      <c r="B66" s="709" t="s">
        <v>1939</v>
      </c>
      <c r="C66" s="710" t="s">
        <v>44</v>
      </c>
      <c r="D66" s="710">
        <f>SUM(D67:D68)</f>
        <v>360</v>
      </c>
      <c r="E66" s="711">
        <v>100</v>
      </c>
      <c r="F66" s="711"/>
      <c r="G66" s="711">
        <f>PRODUCT(D66:E66)</f>
        <v>36000</v>
      </c>
      <c r="H66" s="711">
        <f>SUM(H67:H68)</f>
        <v>91047</v>
      </c>
      <c r="I66" s="711">
        <f>SUM(G66:H66)</f>
        <v>127047</v>
      </c>
    </row>
    <row r="67" spans="1:9" hidden="1" outlineLevel="1" x14ac:dyDescent="0.25">
      <c r="A67" s="712" t="s">
        <v>1137</v>
      </c>
      <c r="B67" s="504" t="s">
        <v>1940</v>
      </c>
      <c r="C67" s="714" t="s">
        <v>44</v>
      </c>
      <c r="D67" s="714">
        <v>359</v>
      </c>
      <c r="E67" s="715">
        <v>0</v>
      </c>
      <c r="F67" s="715">
        <v>253</v>
      </c>
      <c r="G67" s="715">
        <f>PRODUCT(E67,D67)</f>
        <v>0</v>
      </c>
      <c r="H67" s="715">
        <f>PRODUCT(F67,D67)</f>
        <v>90827</v>
      </c>
      <c r="I67" s="715">
        <f t="shared" ref="I67:I70" si="12">SUM(G67:H67)</f>
        <v>90827</v>
      </c>
    </row>
    <row r="68" spans="1:9" hidden="1" outlineLevel="1" x14ac:dyDescent="0.25">
      <c r="A68" s="712" t="s">
        <v>1138</v>
      </c>
      <c r="B68" s="504" t="s">
        <v>1941</v>
      </c>
      <c r="C68" s="714" t="s">
        <v>44</v>
      </c>
      <c r="D68" s="714">
        <v>1</v>
      </c>
      <c r="E68" s="715">
        <v>0</v>
      </c>
      <c r="F68" s="715">
        <v>220</v>
      </c>
      <c r="G68" s="715">
        <f>PRODUCT(E68,D68)</f>
        <v>0</v>
      </c>
      <c r="H68" s="715">
        <f>PRODUCT(F68,D68)</f>
        <v>220</v>
      </c>
      <c r="I68" s="715">
        <f t="shared" si="12"/>
        <v>220</v>
      </c>
    </row>
    <row r="69" spans="1:9" collapsed="1" x14ac:dyDescent="0.25">
      <c r="A69" s="716">
        <v>9</v>
      </c>
      <c r="B69" s="709" t="s">
        <v>1942</v>
      </c>
      <c r="C69" s="710" t="s">
        <v>44</v>
      </c>
      <c r="D69" s="710">
        <v>4</v>
      </c>
      <c r="E69" s="711">
        <v>500</v>
      </c>
      <c r="F69" s="711"/>
      <c r="G69" s="711">
        <f>PRODUCT(E69,D69)</f>
        <v>2000</v>
      </c>
      <c r="H69" s="711">
        <f>SUM(H70:H70)</f>
        <v>869.76</v>
      </c>
      <c r="I69" s="711">
        <f>SUM(G69:H69)</f>
        <v>2869.76</v>
      </c>
    </row>
    <row r="70" spans="1:9" hidden="1" outlineLevel="1" x14ac:dyDescent="0.25">
      <c r="A70" s="712" t="s">
        <v>1535</v>
      </c>
      <c r="B70" s="713" t="s">
        <v>1943</v>
      </c>
      <c r="C70" s="714" t="s">
        <v>44</v>
      </c>
      <c r="D70" s="714">
        <v>4</v>
      </c>
      <c r="E70" s="715">
        <v>0</v>
      </c>
      <c r="F70" s="715">
        <v>217.44</v>
      </c>
      <c r="G70" s="715">
        <f>PRODUCT(E70,D70)</f>
        <v>0</v>
      </c>
      <c r="H70" s="715">
        <f>PRODUCT(F70,D70)</f>
        <v>869.76</v>
      </c>
      <c r="I70" s="715">
        <f t="shared" si="12"/>
        <v>869.76</v>
      </c>
    </row>
    <row r="71" spans="1:9" collapsed="1" x14ac:dyDescent="0.25">
      <c r="A71" s="716">
        <v>10</v>
      </c>
      <c r="B71" s="709" t="s">
        <v>1944</v>
      </c>
      <c r="C71" s="710" t="s">
        <v>43</v>
      </c>
      <c r="D71" s="710" t="s">
        <v>1945</v>
      </c>
      <c r="E71" s="711"/>
      <c r="F71" s="711"/>
      <c r="G71" s="711">
        <f>SUM(G72:G79)</f>
        <v>50435</v>
      </c>
      <c r="H71" s="711">
        <f>SUM(H72:H79)</f>
        <v>102130.33499999999</v>
      </c>
      <c r="I71" s="711">
        <f t="shared" ref="I71:I81" si="13">SUM(G71:H71)</f>
        <v>152565.33499999999</v>
      </c>
    </row>
    <row r="72" spans="1:9" hidden="1" outlineLevel="1" x14ac:dyDescent="0.25">
      <c r="A72" s="712" t="s">
        <v>1542</v>
      </c>
      <c r="B72" s="713" t="s">
        <v>1946</v>
      </c>
      <c r="C72" s="714" t="s">
        <v>43</v>
      </c>
      <c r="D72" s="714">
        <v>144.1</v>
      </c>
      <c r="E72" s="715">
        <v>350</v>
      </c>
      <c r="F72" s="717">
        <v>524.75</v>
      </c>
      <c r="G72" s="715">
        <f>PRODUCT(E72,D72)</f>
        <v>50435</v>
      </c>
      <c r="H72" s="715">
        <f t="shared" ref="H72:H79" si="14">PRODUCT(F72,D72)</f>
        <v>75616.474999999991</v>
      </c>
      <c r="I72" s="715">
        <f t="shared" si="13"/>
        <v>126051.47499999999</v>
      </c>
    </row>
    <row r="73" spans="1:9" hidden="1" outlineLevel="1" x14ac:dyDescent="0.25">
      <c r="A73" s="712" t="s">
        <v>1544</v>
      </c>
      <c r="B73" s="713" t="s">
        <v>1947</v>
      </c>
      <c r="C73" s="714" t="s">
        <v>44</v>
      </c>
      <c r="D73" s="714">
        <v>11</v>
      </c>
      <c r="E73" s="715">
        <v>0</v>
      </c>
      <c r="F73" s="722">
        <v>591.86</v>
      </c>
      <c r="G73" s="715">
        <f t="shared" ref="G73:G79" si="15">PRODUCT(E73,D73)</f>
        <v>0</v>
      </c>
      <c r="H73" s="715">
        <f t="shared" si="14"/>
        <v>6510.46</v>
      </c>
      <c r="I73" s="715">
        <f t="shared" si="13"/>
        <v>6510.46</v>
      </c>
    </row>
    <row r="74" spans="1:9" hidden="1" outlineLevel="1" x14ac:dyDescent="0.25">
      <c r="A74" s="712" t="s">
        <v>1948</v>
      </c>
      <c r="B74" s="713" t="s">
        <v>1949</v>
      </c>
      <c r="C74" s="714" t="s">
        <v>44</v>
      </c>
      <c r="D74" s="714">
        <v>9</v>
      </c>
      <c r="E74" s="715">
        <v>0</v>
      </c>
      <c r="F74" s="722">
        <v>850.16</v>
      </c>
      <c r="G74" s="715">
        <f t="shared" si="15"/>
        <v>0</v>
      </c>
      <c r="H74" s="715">
        <f t="shared" si="14"/>
        <v>7651.44</v>
      </c>
      <c r="I74" s="715">
        <f t="shared" si="13"/>
        <v>7651.44</v>
      </c>
    </row>
    <row r="75" spans="1:9" hidden="1" outlineLevel="1" x14ac:dyDescent="0.25">
      <c r="A75" s="712" t="s">
        <v>1950</v>
      </c>
      <c r="B75" s="713" t="s">
        <v>1951</v>
      </c>
      <c r="C75" s="714" t="s">
        <v>44</v>
      </c>
      <c r="D75" s="714">
        <v>9</v>
      </c>
      <c r="E75" s="715">
        <v>0</v>
      </c>
      <c r="F75" s="722">
        <v>563</v>
      </c>
      <c r="G75" s="715">
        <f t="shared" si="15"/>
        <v>0</v>
      </c>
      <c r="H75" s="715">
        <f t="shared" si="14"/>
        <v>5067</v>
      </c>
      <c r="I75" s="715">
        <f t="shared" si="13"/>
        <v>5067</v>
      </c>
    </row>
    <row r="76" spans="1:9" hidden="1" outlineLevel="1" x14ac:dyDescent="0.25">
      <c r="A76" s="712" t="s">
        <v>1952</v>
      </c>
      <c r="B76" s="713" t="s">
        <v>1953</v>
      </c>
      <c r="C76" s="714" t="s">
        <v>44</v>
      </c>
      <c r="D76" s="714">
        <f>PRODUCT(D74)</f>
        <v>9</v>
      </c>
      <c r="E76" s="715">
        <v>0</v>
      </c>
      <c r="F76" s="715">
        <v>18</v>
      </c>
      <c r="G76" s="715">
        <f t="shared" si="15"/>
        <v>0</v>
      </c>
      <c r="H76" s="715">
        <f t="shared" si="14"/>
        <v>162</v>
      </c>
      <c r="I76" s="715">
        <f t="shared" si="13"/>
        <v>162</v>
      </c>
    </row>
    <row r="77" spans="1:9" hidden="1" outlineLevel="1" x14ac:dyDescent="0.25">
      <c r="A77" s="712" t="s">
        <v>1954</v>
      </c>
      <c r="B77" s="713" t="s">
        <v>1955</v>
      </c>
      <c r="C77" s="714" t="s">
        <v>44</v>
      </c>
      <c r="D77" s="714">
        <v>1</v>
      </c>
      <c r="E77" s="715">
        <v>0</v>
      </c>
      <c r="F77" s="715">
        <v>518.4</v>
      </c>
      <c r="G77" s="715">
        <f t="shared" si="15"/>
        <v>0</v>
      </c>
      <c r="H77" s="715">
        <f t="shared" si="14"/>
        <v>518.4</v>
      </c>
      <c r="I77" s="715">
        <f t="shared" si="13"/>
        <v>518.4</v>
      </c>
    </row>
    <row r="78" spans="1:9" hidden="1" outlineLevel="1" x14ac:dyDescent="0.25">
      <c r="A78" s="712" t="s">
        <v>1956</v>
      </c>
      <c r="B78" s="713" t="s">
        <v>1888</v>
      </c>
      <c r="C78" s="714" t="s">
        <v>44</v>
      </c>
      <c r="D78" s="714">
        <f>PRODUCT(D74,8)</f>
        <v>72</v>
      </c>
      <c r="E78" s="715">
        <v>0</v>
      </c>
      <c r="F78" s="715">
        <v>60.23</v>
      </c>
      <c r="G78" s="715">
        <f t="shared" si="15"/>
        <v>0</v>
      </c>
      <c r="H78" s="715">
        <f t="shared" si="14"/>
        <v>4336.5599999999995</v>
      </c>
      <c r="I78" s="715">
        <f t="shared" si="13"/>
        <v>4336.5599999999995</v>
      </c>
    </row>
    <row r="79" spans="1:9" hidden="1" outlineLevel="1" x14ac:dyDescent="0.25">
      <c r="A79" s="712" t="s">
        <v>1957</v>
      </c>
      <c r="B79" s="713" t="s">
        <v>1319</v>
      </c>
      <c r="C79" s="714" t="s">
        <v>79</v>
      </c>
      <c r="D79" s="714">
        <v>20</v>
      </c>
      <c r="E79" s="715">
        <v>0</v>
      </c>
      <c r="F79" s="715">
        <v>113.4</v>
      </c>
      <c r="G79" s="715">
        <f t="shared" si="15"/>
        <v>0</v>
      </c>
      <c r="H79" s="715">
        <f t="shared" si="14"/>
        <v>2268</v>
      </c>
      <c r="I79" s="715">
        <f t="shared" si="13"/>
        <v>2268</v>
      </c>
    </row>
    <row r="80" spans="1:9" collapsed="1" x14ac:dyDescent="0.25">
      <c r="A80" s="716">
        <v>11</v>
      </c>
      <c r="B80" s="709" t="s">
        <v>1958</v>
      </c>
      <c r="C80" s="710" t="s">
        <v>74</v>
      </c>
      <c r="D80" s="710">
        <v>49</v>
      </c>
      <c r="E80" s="711">
        <v>30</v>
      </c>
      <c r="F80" s="711"/>
      <c r="G80" s="711">
        <f>PRODUCT(E80,D80)</f>
        <v>1470</v>
      </c>
      <c r="H80" s="711">
        <f>SUM(H81)</f>
        <v>360</v>
      </c>
      <c r="I80" s="711">
        <f t="shared" si="13"/>
        <v>1830</v>
      </c>
    </row>
    <row r="81" spans="1:9" hidden="1" outlineLevel="1" x14ac:dyDescent="0.25">
      <c r="A81" s="712" t="s">
        <v>1547</v>
      </c>
      <c r="B81" s="713" t="s">
        <v>1959</v>
      </c>
      <c r="C81" s="714" t="s">
        <v>79</v>
      </c>
      <c r="D81" s="714">
        <v>3</v>
      </c>
      <c r="E81" s="715">
        <v>0</v>
      </c>
      <c r="F81" s="722">
        <v>120</v>
      </c>
      <c r="G81" s="715">
        <f>PRODUCT(E81,D81)</f>
        <v>0</v>
      </c>
      <c r="H81" s="715">
        <f>PRODUCT(F81,D81)</f>
        <v>360</v>
      </c>
      <c r="I81" s="715">
        <f t="shared" si="13"/>
        <v>360</v>
      </c>
    </row>
    <row r="82" spans="1:9" collapsed="1" x14ac:dyDescent="0.25">
      <c r="A82" s="716">
        <v>12</v>
      </c>
      <c r="B82" s="709" t="s">
        <v>1960</v>
      </c>
      <c r="C82" s="710" t="s">
        <v>74</v>
      </c>
      <c r="D82" s="710">
        <v>49</v>
      </c>
      <c r="E82" s="711">
        <v>30</v>
      </c>
      <c r="F82" s="711"/>
      <c r="G82" s="711">
        <f>PRODUCT(E82,D82)</f>
        <v>1470</v>
      </c>
      <c r="H82" s="711">
        <f>SUM(H83)</f>
        <v>1098</v>
      </c>
      <c r="I82" s="711">
        <f>SUM(G82:H82)</f>
        <v>2568</v>
      </c>
    </row>
    <row r="83" spans="1:9" hidden="1" outlineLevel="1" x14ac:dyDescent="0.25">
      <c r="A83" s="712" t="s">
        <v>1603</v>
      </c>
      <c r="B83" s="713" t="s">
        <v>316</v>
      </c>
      <c r="C83" s="714" t="s">
        <v>79</v>
      </c>
      <c r="D83" s="714">
        <v>6</v>
      </c>
      <c r="E83" s="715">
        <v>0</v>
      </c>
      <c r="F83" s="722">
        <v>183</v>
      </c>
      <c r="G83" s="715">
        <f>PRODUCT(E83,D83)</f>
        <v>0</v>
      </c>
      <c r="H83" s="715">
        <f>PRODUCT(F83,D83)</f>
        <v>1098</v>
      </c>
      <c r="I83" s="715">
        <f>SUM(G83:H83)</f>
        <v>1098</v>
      </c>
    </row>
    <row r="84" spans="1:9" collapsed="1" x14ac:dyDescent="0.25">
      <c r="A84" s="716">
        <v>13</v>
      </c>
      <c r="B84" s="709" t="s">
        <v>1961</v>
      </c>
      <c r="C84" s="710" t="s">
        <v>44</v>
      </c>
      <c r="D84" s="710">
        <f>SUM(D91,D89,D87,D86,D85)</f>
        <v>5</v>
      </c>
      <c r="E84" s="711"/>
      <c r="F84" s="711"/>
      <c r="G84" s="711">
        <f>SUM(G85:G91)</f>
        <v>2500</v>
      </c>
      <c r="H84" s="711">
        <f>SUM(H85:H91)</f>
        <v>11538.68</v>
      </c>
      <c r="I84" s="711">
        <f t="shared" ref="I84:I93" si="16">SUM(G84:H84)</f>
        <v>14038.68</v>
      </c>
    </row>
    <row r="85" spans="1:9" hidden="1" outlineLevel="1" x14ac:dyDescent="0.25">
      <c r="A85" s="712" t="s">
        <v>1612</v>
      </c>
      <c r="B85" s="713" t="s">
        <v>1962</v>
      </c>
      <c r="C85" s="714" t="s">
        <v>44</v>
      </c>
      <c r="D85" s="714">
        <v>1</v>
      </c>
      <c r="E85" s="715">
        <v>500</v>
      </c>
      <c r="F85" s="715">
        <v>2705.08</v>
      </c>
      <c r="G85" s="715">
        <f t="shared" ref="G85:G91" si="17">PRODUCT(E85,D85)</f>
        <v>500</v>
      </c>
      <c r="H85" s="715">
        <f t="shared" ref="H85:H91" si="18">PRODUCT(F85,D85)</f>
        <v>2705.08</v>
      </c>
      <c r="I85" s="715">
        <f t="shared" si="16"/>
        <v>3205.08</v>
      </c>
    </row>
    <row r="86" spans="1:9" hidden="1" outlineLevel="1" x14ac:dyDescent="0.25">
      <c r="A86" s="712" t="s">
        <v>1614</v>
      </c>
      <c r="B86" s="713" t="s">
        <v>1963</v>
      </c>
      <c r="C86" s="714" t="s">
        <v>44</v>
      </c>
      <c r="D86" s="714">
        <v>1</v>
      </c>
      <c r="E86" s="715">
        <v>500</v>
      </c>
      <c r="F86" s="715">
        <v>1544.75</v>
      </c>
      <c r="G86" s="715">
        <f t="shared" si="17"/>
        <v>500</v>
      </c>
      <c r="H86" s="715">
        <f t="shared" si="18"/>
        <v>1544.75</v>
      </c>
      <c r="I86" s="715">
        <f t="shared" si="16"/>
        <v>2044.75</v>
      </c>
    </row>
    <row r="87" spans="1:9" hidden="1" outlineLevel="1" x14ac:dyDescent="0.25">
      <c r="A87" s="712" t="s">
        <v>1616</v>
      </c>
      <c r="B87" s="713" t="s">
        <v>1964</v>
      </c>
      <c r="C87" s="714" t="s">
        <v>44</v>
      </c>
      <c r="D87" s="714">
        <v>1</v>
      </c>
      <c r="E87" s="715">
        <v>1000</v>
      </c>
      <c r="F87" s="715">
        <v>2855.59</v>
      </c>
      <c r="G87" s="715">
        <f t="shared" si="17"/>
        <v>1000</v>
      </c>
      <c r="H87" s="715">
        <f t="shared" si="18"/>
        <v>2855.59</v>
      </c>
      <c r="I87" s="715">
        <f t="shared" si="16"/>
        <v>3855.59</v>
      </c>
    </row>
    <row r="88" spans="1:9" hidden="1" outlineLevel="1" x14ac:dyDescent="0.25">
      <c r="A88" s="712" t="s">
        <v>1618</v>
      </c>
      <c r="B88" s="713" t="s">
        <v>1965</v>
      </c>
      <c r="C88" s="714" t="s">
        <v>44</v>
      </c>
      <c r="D88" s="714">
        <v>1</v>
      </c>
      <c r="E88" s="715">
        <v>0</v>
      </c>
      <c r="F88" s="715">
        <v>105.77</v>
      </c>
      <c r="G88" s="715">
        <f t="shared" si="17"/>
        <v>0</v>
      </c>
      <c r="H88" s="715">
        <f t="shared" si="18"/>
        <v>105.77</v>
      </c>
      <c r="I88" s="715">
        <f t="shared" si="16"/>
        <v>105.77</v>
      </c>
    </row>
    <row r="89" spans="1:9" hidden="1" outlineLevel="1" x14ac:dyDescent="0.25">
      <c r="A89" s="712" t="s">
        <v>1620</v>
      </c>
      <c r="B89" s="713" t="s">
        <v>1966</v>
      </c>
      <c r="C89" s="714" t="s">
        <v>44</v>
      </c>
      <c r="D89" s="714">
        <v>1</v>
      </c>
      <c r="E89" s="715">
        <v>500</v>
      </c>
      <c r="F89" s="715">
        <v>1057.6300000000001</v>
      </c>
      <c r="G89" s="715">
        <f t="shared" si="17"/>
        <v>500</v>
      </c>
      <c r="H89" s="715">
        <f t="shared" si="18"/>
        <v>1057.6300000000001</v>
      </c>
      <c r="I89" s="715">
        <f t="shared" si="16"/>
        <v>1557.63</v>
      </c>
    </row>
    <row r="90" spans="1:9" hidden="1" outlineLevel="1" x14ac:dyDescent="0.25">
      <c r="A90" s="712" t="s">
        <v>1967</v>
      </c>
      <c r="B90" s="713" t="s">
        <v>1968</v>
      </c>
      <c r="C90" s="714" t="s">
        <v>44</v>
      </c>
      <c r="D90" s="714">
        <v>1</v>
      </c>
      <c r="E90" s="715">
        <v>0</v>
      </c>
      <c r="F90" s="715">
        <v>173.9</v>
      </c>
      <c r="G90" s="715">
        <f t="shared" si="17"/>
        <v>0</v>
      </c>
      <c r="H90" s="715">
        <f t="shared" si="18"/>
        <v>173.9</v>
      </c>
      <c r="I90" s="715">
        <f t="shared" si="16"/>
        <v>173.9</v>
      </c>
    </row>
    <row r="91" spans="1:9" hidden="1" outlineLevel="1" x14ac:dyDescent="0.25">
      <c r="A91" s="712" t="s">
        <v>1969</v>
      </c>
      <c r="B91" s="713" t="s">
        <v>1970</v>
      </c>
      <c r="C91" s="714" t="s">
        <v>44</v>
      </c>
      <c r="D91" s="714">
        <v>1</v>
      </c>
      <c r="E91" s="715">
        <v>0</v>
      </c>
      <c r="F91" s="715">
        <v>3095.96</v>
      </c>
      <c r="G91" s="715">
        <f t="shared" si="17"/>
        <v>0</v>
      </c>
      <c r="H91" s="715">
        <f t="shared" si="18"/>
        <v>3095.96</v>
      </c>
      <c r="I91" s="715">
        <f t="shared" si="16"/>
        <v>3095.96</v>
      </c>
    </row>
    <row r="92" spans="1:9" collapsed="1" x14ac:dyDescent="0.25">
      <c r="A92" s="716">
        <v>11</v>
      </c>
      <c r="B92" s="709" t="s">
        <v>1611</v>
      </c>
      <c r="C92" s="710" t="s">
        <v>96</v>
      </c>
      <c r="D92" s="710">
        <v>408</v>
      </c>
      <c r="E92" s="711">
        <v>50</v>
      </c>
      <c r="F92" s="711"/>
      <c r="G92" s="711">
        <f>PRODUCT(D92:E92)</f>
        <v>20400</v>
      </c>
      <c r="H92" s="711">
        <f>SUM(H93)</f>
        <v>46875</v>
      </c>
      <c r="I92" s="711">
        <f t="shared" si="16"/>
        <v>67275</v>
      </c>
    </row>
    <row r="93" spans="1:9" hidden="1" outlineLevel="1" x14ac:dyDescent="0.25">
      <c r="A93" s="723" t="s">
        <v>1547</v>
      </c>
      <c r="B93" s="713" t="s">
        <v>1971</v>
      </c>
      <c r="C93" s="714" t="s">
        <v>96</v>
      </c>
      <c r="D93" s="714">
        <v>25</v>
      </c>
      <c r="E93" s="715">
        <v>0</v>
      </c>
      <c r="F93" s="715">
        <v>1875</v>
      </c>
      <c r="G93" s="715">
        <f>PRODUCT(D93:E93)</f>
        <v>0</v>
      </c>
      <c r="H93" s="715">
        <f>PRODUCT(F93,D93)</f>
        <v>46875</v>
      </c>
      <c r="I93" s="715">
        <f t="shared" si="16"/>
        <v>46875</v>
      </c>
    </row>
    <row r="94" spans="1:9" hidden="1" outlineLevel="1" x14ac:dyDescent="0.25">
      <c r="A94" s="716">
        <v>12</v>
      </c>
      <c r="B94" s="1" t="s">
        <v>1972</v>
      </c>
      <c r="C94" s="485" t="s">
        <v>1973</v>
      </c>
      <c r="D94" s="485">
        <v>1</v>
      </c>
      <c r="E94" s="1478" t="s">
        <v>1974</v>
      </c>
      <c r="F94" s="1479"/>
      <c r="G94" s="1479"/>
      <c r="H94" s="1479"/>
      <c r="I94" s="1480"/>
    </row>
    <row r="95" spans="1:9" hidden="1" outlineLevel="1" x14ac:dyDescent="0.25">
      <c r="A95" s="716">
        <v>13</v>
      </c>
      <c r="B95" s="1" t="s">
        <v>1975</v>
      </c>
      <c r="C95" s="485" t="s">
        <v>1973</v>
      </c>
      <c r="D95" s="485">
        <v>1</v>
      </c>
      <c r="E95" s="1481"/>
      <c r="F95" s="1482"/>
      <c r="G95" s="1482"/>
      <c r="H95" s="1482"/>
      <c r="I95" s="1483"/>
    </row>
    <row r="96" spans="1:9" x14ac:dyDescent="0.25">
      <c r="A96" s="1484" t="s">
        <v>1209</v>
      </c>
      <c r="B96" s="1484"/>
      <c r="C96" s="1484"/>
      <c r="D96" s="1484"/>
      <c r="E96" s="1484"/>
      <c r="F96" s="1484"/>
      <c r="G96" s="711">
        <f>SUM(G4,G13,G27,,G64,G66,G69,G71,G80,G82,G84,G92,G55,G50,G61)</f>
        <v>582235</v>
      </c>
      <c r="H96" s="711">
        <f>SUM(H4,H13,H27,,H64,H66,H69,H71,H80,H82,H84,H92,H55,H50,H61)</f>
        <v>821005.72540677967</v>
      </c>
      <c r="I96" s="711">
        <f>SUM(I4,I13,I27,,I64,I66,I69,I71,I80,I82,I84,I92,I55,I50,I61)</f>
        <v>1403240.7254067797</v>
      </c>
    </row>
  </sheetData>
  <mergeCells count="10">
    <mergeCell ref="E94:I95"/>
    <mergeCell ref="A96:F96"/>
    <mergeCell ref="A1:I1"/>
    <mergeCell ref="A2:A3"/>
    <mergeCell ref="B2:B3"/>
    <mergeCell ref="C2:C3"/>
    <mergeCell ref="D2:D3"/>
    <mergeCell ref="E2:F2"/>
    <mergeCell ref="G2:H2"/>
    <mergeCell ref="I2:I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>
      <selection activeCell="A3" sqref="A3:XFD10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3.44140625" style="154" customWidth="1"/>
    <col min="6" max="6" width="15.109375" style="154" customWidth="1"/>
    <col min="7" max="7" width="18.109375" style="9" customWidth="1"/>
    <col min="8" max="8" width="18.6640625" style="9" customWidth="1"/>
    <col min="9" max="9" width="19.44140625" style="9" customWidth="1"/>
    <col min="10" max="257" width="9.109375" style="9"/>
    <col min="258" max="258" width="63.109375" style="9" customWidth="1"/>
    <col min="259" max="259" width="9.109375" style="9"/>
    <col min="260" max="260" width="14.109375" style="9" customWidth="1"/>
    <col min="261" max="261" width="13.44140625" style="9" customWidth="1"/>
    <col min="262" max="262" width="15.109375" style="9" customWidth="1"/>
    <col min="263" max="263" width="18.109375" style="9" customWidth="1"/>
    <col min="264" max="264" width="18.6640625" style="9" customWidth="1"/>
    <col min="265" max="265" width="19.44140625" style="9" customWidth="1"/>
    <col min="266" max="513" width="9.109375" style="9"/>
    <col min="514" max="514" width="63.109375" style="9" customWidth="1"/>
    <col min="515" max="515" width="9.109375" style="9"/>
    <col min="516" max="516" width="14.109375" style="9" customWidth="1"/>
    <col min="517" max="517" width="13.44140625" style="9" customWidth="1"/>
    <col min="518" max="518" width="15.109375" style="9" customWidth="1"/>
    <col min="519" max="519" width="18.109375" style="9" customWidth="1"/>
    <col min="520" max="520" width="18.6640625" style="9" customWidth="1"/>
    <col min="521" max="521" width="19.44140625" style="9" customWidth="1"/>
    <col min="522" max="769" width="9.109375" style="9"/>
    <col min="770" max="770" width="63.109375" style="9" customWidth="1"/>
    <col min="771" max="771" width="9.109375" style="9"/>
    <col min="772" max="772" width="14.109375" style="9" customWidth="1"/>
    <col min="773" max="773" width="13.44140625" style="9" customWidth="1"/>
    <col min="774" max="774" width="15.109375" style="9" customWidth="1"/>
    <col min="775" max="775" width="18.109375" style="9" customWidth="1"/>
    <col min="776" max="776" width="18.6640625" style="9" customWidth="1"/>
    <col min="777" max="777" width="19.44140625" style="9" customWidth="1"/>
    <col min="778" max="1025" width="9.109375" style="9"/>
    <col min="1026" max="1026" width="63.109375" style="9" customWidth="1"/>
    <col min="1027" max="1027" width="9.109375" style="9"/>
    <col min="1028" max="1028" width="14.109375" style="9" customWidth="1"/>
    <col min="1029" max="1029" width="13.44140625" style="9" customWidth="1"/>
    <col min="1030" max="1030" width="15.109375" style="9" customWidth="1"/>
    <col min="1031" max="1031" width="18.109375" style="9" customWidth="1"/>
    <col min="1032" max="1032" width="18.6640625" style="9" customWidth="1"/>
    <col min="1033" max="1033" width="19.44140625" style="9" customWidth="1"/>
    <col min="1034" max="1281" width="9.109375" style="9"/>
    <col min="1282" max="1282" width="63.109375" style="9" customWidth="1"/>
    <col min="1283" max="1283" width="9.109375" style="9"/>
    <col min="1284" max="1284" width="14.109375" style="9" customWidth="1"/>
    <col min="1285" max="1285" width="13.44140625" style="9" customWidth="1"/>
    <col min="1286" max="1286" width="15.109375" style="9" customWidth="1"/>
    <col min="1287" max="1287" width="18.109375" style="9" customWidth="1"/>
    <col min="1288" max="1288" width="18.6640625" style="9" customWidth="1"/>
    <col min="1289" max="1289" width="19.44140625" style="9" customWidth="1"/>
    <col min="1290" max="1537" width="9.109375" style="9"/>
    <col min="1538" max="1538" width="63.109375" style="9" customWidth="1"/>
    <col min="1539" max="1539" width="9.109375" style="9"/>
    <col min="1540" max="1540" width="14.109375" style="9" customWidth="1"/>
    <col min="1541" max="1541" width="13.44140625" style="9" customWidth="1"/>
    <col min="1542" max="1542" width="15.109375" style="9" customWidth="1"/>
    <col min="1543" max="1543" width="18.109375" style="9" customWidth="1"/>
    <col min="1544" max="1544" width="18.6640625" style="9" customWidth="1"/>
    <col min="1545" max="1545" width="19.44140625" style="9" customWidth="1"/>
    <col min="1546" max="1793" width="9.109375" style="9"/>
    <col min="1794" max="1794" width="63.109375" style="9" customWidth="1"/>
    <col min="1795" max="1795" width="9.109375" style="9"/>
    <col min="1796" max="1796" width="14.109375" style="9" customWidth="1"/>
    <col min="1797" max="1797" width="13.44140625" style="9" customWidth="1"/>
    <col min="1798" max="1798" width="15.109375" style="9" customWidth="1"/>
    <col min="1799" max="1799" width="18.109375" style="9" customWidth="1"/>
    <col min="1800" max="1800" width="18.6640625" style="9" customWidth="1"/>
    <col min="1801" max="1801" width="19.44140625" style="9" customWidth="1"/>
    <col min="1802" max="2049" width="9.109375" style="9"/>
    <col min="2050" max="2050" width="63.109375" style="9" customWidth="1"/>
    <col min="2051" max="2051" width="9.109375" style="9"/>
    <col min="2052" max="2052" width="14.109375" style="9" customWidth="1"/>
    <col min="2053" max="2053" width="13.44140625" style="9" customWidth="1"/>
    <col min="2054" max="2054" width="15.109375" style="9" customWidth="1"/>
    <col min="2055" max="2055" width="18.109375" style="9" customWidth="1"/>
    <col min="2056" max="2056" width="18.6640625" style="9" customWidth="1"/>
    <col min="2057" max="2057" width="19.44140625" style="9" customWidth="1"/>
    <col min="2058" max="2305" width="9.109375" style="9"/>
    <col min="2306" max="2306" width="63.109375" style="9" customWidth="1"/>
    <col min="2307" max="2307" width="9.109375" style="9"/>
    <col min="2308" max="2308" width="14.109375" style="9" customWidth="1"/>
    <col min="2309" max="2309" width="13.44140625" style="9" customWidth="1"/>
    <col min="2310" max="2310" width="15.109375" style="9" customWidth="1"/>
    <col min="2311" max="2311" width="18.109375" style="9" customWidth="1"/>
    <col min="2312" max="2312" width="18.6640625" style="9" customWidth="1"/>
    <col min="2313" max="2313" width="19.44140625" style="9" customWidth="1"/>
    <col min="2314" max="2561" width="9.109375" style="9"/>
    <col min="2562" max="2562" width="63.109375" style="9" customWidth="1"/>
    <col min="2563" max="2563" width="9.109375" style="9"/>
    <col min="2564" max="2564" width="14.109375" style="9" customWidth="1"/>
    <col min="2565" max="2565" width="13.44140625" style="9" customWidth="1"/>
    <col min="2566" max="2566" width="15.109375" style="9" customWidth="1"/>
    <col min="2567" max="2567" width="18.109375" style="9" customWidth="1"/>
    <col min="2568" max="2568" width="18.6640625" style="9" customWidth="1"/>
    <col min="2569" max="2569" width="19.44140625" style="9" customWidth="1"/>
    <col min="2570" max="2817" width="9.109375" style="9"/>
    <col min="2818" max="2818" width="63.109375" style="9" customWidth="1"/>
    <col min="2819" max="2819" width="9.109375" style="9"/>
    <col min="2820" max="2820" width="14.109375" style="9" customWidth="1"/>
    <col min="2821" max="2821" width="13.44140625" style="9" customWidth="1"/>
    <col min="2822" max="2822" width="15.109375" style="9" customWidth="1"/>
    <col min="2823" max="2823" width="18.109375" style="9" customWidth="1"/>
    <col min="2824" max="2824" width="18.6640625" style="9" customWidth="1"/>
    <col min="2825" max="2825" width="19.44140625" style="9" customWidth="1"/>
    <col min="2826" max="3073" width="9.109375" style="9"/>
    <col min="3074" max="3074" width="63.109375" style="9" customWidth="1"/>
    <col min="3075" max="3075" width="9.109375" style="9"/>
    <col min="3076" max="3076" width="14.109375" style="9" customWidth="1"/>
    <col min="3077" max="3077" width="13.44140625" style="9" customWidth="1"/>
    <col min="3078" max="3078" width="15.109375" style="9" customWidth="1"/>
    <col min="3079" max="3079" width="18.109375" style="9" customWidth="1"/>
    <col min="3080" max="3080" width="18.6640625" style="9" customWidth="1"/>
    <col min="3081" max="3081" width="19.44140625" style="9" customWidth="1"/>
    <col min="3082" max="3329" width="9.109375" style="9"/>
    <col min="3330" max="3330" width="63.109375" style="9" customWidth="1"/>
    <col min="3331" max="3331" width="9.109375" style="9"/>
    <col min="3332" max="3332" width="14.109375" style="9" customWidth="1"/>
    <col min="3333" max="3333" width="13.44140625" style="9" customWidth="1"/>
    <col min="3334" max="3334" width="15.109375" style="9" customWidth="1"/>
    <col min="3335" max="3335" width="18.109375" style="9" customWidth="1"/>
    <col min="3336" max="3336" width="18.6640625" style="9" customWidth="1"/>
    <col min="3337" max="3337" width="19.44140625" style="9" customWidth="1"/>
    <col min="3338" max="3585" width="9.109375" style="9"/>
    <col min="3586" max="3586" width="63.109375" style="9" customWidth="1"/>
    <col min="3587" max="3587" width="9.109375" style="9"/>
    <col min="3588" max="3588" width="14.109375" style="9" customWidth="1"/>
    <col min="3589" max="3589" width="13.44140625" style="9" customWidth="1"/>
    <col min="3590" max="3590" width="15.109375" style="9" customWidth="1"/>
    <col min="3591" max="3591" width="18.109375" style="9" customWidth="1"/>
    <col min="3592" max="3592" width="18.6640625" style="9" customWidth="1"/>
    <col min="3593" max="3593" width="19.44140625" style="9" customWidth="1"/>
    <col min="3594" max="3841" width="9.109375" style="9"/>
    <col min="3842" max="3842" width="63.109375" style="9" customWidth="1"/>
    <col min="3843" max="3843" width="9.109375" style="9"/>
    <col min="3844" max="3844" width="14.109375" style="9" customWidth="1"/>
    <col min="3845" max="3845" width="13.44140625" style="9" customWidth="1"/>
    <col min="3846" max="3846" width="15.109375" style="9" customWidth="1"/>
    <col min="3847" max="3847" width="18.109375" style="9" customWidth="1"/>
    <col min="3848" max="3848" width="18.6640625" style="9" customWidth="1"/>
    <col min="3849" max="3849" width="19.44140625" style="9" customWidth="1"/>
    <col min="3850" max="4097" width="9.109375" style="9"/>
    <col min="4098" max="4098" width="63.109375" style="9" customWidth="1"/>
    <col min="4099" max="4099" width="9.109375" style="9"/>
    <col min="4100" max="4100" width="14.109375" style="9" customWidth="1"/>
    <col min="4101" max="4101" width="13.44140625" style="9" customWidth="1"/>
    <col min="4102" max="4102" width="15.109375" style="9" customWidth="1"/>
    <col min="4103" max="4103" width="18.109375" style="9" customWidth="1"/>
    <col min="4104" max="4104" width="18.6640625" style="9" customWidth="1"/>
    <col min="4105" max="4105" width="19.44140625" style="9" customWidth="1"/>
    <col min="4106" max="4353" width="9.109375" style="9"/>
    <col min="4354" max="4354" width="63.109375" style="9" customWidth="1"/>
    <col min="4355" max="4355" width="9.109375" style="9"/>
    <col min="4356" max="4356" width="14.109375" style="9" customWidth="1"/>
    <col min="4357" max="4357" width="13.44140625" style="9" customWidth="1"/>
    <col min="4358" max="4358" width="15.109375" style="9" customWidth="1"/>
    <col min="4359" max="4359" width="18.109375" style="9" customWidth="1"/>
    <col min="4360" max="4360" width="18.6640625" style="9" customWidth="1"/>
    <col min="4361" max="4361" width="19.44140625" style="9" customWidth="1"/>
    <col min="4362" max="4609" width="9.109375" style="9"/>
    <col min="4610" max="4610" width="63.109375" style="9" customWidth="1"/>
    <col min="4611" max="4611" width="9.109375" style="9"/>
    <col min="4612" max="4612" width="14.109375" style="9" customWidth="1"/>
    <col min="4613" max="4613" width="13.44140625" style="9" customWidth="1"/>
    <col min="4614" max="4614" width="15.109375" style="9" customWidth="1"/>
    <col min="4615" max="4615" width="18.109375" style="9" customWidth="1"/>
    <col min="4616" max="4616" width="18.6640625" style="9" customWidth="1"/>
    <col min="4617" max="4617" width="19.44140625" style="9" customWidth="1"/>
    <col min="4618" max="4865" width="9.109375" style="9"/>
    <col min="4866" max="4866" width="63.109375" style="9" customWidth="1"/>
    <col min="4867" max="4867" width="9.109375" style="9"/>
    <col min="4868" max="4868" width="14.109375" style="9" customWidth="1"/>
    <col min="4869" max="4869" width="13.44140625" style="9" customWidth="1"/>
    <col min="4870" max="4870" width="15.109375" style="9" customWidth="1"/>
    <col min="4871" max="4871" width="18.109375" style="9" customWidth="1"/>
    <col min="4872" max="4872" width="18.6640625" style="9" customWidth="1"/>
    <col min="4873" max="4873" width="19.44140625" style="9" customWidth="1"/>
    <col min="4874" max="5121" width="9.109375" style="9"/>
    <col min="5122" max="5122" width="63.109375" style="9" customWidth="1"/>
    <col min="5123" max="5123" width="9.109375" style="9"/>
    <col min="5124" max="5124" width="14.109375" style="9" customWidth="1"/>
    <col min="5125" max="5125" width="13.44140625" style="9" customWidth="1"/>
    <col min="5126" max="5126" width="15.109375" style="9" customWidth="1"/>
    <col min="5127" max="5127" width="18.109375" style="9" customWidth="1"/>
    <col min="5128" max="5128" width="18.6640625" style="9" customWidth="1"/>
    <col min="5129" max="5129" width="19.44140625" style="9" customWidth="1"/>
    <col min="5130" max="5377" width="9.109375" style="9"/>
    <col min="5378" max="5378" width="63.109375" style="9" customWidth="1"/>
    <col min="5379" max="5379" width="9.109375" style="9"/>
    <col min="5380" max="5380" width="14.109375" style="9" customWidth="1"/>
    <col min="5381" max="5381" width="13.44140625" style="9" customWidth="1"/>
    <col min="5382" max="5382" width="15.109375" style="9" customWidth="1"/>
    <col min="5383" max="5383" width="18.109375" style="9" customWidth="1"/>
    <col min="5384" max="5384" width="18.6640625" style="9" customWidth="1"/>
    <col min="5385" max="5385" width="19.44140625" style="9" customWidth="1"/>
    <col min="5386" max="5633" width="9.109375" style="9"/>
    <col min="5634" max="5634" width="63.109375" style="9" customWidth="1"/>
    <col min="5635" max="5635" width="9.109375" style="9"/>
    <col min="5636" max="5636" width="14.109375" style="9" customWidth="1"/>
    <col min="5637" max="5637" width="13.44140625" style="9" customWidth="1"/>
    <col min="5638" max="5638" width="15.109375" style="9" customWidth="1"/>
    <col min="5639" max="5639" width="18.109375" style="9" customWidth="1"/>
    <col min="5640" max="5640" width="18.6640625" style="9" customWidth="1"/>
    <col min="5641" max="5641" width="19.44140625" style="9" customWidth="1"/>
    <col min="5642" max="5889" width="9.109375" style="9"/>
    <col min="5890" max="5890" width="63.109375" style="9" customWidth="1"/>
    <col min="5891" max="5891" width="9.109375" style="9"/>
    <col min="5892" max="5892" width="14.109375" style="9" customWidth="1"/>
    <col min="5893" max="5893" width="13.44140625" style="9" customWidth="1"/>
    <col min="5894" max="5894" width="15.109375" style="9" customWidth="1"/>
    <col min="5895" max="5895" width="18.109375" style="9" customWidth="1"/>
    <col min="5896" max="5896" width="18.6640625" style="9" customWidth="1"/>
    <col min="5897" max="5897" width="19.44140625" style="9" customWidth="1"/>
    <col min="5898" max="6145" width="9.109375" style="9"/>
    <col min="6146" max="6146" width="63.109375" style="9" customWidth="1"/>
    <col min="6147" max="6147" width="9.109375" style="9"/>
    <col min="6148" max="6148" width="14.109375" style="9" customWidth="1"/>
    <col min="6149" max="6149" width="13.44140625" style="9" customWidth="1"/>
    <col min="6150" max="6150" width="15.109375" style="9" customWidth="1"/>
    <col min="6151" max="6151" width="18.109375" style="9" customWidth="1"/>
    <col min="6152" max="6152" width="18.6640625" style="9" customWidth="1"/>
    <col min="6153" max="6153" width="19.44140625" style="9" customWidth="1"/>
    <col min="6154" max="6401" width="9.109375" style="9"/>
    <col min="6402" max="6402" width="63.109375" style="9" customWidth="1"/>
    <col min="6403" max="6403" width="9.109375" style="9"/>
    <col min="6404" max="6404" width="14.109375" style="9" customWidth="1"/>
    <col min="6405" max="6405" width="13.44140625" style="9" customWidth="1"/>
    <col min="6406" max="6406" width="15.109375" style="9" customWidth="1"/>
    <col min="6407" max="6407" width="18.109375" style="9" customWidth="1"/>
    <col min="6408" max="6408" width="18.6640625" style="9" customWidth="1"/>
    <col min="6409" max="6409" width="19.44140625" style="9" customWidth="1"/>
    <col min="6410" max="6657" width="9.109375" style="9"/>
    <col min="6658" max="6658" width="63.109375" style="9" customWidth="1"/>
    <col min="6659" max="6659" width="9.109375" style="9"/>
    <col min="6660" max="6660" width="14.109375" style="9" customWidth="1"/>
    <col min="6661" max="6661" width="13.44140625" style="9" customWidth="1"/>
    <col min="6662" max="6662" width="15.109375" style="9" customWidth="1"/>
    <col min="6663" max="6663" width="18.109375" style="9" customWidth="1"/>
    <col min="6664" max="6664" width="18.6640625" style="9" customWidth="1"/>
    <col min="6665" max="6665" width="19.44140625" style="9" customWidth="1"/>
    <col min="6666" max="6913" width="9.109375" style="9"/>
    <col min="6914" max="6914" width="63.109375" style="9" customWidth="1"/>
    <col min="6915" max="6915" width="9.109375" style="9"/>
    <col min="6916" max="6916" width="14.109375" style="9" customWidth="1"/>
    <col min="6917" max="6917" width="13.44140625" style="9" customWidth="1"/>
    <col min="6918" max="6918" width="15.109375" style="9" customWidth="1"/>
    <col min="6919" max="6919" width="18.109375" style="9" customWidth="1"/>
    <col min="6920" max="6920" width="18.6640625" style="9" customWidth="1"/>
    <col min="6921" max="6921" width="19.44140625" style="9" customWidth="1"/>
    <col min="6922" max="7169" width="9.109375" style="9"/>
    <col min="7170" max="7170" width="63.109375" style="9" customWidth="1"/>
    <col min="7171" max="7171" width="9.109375" style="9"/>
    <col min="7172" max="7172" width="14.109375" style="9" customWidth="1"/>
    <col min="7173" max="7173" width="13.44140625" style="9" customWidth="1"/>
    <col min="7174" max="7174" width="15.109375" style="9" customWidth="1"/>
    <col min="7175" max="7175" width="18.109375" style="9" customWidth="1"/>
    <col min="7176" max="7176" width="18.6640625" style="9" customWidth="1"/>
    <col min="7177" max="7177" width="19.44140625" style="9" customWidth="1"/>
    <col min="7178" max="7425" width="9.109375" style="9"/>
    <col min="7426" max="7426" width="63.109375" style="9" customWidth="1"/>
    <col min="7427" max="7427" width="9.109375" style="9"/>
    <col min="7428" max="7428" width="14.109375" style="9" customWidth="1"/>
    <col min="7429" max="7429" width="13.44140625" style="9" customWidth="1"/>
    <col min="7430" max="7430" width="15.109375" style="9" customWidth="1"/>
    <col min="7431" max="7431" width="18.109375" style="9" customWidth="1"/>
    <col min="7432" max="7432" width="18.6640625" style="9" customWidth="1"/>
    <col min="7433" max="7433" width="19.44140625" style="9" customWidth="1"/>
    <col min="7434" max="7681" width="9.109375" style="9"/>
    <col min="7682" max="7682" width="63.109375" style="9" customWidth="1"/>
    <col min="7683" max="7683" width="9.109375" style="9"/>
    <col min="7684" max="7684" width="14.109375" style="9" customWidth="1"/>
    <col min="7685" max="7685" width="13.44140625" style="9" customWidth="1"/>
    <col min="7686" max="7686" width="15.109375" style="9" customWidth="1"/>
    <col min="7687" max="7687" width="18.109375" style="9" customWidth="1"/>
    <col min="7688" max="7688" width="18.6640625" style="9" customWidth="1"/>
    <col min="7689" max="7689" width="19.44140625" style="9" customWidth="1"/>
    <col min="7690" max="7937" width="9.109375" style="9"/>
    <col min="7938" max="7938" width="63.109375" style="9" customWidth="1"/>
    <col min="7939" max="7939" width="9.109375" style="9"/>
    <col min="7940" max="7940" width="14.109375" style="9" customWidth="1"/>
    <col min="7941" max="7941" width="13.44140625" style="9" customWidth="1"/>
    <col min="7942" max="7942" width="15.109375" style="9" customWidth="1"/>
    <col min="7943" max="7943" width="18.109375" style="9" customWidth="1"/>
    <col min="7944" max="7944" width="18.6640625" style="9" customWidth="1"/>
    <col min="7945" max="7945" width="19.44140625" style="9" customWidth="1"/>
    <col min="7946" max="8193" width="9.109375" style="9"/>
    <col min="8194" max="8194" width="63.109375" style="9" customWidth="1"/>
    <col min="8195" max="8195" width="9.109375" style="9"/>
    <col min="8196" max="8196" width="14.109375" style="9" customWidth="1"/>
    <col min="8197" max="8197" width="13.44140625" style="9" customWidth="1"/>
    <col min="8198" max="8198" width="15.109375" style="9" customWidth="1"/>
    <col min="8199" max="8199" width="18.109375" style="9" customWidth="1"/>
    <col min="8200" max="8200" width="18.6640625" style="9" customWidth="1"/>
    <col min="8201" max="8201" width="19.44140625" style="9" customWidth="1"/>
    <col min="8202" max="8449" width="9.109375" style="9"/>
    <col min="8450" max="8450" width="63.109375" style="9" customWidth="1"/>
    <col min="8451" max="8451" width="9.109375" style="9"/>
    <col min="8452" max="8452" width="14.109375" style="9" customWidth="1"/>
    <col min="8453" max="8453" width="13.44140625" style="9" customWidth="1"/>
    <col min="8454" max="8454" width="15.109375" style="9" customWidth="1"/>
    <col min="8455" max="8455" width="18.109375" style="9" customWidth="1"/>
    <col min="8456" max="8456" width="18.6640625" style="9" customWidth="1"/>
    <col min="8457" max="8457" width="19.44140625" style="9" customWidth="1"/>
    <col min="8458" max="8705" width="9.109375" style="9"/>
    <col min="8706" max="8706" width="63.109375" style="9" customWidth="1"/>
    <col min="8707" max="8707" width="9.109375" style="9"/>
    <col min="8708" max="8708" width="14.109375" style="9" customWidth="1"/>
    <col min="8709" max="8709" width="13.44140625" style="9" customWidth="1"/>
    <col min="8710" max="8710" width="15.109375" style="9" customWidth="1"/>
    <col min="8711" max="8711" width="18.109375" style="9" customWidth="1"/>
    <col min="8712" max="8712" width="18.6640625" style="9" customWidth="1"/>
    <col min="8713" max="8713" width="19.44140625" style="9" customWidth="1"/>
    <col min="8714" max="8961" width="9.109375" style="9"/>
    <col min="8962" max="8962" width="63.109375" style="9" customWidth="1"/>
    <col min="8963" max="8963" width="9.109375" style="9"/>
    <col min="8964" max="8964" width="14.109375" style="9" customWidth="1"/>
    <col min="8965" max="8965" width="13.44140625" style="9" customWidth="1"/>
    <col min="8966" max="8966" width="15.109375" style="9" customWidth="1"/>
    <col min="8967" max="8967" width="18.109375" style="9" customWidth="1"/>
    <col min="8968" max="8968" width="18.6640625" style="9" customWidth="1"/>
    <col min="8969" max="8969" width="19.44140625" style="9" customWidth="1"/>
    <col min="8970" max="9217" width="9.109375" style="9"/>
    <col min="9218" max="9218" width="63.109375" style="9" customWidth="1"/>
    <col min="9219" max="9219" width="9.109375" style="9"/>
    <col min="9220" max="9220" width="14.109375" style="9" customWidth="1"/>
    <col min="9221" max="9221" width="13.44140625" style="9" customWidth="1"/>
    <col min="9222" max="9222" width="15.109375" style="9" customWidth="1"/>
    <col min="9223" max="9223" width="18.109375" style="9" customWidth="1"/>
    <col min="9224" max="9224" width="18.6640625" style="9" customWidth="1"/>
    <col min="9225" max="9225" width="19.44140625" style="9" customWidth="1"/>
    <col min="9226" max="9473" width="9.109375" style="9"/>
    <col min="9474" max="9474" width="63.109375" style="9" customWidth="1"/>
    <col min="9475" max="9475" width="9.109375" style="9"/>
    <col min="9476" max="9476" width="14.109375" style="9" customWidth="1"/>
    <col min="9477" max="9477" width="13.44140625" style="9" customWidth="1"/>
    <col min="9478" max="9478" width="15.109375" style="9" customWidth="1"/>
    <col min="9479" max="9479" width="18.109375" style="9" customWidth="1"/>
    <col min="9480" max="9480" width="18.6640625" style="9" customWidth="1"/>
    <col min="9481" max="9481" width="19.44140625" style="9" customWidth="1"/>
    <col min="9482" max="9729" width="9.109375" style="9"/>
    <col min="9730" max="9730" width="63.109375" style="9" customWidth="1"/>
    <col min="9731" max="9731" width="9.109375" style="9"/>
    <col min="9732" max="9732" width="14.109375" style="9" customWidth="1"/>
    <col min="9733" max="9733" width="13.44140625" style="9" customWidth="1"/>
    <col min="9734" max="9734" width="15.109375" style="9" customWidth="1"/>
    <col min="9735" max="9735" width="18.109375" style="9" customWidth="1"/>
    <col min="9736" max="9736" width="18.6640625" style="9" customWidth="1"/>
    <col min="9737" max="9737" width="19.44140625" style="9" customWidth="1"/>
    <col min="9738" max="9985" width="9.109375" style="9"/>
    <col min="9986" max="9986" width="63.109375" style="9" customWidth="1"/>
    <col min="9987" max="9987" width="9.109375" style="9"/>
    <col min="9988" max="9988" width="14.109375" style="9" customWidth="1"/>
    <col min="9989" max="9989" width="13.44140625" style="9" customWidth="1"/>
    <col min="9990" max="9990" width="15.109375" style="9" customWidth="1"/>
    <col min="9991" max="9991" width="18.109375" style="9" customWidth="1"/>
    <col min="9992" max="9992" width="18.6640625" style="9" customWidth="1"/>
    <col min="9993" max="9993" width="19.44140625" style="9" customWidth="1"/>
    <col min="9994" max="10241" width="9.109375" style="9"/>
    <col min="10242" max="10242" width="63.109375" style="9" customWidth="1"/>
    <col min="10243" max="10243" width="9.109375" style="9"/>
    <col min="10244" max="10244" width="14.109375" style="9" customWidth="1"/>
    <col min="10245" max="10245" width="13.44140625" style="9" customWidth="1"/>
    <col min="10246" max="10246" width="15.109375" style="9" customWidth="1"/>
    <col min="10247" max="10247" width="18.109375" style="9" customWidth="1"/>
    <col min="10248" max="10248" width="18.6640625" style="9" customWidth="1"/>
    <col min="10249" max="10249" width="19.44140625" style="9" customWidth="1"/>
    <col min="10250" max="10497" width="9.109375" style="9"/>
    <col min="10498" max="10498" width="63.109375" style="9" customWidth="1"/>
    <col min="10499" max="10499" width="9.109375" style="9"/>
    <col min="10500" max="10500" width="14.109375" style="9" customWidth="1"/>
    <col min="10501" max="10501" width="13.44140625" style="9" customWidth="1"/>
    <col min="10502" max="10502" width="15.109375" style="9" customWidth="1"/>
    <col min="10503" max="10503" width="18.109375" style="9" customWidth="1"/>
    <col min="10504" max="10504" width="18.6640625" style="9" customWidth="1"/>
    <col min="10505" max="10505" width="19.44140625" style="9" customWidth="1"/>
    <col min="10506" max="10753" width="9.109375" style="9"/>
    <col min="10754" max="10754" width="63.109375" style="9" customWidth="1"/>
    <col min="10755" max="10755" width="9.109375" style="9"/>
    <col min="10756" max="10756" width="14.109375" style="9" customWidth="1"/>
    <col min="10757" max="10757" width="13.44140625" style="9" customWidth="1"/>
    <col min="10758" max="10758" width="15.109375" style="9" customWidth="1"/>
    <col min="10759" max="10759" width="18.109375" style="9" customWidth="1"/>
    <col min="10760" max="10760" width="18.6640625" style="9" customWidth="1"/>
    <col min="10761" max="10761" width="19.44140625" style="9" customWidth="1"/>
    <col min="10762" max="11009" width="9.109375" style="9"/>
    <col min="11010" max="11010" width="63.109375" style="9" customWidth="1"/>
    <col min="11011" max="11011" width="9.109375" style="9"/>
    <col min="11012" max="11012" width="14.109375" style="9" customWidth="1"/>
    <col min="11013" max="11013" width="13.44140625" style="9" customWidth="1"/>
    <col min="11014" max="11014" width="15.109375" style="9" customWidth="1"/>
    <col min="11015" max="11015" width="18.109375" style="9" customWidth="1"/>
    <col min="11016" max="11016" width="18.6640625" style="9" customWidth="1"/>
    <col min="11017" max="11017" width="19.44140625" style="9" customWidth="1"/>
    <col min="11018" max="11265" width="9.109375" style="9"/>
    <col min="11266" max="11266" width="63.109375" style="9" customWidth="1"/>
    <col min="11267" max="11267" width="9.109375" style="9"/>
    <col min="11268" max="11268" width="14.109375" style="9" customWidth="1"/>
    <col min="11269" max="11269" width="13.44140625" style="9" customWidth="1"/>
    <col min="11270" max="11270" width="15.109375" style="9" customWidth="1"/>
    <col min="11271" max="11271" width="18.109375" style="9" customWidth="1"/>
    <col min="11272" max="11272" width="18.6640625" style="9" customWidth="1"/>
    <col min="11273" max="11273" width="19.44140625" style="9" customWidth="1"/>
    <col min="11274" max="11521" width="9.109375" style="9"/>
    <col min="11522" max="11522" width="63.109375" style="9" customWidth="1"/>
    <col min="11523" max="11523" width="9.109375" style="9"/>
    <col min="11524" max="11524" width="14.109375" style="9" customWidth="1"/>
    <col min="11525" max="11525" width="13.44140625" style="9" customWidth="1"/>
    <col min="11526" max="11526" width="15.109375" style="9" customWidth="1"/>
    <col min="11527" max="11527" width="18.109375" style="9" customWidth="1"/>
    <col min="11528" max="11528" width="18.6640625" style="9" customWidth="1"/>
    <col min="11529" max="11529" width="19.44140625" style="9" customWidth="1"/>
    <col min="11530" max="11777" width="9.109375" style="9"/>
    <col min="11778" max="11778" width="63.109375" style="9" customWidth="1"/>
    <col min="11779" max="11779" width="9.109375" style="9"/>
    <col min="11780" max="11780" width="14.109375" style="9" customWidth="1"/>
    <col min="11781" max="11781" width="13.44140625" style="9" customWidth="1"/>
    <col min="11782" max="11782" width="15.109375" style="9" customWidth="1"/>
    <col min="11783" max="11783" width="18.109375" style="9" customWidth="1"/>
    <col min="11784" max="11784" width="18.6640625" style="9" customWidth="1"/>
    <col min="11785" max="11785" width="19.44140625" style="9" customWidth="1"/>
    <col min="11786" max="12033" width="9.109375" style="9"/>
    <col min="12034" max="12034" width="63.109375" style="9" customWidth="1"/>
    <col min="12035" max="12035" width="9.109375" style="9"/>
    <col min="12036" max="12036" width="14.109375" style="9" customWidth="1"/>
    <col min="12037" max="12037" width="13.44140625" style="9" customWidth="1"/>
    <col min="12038" max="12038" width="15.109375" style="9" customWidth="1"/>
    <col min="12039" max="12039" width="18.109375" style="9" customWidth="1"/>
    <col min="12040" max="12040" width="18.6640625" style="9" customWidth="1"/>
    <col min="12041" max="12041" width="19.44140625" style="9" customWidth="1"/>
    <col min="12042" max="12289" width="9.109375" style="9"/>
    <col min="12290" max="12290" width="63.109375" style="9" customWidth="1"/>
    <col min="12291" max="12291" width="9.109375" style="9"/>
    <col min="12292" max="12292" width="14.109375" style="9" customWidth="1"/>
    <col min="12293" max="12293" width="13.44140625" style="9" customWidth="1"/>
    <col min="12294" max="12294" width="15.109375" style="9" customWidth="1"/>
    <col min="12295" max="12295" width="18.109375" style="9" customWidth="1"/>
    <col min="12296" max="12296" width="18.6640625" style="9" customWidth="1"/>
    <col min="12297" max="12297" width="19.44140625" style="9" customWidth="1"/>
    <col min="12298" max="12545" width="9.109375" style="9"/>
    <col min="12546" max="12546" width="63.109375" style="9" customWidth="1"/>
    <col min="12547" max="12547" width="9.109375" style="9"/>
    <col min="12548" max="12548" width="14.109375" style="9" customWidth="1"/>
    <col min="12549" max="12549" width="13.44140625" style="9" customWidth="1"/>
    <col min="12550" max="12550" width="15.109375" style="9" customWidth="1"/>
    <col min="12551" max="12551" width="18.109375" style="9" customWidth="1"/>
    <col min="12552" max="12552" width="18.6640625" style="9" customWidth="1"/>
    <col min="12553" max="12553" width="19.44140625" style="9" customWidth="1"/>
    <col min="12554" max="12801" width="9.109375" style="9"/>
    <col min="12802" max="12802" width="63.109375" style="9" customWidth="1"/>
    <col min="12803" max="12803" width="9.109375" style="9"/>
    <col min="12804" max="12804" width="14.109375" style="9" customWidth="1"/>
    <col min="12805" max="12805" width="13.44140625" style="9" customWidth="1"/>
    <col min="12806" max="12806" width="15.109375" style="9" customWidth="1"/>
    <col min="12807" max="12807" width="18.109375" style="9" customWidth="1"/>
    <col min="12808" max="12808" width="18.6640625" style="9" customWidth="1"/>
    <col min="12809" max="12809" width="19.44140625" style="9" customWidth="1"/>
    <col min="12810" max="13057" width="9.109375" style="9"/>
    <col min="13058" max="13058" width="63.109375" style="9" customWidth="1"/>
    <col min="13059" max="13059" width="9.109375" style="9"/>
    <col min="13060" max="13060" width="14.109375" style="9" customWidth="1"/>
    <col min="13061" max="13061" width="13.44140625" style="9" customWidth="1"/>
    <col min="13062" max="13062" width="15.109375" style="9" customWidth="1"/>
    <col min="13063" max="13063" width="18.109375" style="9" customWidth="1"/>
    <col min="13064" max="13064" width="18.6640625" style="9" customWidth="1"/>
    <col min="13065" max="13065" width="19.44140625" style="9" customWidth="1"/>
    <col min="13066" max="13313" width="9.109375" style="9"/>
    <col min="13314" max="13314" width="63.109375" style="9" customWidth="1"/>
    <col min="13315" max="13315" width="9.109375" style="9"/>
    <col min="13316" max="13316" width="14.109375" style="9" customWidth="1"/>
    <col min="13317" max="13317" width="13.44140625" style="9" customWidth="1"/>
    <col min="13318" max="13318" width="15.109375" style="9" customWidth="1"/>
    <col min="13319" max="13319" width="18.109375" style="9" customWidth="1"/>
    <col min="13320" max="13320" width="18.6640625" style="9" customWidth="1"/>
    <col min="13321" max="13321" width="19.44140625" style="9" customWidth="1"/>
    <col min="13322" max="13569" width="9.109375" style="9"/>
    <col min="13570" max="13570" width="63.109375" style="9" customWidth="1"/>
    <col min="13571" max="13571" width="9.109375" style="9"/>
    <col min="13572" max="13572" width="14.109375" style="9" customWidth="1"/>
    <col min="13573" max="13573" width="13.44140625" style="9" customWidth="1"/>
    <col min="13574" max="13574" width="15.109375" style="9" customWidth="1"/>
    <col min="13575" max="13575" width="18.109375" style="9" customWidth="1"/>
    <col min="13576" max="13576" width="18.6640625" style="9" customWidth="1"/>
    <col min="13577" max="13577" width="19.44140625" style="9" customWidth="1"/>
    <col min="13578" max="13825" width="9.109375" style="9"/>
    <col min="13826" max="13826" width="63.109375" style="9" customWidth="1"/>
    <col min="13827" max="13827" width="9.109375" style="9"/>
    <col min="13828" max="13828" width="14.109375" style="9" customWidth="1"/>
    <col min="13829" max="13829" width="13.44140625" style="9" customWidth="1"/>
    <col min="13830" max="13830" width="15.109375" style="9" customWidth="1"/>
    <col min="13831" max="13831" width="18.109375" style="9" customWidth="1"/>
    <col min="13832" max="13832" width="18.6640625" style="9" customWidth="1"/>
    <col min="13833" max="13833" width="19.44140625" style="9" customWidth="1"/>
    <col min="13834" max="14081" width="9.109375" style="9"/>
    <col min="14082" max="14082" width="63.109375" style="9" customWidth="1"/>
    <col min="14083" max="14083" width="9.109375" style="9"/>
    <col min="14084" max="14084" width="14.109375" style="9" customWidth="1"/>
    <col min="14085" max="14085" width="13.44140625" style="9" customWidth="1"/>
    <col min="14086" max="14086" width="15.109375" style="9" customWidth="1"/>
    <col min="14087" max="14087" width="18.109375" style="9" customWidth="1"/>
    <col min="14088" max="14088" width="18.6640625" style="9" customWidth="1"/>
    <col min="14089" max="14089" width="19.44140625" style="9" customWidth="1"/>
    <col min="14090" max="14337" width="9.109375" style="9"/>
    <col min="14338" max="14338" width="63.109375" style="9" customWidth="1"/>
    <col min="14339" max="14339" width="9.109375" style="9"/>
    <col min="14340" max="14340" width="14.109375" style="9" customWidth="1"/>
    <col min="14341" max="14341" width="13.44140625" style="9" customWidth="1"/>
    <col min="14342" max="14342" width="15.109375" style="9" customWidth="1"/>
    <col min="14343" max="14343" width="18.109375" style="9" customWidth="1"/>
    <col min="14344" max="14344" width="18.6640625" style="9" customWidth="1"/>
    <col min="14345" max="14345" width="19.44140625" style="9" customWidth="1"/>
    <col min="14346" max="14593" width="9.109375" style="9"/>
    <col min="14594" max="14594" width="63.109375" style="9" customWidth="1"/>
    <col min="14595" max="14595" width="9.109375" style="9"/>
    <col min="14596" max="14596" width="14.109375" style="9" customWidth="1"/>
    <col min="14597" max="14597" width="13.44140625" style="9" customWidth="1"/>
    <col min="14598" max="14598" width="15.109375" style="9" customWidth="1"/>
    <col min="14599" max="14599" width="18.109375" style="9" customWidth="1"/>
    <col min="14600" max="14600" width="18.6640625" style="9" customWidth="1"/>
    <col min="14601" max="14601" width="19.44140625" style="9" customWidth="1"/>
    <col min="14602" max="14849" width="9.109375" style="9"/>
    <col min="14850" max="14850" width="63.109375" style="9" customWidth="1"/>
    <col min="14851" max="14851" width="9.109375" style="9"/>
    <col min="14852" max="14852" width="14.109375" style="9" customWidth="1"/>
    <col min="14853" max="14853" width="13.44140625" style="9" customWidth="1"/>
    <col min="14854" max="14854" width="15.109375" style="9" customWidth="1"/>
    <col min="14855" max="14855" width="18.109375" style="9" customWidth="1"/>
    <col min="14856" max="14856" width="18.6640625" style="9" customWidth="1"/>
    <col min="14857" max="14857" width="19.44140625" style="9" customWidth="1"/>
    <col min="14858" max="15105" width="9.109375" style="9"/>
    <col min="15106" max="15106" width="63.109375" style="9" customWidth="1"/>
    <col min="15107" max="15107" width="9.109375" style="9"/>
    <col min="15108" max="15108" width="14.109375" style="9" customWidth="1"/>
    <col min="15109" max="15109" width="13.44140625" style="9" customWidth="1"/>
    <col min="15110" max="15110" width="15.109375" style="9" customWidth="1"/>
    <col min="15111" max="15111" width="18.109375" style="9" customWidth="1"/>
    <col min="15112" max="15112" width="18.6640625" style="9" customWidth="1"/>
    <col min="15113" max="15113" width="19.44140625" style="9" customWidth="1"/>
    <col min="15114" max="15361" width="9.109375" style="9"/>
    <col min="15362" max="15362" width="63.109375" style="9" customWidth="1"/>
    <col min="15363" max="15363" width="9.109375" style="9"/>
    <col min="15364" max="15364" width="14.109375" style="9" customWidth="1"/>
    <col min="15365" max="15365" width="13.44140625" style="9" customWidth="1"/>
    <col min="15366" max="15366" width="15.109375" style="9" customWidth="1"/>
    <col min="15367" max="15367" width="18.109375" style="9" customWidth="1"/>
    <col min="15368" max="15368" width="18.6640625" style="9" customWidth="1"/>
    <col min="15369" max="15369" width="19.44140625" style="9" customWidth="1"/>
    <col min="15370" max="15617" width="9.109375" style="9"/>
    <col min="15618" max="15618" width="63.109375" style="9" customWidth="1"/>
    <col min="15619" max="15619" width="9.109375" style="9"/>
    <col min="15620" max="15620" width="14.109375" style="9" customWidth="1"/>
    <col min="15621" max="15621" width="13.44140625" style="9" customWidth="1"/>
    <col min="15622" max="15622" width="15.109375" style="9" customWidth="1"/>
    <col min="15623" max="15623" width="18.109375" style="9" customWidth="1"/>
    <col min="15624" max="15624" width="18.6640625" style="9" customWidth="1"/>
    <col min="15625" max="15625" width="19.44140625" style="9" customWidth="1"/>
    <col min="15626" max="15873" width="9.109375" style="9"/>
    <col min="15874" max="15874" width="63.109375" style="9" customWidth="1"/>
    <col min="15875" max="15875" width="9.109375" style="9"/>
    <col min="15876" max="15876" width="14.109375" style="9" customWidth="1"/>
    <col min="15877" max="15877" width="13.44140625" style="9" customWidth="1"/>
    <col min="15878" max="15878" width="15.109375" style="9" customWidth="1"/>
    <col min="15879" max="15879" width="18.109375" style="9" customWidth="1"/>
    <col min="15880" max="15880" width="18.6640625" style="9" customWidth="1"/>
    <col min="15881" max="15881" width="19.44140625" style="9" customWidth="1"/>
    <col min="15882" max="16129" width="9.109375" style="9"/>
    <col min="16130" max="16130" width="63.109375" style="9" customWidth="1"/>
    <col min="16131" max="16131" width="9.109375" style="9"/>
    <col min="16132" max="16132" width="14.109375" style="9" customWidth="1"/>
    <col min="16133" max="16133" width="13.44140625" style="9" customWidth="1"/>
    <col min="16134" max="16134" width="15.109375" style="9" customWidth="1"/>
    <col min="16135" max="16135" width="18.109375" style="9" customWidth="1"/>
    <col min="16136" max="16136" width="18.6640625" style="9" customWidth="1"/>
    <col min="16137" max="16137" width="19.44140625" style="9" customWidth="1"/>
    <col min="16138" max="16384" width="9.109375" style="9"/>
  </cols>
  <sheetData>
    <row r="1" spans="1:9" x14ac:dyDescent="0.3">
      <c r="A1" s="1388" t="s">
        <v>22</v>
      </c>
      <c r="B1" s="1389" t="s">
        <v>1</v>
      </c>
      <c r="C1" s="1390" t="s">
        <v>23</v>
      </c>
      <c r="D1" s="1391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9" x14ac:dyDescent="0.3">
      <c r="A2" s="1388"/>
      <c r="B2" s="1389"/>
      <c r="C2" s="1390"/>
      <c r="D2" s="1391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9" x14ac:dyDescent="0.3">
      <c r="A3" s="17" t="s">
        <v>32</v>
      </c>
      <c r="B3" s="18" t="s">
        <v>731</v>
      </c>
      <c r="C3" s="171"/>
      <c r="D3" s="172"/>
      <c r="E3" s="90"/>
      <c r="F3" s="90"/>
      <c r="G3" s="91"/>
      <c r="H3" s="91"/>
      <c r="I3" s="91"/>
    </row>
    <row r="4" spans="1:9" s="22" customFormat="1" x14ac:dyDescent="0.3">
      <c r="A4" s="39" t="s">
        <v>282</v>
      </c>
      <c r="B4" s="451" t="s">
        <v>1211</v>
      </c>
      <c r="C4" s="418" t="s">
        <v>74</v>
      </c>
      <c r="D4" s="144">
        <f>2*23</f>
        <v>46</v>
      </c>
      <c r="E4" s="145">
        <v>1300</v>
      </c>
      <c r="F4" s="94">
        <v>5420</v>
      </c>
      <c r="G4" s="95">
        <f t="shared" ref="G4:G10" si="0">D4*E4</f>
        <v>59800</v>
      </c>
      <c r="H4" s="95">
        <f t="shared" ref="H4:H10" si="1">D4*F4</f>
        <v>249320</v>
      </c>
      <c r="I4" s="95">
        <f t="shared" ref="I4:I10" si="2">G4+H4</f>
        <v>309120</v>
      </c>
    </row>
    <row r="5" spans="1:9" s="22" customFormat="1" x14ac:dyDescent="0.3">
      <c r="A5" s="39" t="s">
        <v>35</v>
      </c>
      <c r="B5" s="143" t="s">
        <v>732</v>
      </c>
      <c r="C5" s="418" t="s">
        <v>74</v>
      </c>
      <c r="D5" s="418">
        <f>((2.68+1.73)*2*75.53+(2.68*1.73)*2-(1.35*2.2*23+1.35*2.26))+((2.28+2.18)*2*2*75.53++(2.28*2.18)*2*2-(1.15*2.2*23+1.15*2.26)*2)</f>
        <v>1849.8452000000002</v>
      </c>
      <c r="E5" s="163">
        <v>35</v>
      </c>
      <c r="F5" s="163"/>
      <c r="G5" s="95">
        <f t="shared" si="0"/>
        <v>64744.582000000009</v>
      </c>
      <c r="H5" s="95">
        <f t="shared" si="1"/>
        <v>0</v>
      </c>
      <c r="I5" s="95">
        <f t="shared" si="2"/>
        <v>64744.582000000009</v>
      </c>
    </row>
    <row r="6" spans="1:9" x14ac:dyDescent="0.3">
      <c r="A6" s="23" t="s">
        <v>421</v>
      </c>
      <c r="B6" s="150" t="s">
        <v>733</v>
      </c>
      <c r="C6" s="82" t="s">
        <v>79</v>
      </c>
      <c r="D6" s="129">
        <f>D5*0.2</f>
        <v>369.96904000000006</v>
      </c>
      <c r="E6" s="452"/>
      <c r="F6" s="452">
        <v>74.5</v>
      </c>
      <c r="G6" s="99">
        <f t="shared" si="0"/>
        <v>0</v>
      </c>
      <c r="H6" s="99">
        <f t="shared" si="1"/>
        <v>27562.693480000005</v>
      </c>
      <c r="I6" s="99">
        <f t="shared" si="2"/>
        <v>27562.693480000005</v>
      </c>
    </row>
    <row r="7" spans="1:9" s="22" customFormat="1" x14ac:dyDescent="0.3">
      <c r="A7" s="39" t="s">
        <v>37</v>
      </c>
      <c r="B7" s="143" t="s">
        <v>734</v>
      </c>
      <c r="C7" s="418" t="s">
        <v>74</v>
      </c>
      <c r="D7" s="418">
        <v>35</v>
      </c>
      <c r="E7" s="163">
        <v>100</v>
      </c>
      <c r="F7" s="163"/>
      <c r="G7" s="95">
        <f t="shared" si="0"/>
        <v>3500</v>
      </c>
      <c r="H7" s="95">
        <f t="shared" si="1"/>
        <v>0</v>
      </c>
      <c r="I7" s="95">
        <f t="shared" si="2"/>
        <v>3500</v>
      </c>
    </row>
    <row r="8" spans="1:9" x14ac:dyDescent="0.3">
      <c r="A8" s="23" t="s">
        <v>470</v>
      </c>
      <c r="B8" s="453" t="s">
        <v>735</v>
      </c>
      <c r="C8" s="82" t="s">
        <v>79</v>
      </c>
      <c r="D8" s="129">
        <f>D7*0.2</f>
        <v>7</v>
      </c>
      <c r="E8" s="452"/>
      <c r="F8" s="452">
        <v>312.86</v>
      </c>
      <c r="G8" s="165">
        <f t="shared" si="0"/>
        <v>0</v>
      </c>
      <c r="H8" s="165">
        <f t="shared" si="1"/>
        <v>2190.02</v>
      </c>
      <c r="I8" s="165">
        <f t="shared" si="2"/>
        <v>2190.02</v>
      </c>
    </row>
    <row r="9" spans="1:9" ht="45.1" x14ac:dyDescent="0.3">
      <c r="A9" s="39" t="s">
        <v>39</v>
      </c>
      <c r="B9" s="180" t="s">
        <v>1212</v>
      </c>
      <c r="C9" s="82" t="s">
        <v>44</v>
      </c>
      <c r="D9" s="129">
        <v>1</v>
      </c>
      <c r="E9" s="109">
        <f>671253.33*1.2</f>
        <v>805503.99599999993</v>
      </c>
      <c r="F9" s="109">
        <f>2410431*1.2</f>
        <v>2892517.1999999997</v>
      </c>
      <c r="G9" s="165">
        <f t="shared" si="0"/>
        <v>805503.99599999993</v>
      </c>
      <c r="H9" s="165">
        <f t="shared" si="1"/>
        <v>2892517.1999999997</v>
      </c>
      <c r="I9" s="165">
        <f t="shared" si="2"/>
        <v>3698021.1959999995</v>
      </c>
    </row>
    <row r="10" spans="1:9" ht="87.65" thickBot="1" x14ac:dyDescent="0.35">
      <c r="A10" s="39" t="s">
        <v>495</v>
      </c>
      <c r="B10" s="454" t="s">
        <v>1213</v>
      </c>
      <c r="C10" s="82" t="s">
        <v>44</v>
      </c>
      <c r="D10" s="129">
        <v>2</v>
      </c>
      <c r="E10" s="109">
        <f>671253.33*1.2</f>
        <v>805503.99599999993</v>
      </c>
      <c r="F10" s="109">
        <f>2469923*1.2</f>
        <v>2963907.6</v>
      </c>
      <c r="G10" s="165">
        <f t="shared" si="0"/>
        <v>1611007.9919999999</v>
      </c>
      <c r="H10" s="165">
        <f t="shared" si="1"/>
        <v>5927815.2000000002</v>
      </c>
      <c r="I10" s="165">
        <f t="shared" si="2"/>
        <v>7538823.1919999998</v>
      </c>
    </row>
    <row r="11" spans="1:9" ht="15.65" thickBot="1" x14ac:dyDescent="0.35">
      <c r="A11" s="455"/>
      <c r="B11" s="456"/>
      <c r="C11" s="457"/>
      <c r="D11" s="457"/>
      <c r="E11" s="457"/>
      <c r="F11" s="458" t="s">
        <v>1209</v>
      </c>
      <c r="G11" s="459">
        <f>SUM(G4:G10)</f>
        <v>2544556.5699999998</v>
      </c>
      <c r="H11" s="459">
        <f>SUM(H4:H10)</f>
        <v>9099405.1134799998</v>
      </c>
      <c r="I11" s="459">
        <f>SUM(I4:I10)</f>
        <v>11643961.683479998</v>
      </c>
    </row>
    <row r="40" spans="1:9" ht="63.1" customHeight="1" x14ac:dyDescent="0.3">
      <c r="A40" s="460"/>
      <c r="B40" s="461"/>
      <c r="C40" s="462"/>
      <c r="D40" s="462"/>
      <c r="E40" s="462"/>
      <c r="F40" s="462"/>
      <c r="G40" s="462"/>
      <c r="H40" s="462"/>
      <c r="I40" s="462"/>
    </row>
    <row r="41" spans="1:9" ht="63.1" customHeight="1" x14ac:dyDescent="0.3"/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1"/>
  <sheetViews>
    <sheetView zoomScale="120" zoomScaleNormal="120" workbookViewId="0">
      <pane ySplit="3" topLeftCell="A4" activePane="bottomLeft" state="frozen"/>
      <selection pane="bottomLeft" activeCell="A4" sqref="A4:XFD222"/>
    </sheetView>
  </sheetViews>
  <sheetFormatPr defaultColWidth="141" defaultRowHeight="13.15" outlineLevelRow="2" x14ac:dyDescent="0.25"/>
  <cols>
    <col min="1" max="1" width="7.88671875" style="7" bestFit="1" customWidth="1"/>
    <col min="2" max="2" width="107.88671875" style="7" bestFit="1" customWidth="1"/>
    <col min="3" max="3" width="7.33203125" style="553" bestFit="1" customWidth="1"/>
    <col min="4" max="4" width="11" style="553" bestFit="1" customWidth="1"/>
    <col min="5" max="5" width="9.88671875" style="553" bestFit="1" customWidth="1"/>
    <col min="6" max="7" width="11.33203125" style="553" bestFit="1" customWidth="1"/>
    <col min="8" max="9" width="12.33203125" style="553" bestFit="1" customWidth="1"/>
    <col min="10" max="10" width="141" style="7"/>
    <col min="11" max="11" width="7.5546875" style="7" bestFit="1" customWidth="1"/>
    <col min="12" max="16384" width="141" style="7"/>
  </cols>
  <sheetData>
    <row r="1" spans="1:9" x14ac:dyDescent="0.25">
      <c r="A1" s="1489" t="s">
        <v>1215</v>
      </c>
      <c r="B1" s="1489"/>
      <c r="C1" s="1489"/>
      <c r="D1" s="1489"/>
      <c r="E1" s="1489"/>
      <c r="F1" s="1489"/>
      <c r="G1" s="1489"/>
      <c r="H1" s="1489"/>
      <c r="I1" s="1489"/>
    </row>
    <row r="2" spans="1:9" x14ac:dyDescent="0.25">
      <c r="A2" s="1490" t="s">
        <v>22</v>
      </c>
      <c r="B2" s="1491" t="s">
        <v>1216</v>
      </c>
      <c r="C2" s="1492" t="s">
        <v>23</v>
      </c>
      <c r="D2" s="1492" t="s">
        <v>882</v>
      </c>
      <c r="E2" s="1489" t="s">
        <v>883</v>
      </c>
      <c r="F2" s="1489"/>
      <c r="G2" s="1489" t="s">
        <v>1217</v>
      </c>
      <c r="H2" s="1489"/>
      <c r="I2" s="1492" t="s">
        <v>1218</v>
      </c>
    </row>
    <row r="3" spans="1:9" x14ac:dyDescent="0.25">
      <c r="A3" s="1490"/>
      <c r="B3" s="1491"/>
      <c r="C3" s="1492"/>
      <c r="D3" s="1492"/>
      <c r="E3" s="463" t="s">
        <v>1219</v>
      </c>
      <c r="F3" s="463" t="s">
        <v>1220</v>
      </c>
      <c r="G3" s="464" t="s">
        <v>1219</v>
      </c>
      <c r="H3" s="463" t="s">
        <v>1220</v>
      </c>
      <c r="I3" s="1492"/>
    </row>
    <row r="4" spans="1:9" collapsed="1" x14ac:dyDescent="0.25">
      <c r="A4" s="465">
        <v>1</v>
      </c>
      <c r="B4" s="466" t="s">
        <v>1221</v>
      </c>
      <c r="C4" s="464" t="s">
        <v>318</v>
      </c>
      <c r="D4" s="464">
        <f>SUM(D5:D13)</f>
        <v>4665</v>
      </c>
      <c r="E4" s="463"/>
      <c r="F4" s="463"/>
      <c r="G4" s="463">
        <f>SUM(G5:G54)</f>
        <v>638190</v>
      </c>
      <c r="H4" s="463">
        <f>SUM(H5:H54)</f>
        <v>639515.57455300016</v>
      </c>
      <c r="I4" s="467">
        <f>SUM(G4:H4)</f>
        <v>1277705.5745530003</v>
      </c>
    </row>
    <row r="5" spans="1:9" hidden="1" outlineLevel="1" x14ac:dyDescent="0.25">
      <c r="A5" s="468" t="s">
        <v>1222</v>
      </c>
      <c r="B5" s="3" t="s">
        <v>1223</v>
      </c>
      <c r="C5" s="469" t="s">
        <v>281</v>
      </c>
      <c r="D5" s="469">
        <v>103</v>
      </c>
      <c r="E5" s="470">
        <v>280</v>
      </c>
      <c r="F5" s="470">
        <v>373.43</v>
      </c>
      <c r="G5" s="471">
        <f>PRODUCT(E5,D5)</f>
        <v>28840</v>
      </c>
      <c r="H5" s="471">
        <f>PRODUCT(F5,D5)</f>
        <v>38463.29</v>
      </c>
      <c r="I5" s="471">
        <f>SUM(G5:H5)</f>
        <v>67303.290000000008</v>
      </c>
    </row>
    <row r="6" spans="1:9" hidden="1" outlineLevel="1" x14ac:dyDescent="0.25">
      <c r="A6" s="468" t="s">
        <v>1224</v>
      </c>
      <c r="B6" s="3" t="s">
        <v>1225</v>
      </c>
      <c r="C6" s="469" t="s">
        <v>281</v>
      </c>
      <c r="D6" s="469">
        <v>68</v>
      </c>
      <c r="E6" s="472">
        <v>280</v>
      </c>
      <c r="F6" s="472">
        <v>313.05</v>
      </c>
      <c r="G6" s="471">
        <f t="shared" ref="G6:G54" si="0">PRODUCT(E6,D6)</f>
        <v>19040</v>
      </c>
      <c r="H6" s="471">
        <f t="shared" ref="H6:H54" si="1">PRODUCT(F6,D6)</f>
        <v>21287.4</v>
      </c>
      <c r="I6" s="471">
        <f t="shared" ref="I6:I54" si="2">SUM(G6:H6)</f>
        <v>40327.4</v>
      </c>
    </row>
    <row r="7" spans="1:9" hidden="1" outlineLevel="1" x14ac:dyDescent="0.25">
      <c r="A7" s="468" t="s">
        <v>1226</v>
      </c>
      <c r="B7" s="3" t="s">
        <v>1227</v>
      </c>
      <c r="C7" s="469" t="s">
        <v>281</v>
      </c>
      <c r="D7" s="469">
        <v>74</v>
      </c>
      <c r="E7" s="473">
        <v>280</v>
      </c>
      <c r="F7" s="473">
        <v>265.5</v>
      </c>
      <c r="G7" s="471">
        <f t="shared" si="0"/>
        <v>20720</v>
      </c>
      <c r="H7" s="471">
        <f t="shared" si="1"/>
        <v>19647</v>
      </c>
      <c r="I7" s="471">
        <f t="shared" si="2"/>
        <v>40367</v>
      </c>
    </row>
    <row r="8" spans="1:9" hidden="1" outlineLevel="1" x14ac:dyDescent="0.25">
      <c r="A8" s="468" t="s">
        <v>1228</v>
      </c>
      <c r="B8" s="3" t="s">
        <v>1229</v>
      </c>
      <c r="C8" s="469" t="s">
        <v>281</v>
      </c>
      <c r="D8" s="469">
        <v>45</v>
      </c>
      <c r="E8" s="474">
        <v>250</v>
      </c>
      <c r="F8" s="474">
        <v>195.9</v>
      </c>
      <c r="G8" s="471">
        <f t="shared" si="0"/>
        <v>11250</v>
      </c>
      <c r="H8" s="471">
        <f t="shared" si="1"/>
        <v>8815.5</v>
      </c>
      <c r="I8" s="471">
        <f t="shared" si="2"/>
        <v>20065.5</v>
      </c>
    </row>
    <row r="9" spans="1:9" hidden="1" outlineLevel="1" x14ac:dyDescent="0.25">
      <c r="A9" s="468" t="s">
        <v>1230</v>
      </c>
      <c r="B9" s="3" t="s">
        <v>1231</v>
      </c>
      <c r="C9" s="469" t="s">
        <v>281</v>
      </c>
      <c r="D9" s="469">
        <v>37</v>
      </c>
      <c r="E9" s="475">
        <v>200</v>
      </c>
      <c r="F9" s="475">
        <v>166.1</v>
      </c>
      <c r="G9" s="471">
        <f t="shared" si="0"/>
        <v>7400</v>
      </c>
      <c r="H9" s="471">
        <f t="shared" si="1"/>
        <v>6145.7</v>
      </c>
      <c r="I9" s="471">
        <f t="shared" si="2"/>
        <v>13545.7</v>
      </c>
    </row>
    <row r="10" spans="1:9" hidden="1" outlineLevel="1" x14ac:dyDescent="0.25">
      <c r="A10" s="468" t="s">
        <v>1232</v>
      </c>
      <c r="B10" s="3" t="s">
        <v>1233</v>
      </c>
      <c r="C10" s="469" t="s">
        <v>281</v>
      </c>
      <c r="D10" s="469">
        <v>25</v>
      </c>
      <c r="E10" s="476">
        <v>150</v>
      </c>
      <c r="F10" s="476">
        <v>135.05000000000001</v>
      </c>
      <c r="G10" s="471">
        <f t="shared" si="0"/>
        <v>3750</v>
      </c>
      <c r="H10" s="471">
        <f t="shared" si="1"/>
        <v>3376.2500000000005</v>
      </c>
      <c r="I10" s="471">
        <f t="shared" si="2"/>
        <v>7126.25</v>
      </c>
    </row>
    <row r="11" spans="1:9" hidden="1" outlineLevel="1" x14ac:dyDescent="0.25">
      <c r="A11" s="468" t="s">
        <v>1234</v>
      </c>
      <c r="B11" s="3" t="s">
        <v>1235</v>
      </c>
      <c r="C11" s="469" t="s">
        <v>281</v>
      </c>
      <c r="D11" s="469">
        <v>2913</v>
      </c>
      <c r="E11" s="477">
        <v>130</v>
      </c>
      <c r="F11" s="477">
        <v>104.69</v>
      </c>
      <c r="G11" s="471">
        <f t="shared" si="0"/>
        <v>378690</v>
      </c>
      <c r="H11" s="471">
        <f t="shared" si="1"/>
        <v>304961.96999999997</v>
      </c>
      <c r="I11" s="471">
        <f t="shared" si="2"/>
        <v>683651.97</v>
      </c>
    </row>
    <row r="12" spans="1:9" hidden="1" outlineLevel="1" x14ac:dyDescent="0.25">
      <c r="A12" s="468" t="s">
        <v>1236</v>
      </c>
      <c r="B12" s="3" t="s">
        <v>1237</v>
      </c>
      <c r="C12" s="469" t="s">
        <v>281</v>
      </c>
      <c r="D12" s="469">
        <v>941</v>
      </c>
      <c r="E12" s="478">
        <v>120</v>
      </c>
      <c r="F12" s="478">
        <v>72.56</v>
      </c>
      <c r="G12" s="471">
        <f t="shared" si="0"/>
        <v>112920</v>
      </c>
      <c r="H12" s="471">
        <f t="shared" si="1"/>
        <v>68278.960000000006</v>
      </c>
      <c r="I12" s="471">
        <f t="shared" si="2"/>
        <v>181198.96000000002</v>
      </c>
    </row>
    <row r="13" spans="1:9" hidden="1" outlineLevel="1" x14ac:dyDescent="0.25">
      <c r="A13" s="468" t="s">
        <v>1238</v>
      </c>
      <c r="B13" s="3" t="s">
        <v>1239</v>
      </c>
      <c r="C13" s="469" t="s">
        <v>281</v>
      </c>
      <c r="D13" s="469">
        <v>459</v>
      </c>
      <c r="E13" s="479">
        <v>120</v>
      </c>
      <c r="F13" s="479">
        <v>57.23</v>
      </c>
      <c r="G13" s="471">
        <f t="shared" si="0"/>
        <v>55080</v>
      </c>
      <c r="H13" s="471">
        <f t="shared" si="1"/>
        <v>26268.57</v>
      </c>
      <c r="I13" s="471">
        <f t="shared" si="2"/>
        <v>81348.570000000007</v>
      </c>
    </row>
    <row r="14" spans="1:9" hidden="1" outlineLevel="1" x14ac:dyDescent="0.25">
      <c r="A14" s="468" t="s">
        <v>1240</v>
      </c>
      <c r="B14" s="3" t="s">
        <v>1241</v>
      </c>
      <c r="C14" s="469" t="s">
        <v>96</v>
      </c>
      <c r="D14" s="469">
        <v>31</v>
      </c>
      <c r="E14" s="471">
        <v>0</v>
      </c>
      <c r="F14" s="480">
        <v>283.41000000000003</v>
      </c>
      <c r="G14" s="471">
        <f t="shared" si="0"/>
        <v>0</v>
      </c>
      <c r="H14" s="471">
        <f t="shared" si="1"/>
        <v>8785.7100000000009</v>
      </c>
      <c r="I14" s="471">
        <f t="shared" si="2"/>
        <v>8785.7100000000009</v>
      </c>
    </row>
    <row r="15" spans="1:9" hidden="1" outlineLevel="1" x14ac:dyDescent="0.25">
      <c r="A15" s="468" t="s">
        <v>1242</v>
      </c>
      <c r="B15" s="3" t="s">
        <v>1243</v>
      </c>
      <c r="C15" s="469" t="s">
        <v>96</v>
      </c>
      <c r="D15" s="469">
        <v>2</v>
      </c>
      <c r="E15" s="471">
        <v>0</v>
      </c>
      <c r="F15" s="471">
        <v>218.93</v>
      </c>
      <c r="G15" s="471">
        <f t="shared" si="0"/>
        <v>0</v>
      </c>
      <c r="H15" s="471">
        <f t="shared" si="1"/>
        <v>437.86</v>
      </c>
      <c r="I15" s="471">
        <f t="shared" si="2"/>
        <v>437.86</v>
      </c>
    </row>
    <row r="16" spans="1:9" hidden="1" outlineLevel="1" x14ac:dyDescent="0.25">
      <c r="A16" s="468" t="s">
        <v>1244</v>
      </c>
      <c r="B16" s="3" t="s">
        <v>1245</v>
      </c>
      <c r="C16" s="469" t="s">
        <v>96</v>
      </c>
      <c r="D16" s="469">
        <v>8</v>
      </c>
      <c r="E16" s="471">
        <v>0</v>
      </c>
      <c r="F16" s="480">
        <v>272</v>
      </c>
      <c r="G16" s="471">
        <f t="shared" si="0"/>
        <v>0</v>
      </c>
      <c r="H16" s="471">
        <f t="shared" si="1"/>
        <v>2176</v>
      </c>
      <c r="I16" s="471">
        <f t="shared" si="2"/>
        <v>2176</v>
      </c>
    </row>
    <row r="17" spans="1:9" hidden="1" outlineLevel="1" x14ac:dyDescent="0.25">
      <c r="A17" s="468" t="s">
        <v>1246</v>
      </c>
      <c r="B17" s="3" t="s">
        <v>1247</v>
      </c>
      <c r="C17" s="469" t="s">
        <v>96</v>
      </c>
      <c r="D17" s="469">
        <v>4</v>
      </c>
      <c r="E17" s="471">
        <v>0</v>
      </c>
      <c r="F17" s="471">
        <v>217.58</v>
      </c>
      <c r="G17" s="471">
        <f t="shared" si="0"/>
        <v>0</v>
      </c>
      <c r="H17" s="471">
        <f t="shared" si="1"/>
        <v>870.32</v>
      </c>
      <c r="I17" s="471">
        <f t="shared" si="2"/>
        <v>870.32</v>
      </c>
    </row>
    <row r="18" spans="1:9" hidden="1" outlineLevel="1" x14ac:dyDescent="0.25">
      <c r="A18" s="468" t="s">
        <v>1248</v>
      </c>
      <c r="B18" s="3" t="s">
        <v>1249</v>
      </c>
      <c r="C18" s="469" t="s">
        <v>96</v>
      </c>
      <c r="D18" s="469">
        <v>8</v>
      </c>
      <c r="E18" s="471">
        <v>0</v>
      </c>
      <c r="F18" s="480">
        <v>182.03</v>
      </c>
      <c r="G18" s="471">
        <f t="shared" si="0"/>
        <v>0</v>
      </c>
      <c r="H18" s="471">
        <f t="shared" si="1"/>
        <v>1456.24</v>
      </c>
      <c r="I18" s="471">
        <f t="shared" si="2"/>
        <v>1456.24</v>
      </c>
    </row>
    <row r="19" spans="1:9" hidden="1" outlineLevel="1" x14ac:dyDescent="0.25">
      <c r="A19" s="468" t="s">
        <v>1250</v>
      </c>
      <c r="B19" s="3" t="s">
        <v>1251</v>
      </c>
      <c r="C19" s="469" t="s">
        <v>96</v>
      </c>
      <c r="D19" s="469">
        <v>6</v>
      </c>
      <c r="E19" s="471">
        <v>0</v>
      </c>
      <c r="F19" s="471">
        <v>124.07</v>
      </c>
      <c r="G19" s="471">
        <f t="shared" si="0"/>
        <v>0</v>
      </c>
      <c r="H19" s="471">
        <f t="shared" si="1"/>
        <v>744.42</v>
      </c>
      <c r="I19" s="471">
        <f t="shared" si="2"/>
        <v>744.42</v>
      </c>
    </row>
    <row r="20" spans="1:9" hidden="1" outlineLevel="1" x14ac:dyDescent="0.25">
      <c r="A20" s="468" t="s">
        <v>1252</v>
      </c>
      <c r="B20" s="3" t="s">
        <v>1253</v>
      </c>
      <c r="C20" s="469" t="s">
        <v>96</v>
      </c>
      <c r="D20" s="469">
        <v>4</v>
      </c>
      <c r="E20" s="471">
        <v>0</v>
      </c>
      <c r="F20" s="471">
        <v>84.41</v>
      </c>
      <c r="G20" s="471">
        <f t="shared" si="0"/>
        <v>0</v>
      </c>
      <c r="H20" s="471">
        <f t="shared" si="1"/>
        <v>337.64</v>
      </c>
      <c r="I20" s="471">
        <f t="shared" si="2"/>
        <v>337.64</v>
      </c>
    </row>
    <row r="21" spans="1:9" hidden="1" outlineLevel="1" x14ac:dyDescent="0.25">
      <c r="A21" s="468" t="s">
        <v>1254</v>
      </c>
      <c r="B21" s="3" t="s">
        <v>1255</v>
      </c>
      <c r="C21" s="469" t="s">
        <v>96</v>
      </c>
      <c r="D21" s="469">
        <v>27</v>
      </c>
      <c r="E21" s="471">
        <v>0</v>
      </c>
      <c r="F21" s="480">
        <v>104</v>
      </c>
      <c r="G21" s="471">
        <f t="shared" si="0"/>
        <v>0</v>
      </c>
      <c r="H21" s="471">
        <f t="shared" si="1"/>
        <v>2808</v>
      </c>
      <c r="I21" s="471">
        <f t="shared" si="2"/>
        <v>2808</v>
      </c>
    </row>
    <row r="22" spans="1:9" hidden="1" outlineLevel="1" x14ac:dyDescent="0.25">
      <c r="A22" s="468" t="s">
        <v>1256</v>
      </c>
      <c r="B22" s="3" t="s">
        <v>1257</v>
      </c>
      <c r="C22" s="469" t="s">
        <v>96</v>
      </c>
      <c r="D22" s="469">
        <v>238</v>
      </c>
      <c r="E22" s="471">
        <v>0</v>
      </c>
      <c r="F22" s="480">
        <v>85.69</v>
      </c>
      <c r="G22" s="471">
        <f t="shared" si="0"/>
        <v>0</v>
      </c>
      <c r="H22" s="471">
        <f t="shared" si="1"/>
        <v>20394.22</v>
      </c>
      <c r="I22" s="471">
        <f t="shared" si="2"/>
        <v>20394.22</v>
      </c>
    </row>
    <row r="23" spans="1:9" hidden="1" outlineLevel="1" x14ac:dyDescent="0.25">
      <c r="A23" s="468" t="s">
        <v>1258</v>
      </c>
      <c r="B23" s="3" t="s">
        <v>1259</v>
      </c>
      <c r="C23" s="469" t="s">
        <v>96</v>
      </c>
      <c r="D23" s="469">
        <v>4</v>
      </c>
      <c r="E23" s="471">
        <v>0</v>
      </c>
      <c r="F23" s="471">
        <v>247.12</v>
      </c>
      <c r="G23" s="471">
        <f t="shared" si="0"/>
        <v>0</v>
      </c>
      <c r="H23" s="471">
        <f t="shared" si="1"/>
        <v>988.48</v>
      </c>
      <c r="I23" s="471">
        <f t="shared" si="2"/>
        <v>988.48</v>
      </c>
    </row>
    <row r="24" spans="1:9" hidden="1" outlineLevel="1" x14ac:dyDescent="0.25">
      <c r="A24" s="468" t="s">
        <v>1260</v>
      </c>
      <c r="B24" s="3" t="s">
        <v>1261</v>
      </c>
      <c r="C24" s="469" t="s">
        <v>96</v>
      </c>
      <c r="D24" s="469">
        <v>8</v>
      </c>
      <c r="E24" s="471">
        <v>0</v>
      </c>
      <c r="F24" s="471">
        <v>110.84</v>
      </c>
      <c r="G24" s="471">
        <f t="shared" si="0"/>
        <v>0</v>
      </c>
      <c r="H24" s="471">
        <f t="shared" si="1"/>
        <v>886.72</v>
      </c>
      <c r="I24" s="471">
        <f t="shared" si="2"/>
        <v>886.72</v>
      </c>
    </row>
    <row r="25" spans="1:9" hidden="1" outlineLevel="1" x14ac:dyDescent="0.25">
      <c r="A25" s="468" t="s">
        <v>1262</v>
      </c>
      <c r="B25" s="3" t="s">
        <v>1263</v>
      </c>
      <c r="C25" s="469" t="s">
        <v>96</v>
      </c>
      <c r="D25" s="469">
        <v>8</v>
      </c>
      <c r="E25" s="471">
        <v>0</v>
      </c>
      <c r="F25" s="471">
        <v>79.319999999999993</v>
      </c>
      <c r="G25" s="471">
        <f t="shared" si="0"/>
        <v>0</v>
      </c>
      <c r="H25" s="471">
        <f t="shared" si="1"/>
        <v>634.55999999999995</v>
      </c>
      <c r="I25" s="471">
        <f t="shared" si="2"/>
        <v>634.55999999999995</v>
      </c>
    </row>
    <row r="26" spans="1:9" hidden="1" outlineLevel="1" x14ac:dyDescent="0.25">
      <c r="A26" s="468" t="s">
        <v>1264</v>
      </c>
      <c r="B26" s="3" t="s">
        <v>1265</v>
      </c>
      <c r="C26" s="469" t="s">
        <v>96</v>
      </c>
      <c r="D26" s="469">
        <v>8</v>
      </c>
      <c r="E26" s="471">
        <v>0</v>
      </c>
      <c r="F26" s="471">
        <v>44.75</v>
      </c>
      <c r="G26" s="471">
        <f t="shared" si="0"/>
        <v>0</v>
      </c>
      <c r="H26" s="471">
        <f t="shared" si="1"/>
        <v>358</v>
      </c>
      <c r="I26" s="471">
        <f t="shared" si="2"/>
        <v>358</v>
      </c>
    </row>
    <row r="27" spans="1:9" hidden="1" outlineLevel="1" x14ac:dyDescent="0.25">
      <c r="A27" s="468" t="s">
        <v>1266</v>
      </c>
      <c r="B27" s="3" t="s">
        <v>1267</v>
      </c>
      <c r="C27" s="469" t="s">
        <v>96</v>
      </c>
      <c r="D27" s="469">
        <v>6</v>
      </c>
      <c r="E27" s="471">
        <v>0</v>
      </c>
      <c r="F27" s="471">
        <v>29.5</v>
      </c>
      <c r="G27" s="471">
        <f t="shared" si="0"/>
        <v>0</v>
      </c>
      <c r="H27" s="471">
        <f t="shared" si="1"/>
        <v>177</v>
      </c>
      <c r="I27" s="471">
        <f t="shared" si="2"/>
        <v>177</v>
      </c>
    </row>
    <row r="28" spans="1:9" hidden="1" outlineLevel="1" x14ac:dyDescent="0.25">
      <c r="A28" s="468" t="s">
        <v>1268</v>
      </c>
      <c r="B28" s="3" t="s">
        <v>1269</v>
      </c>
      <c r="C28" s="469" t="s">
        <v>96</v>
      </c>
      <c r="D28" s="469">
        <v>8</v>
      </c>
      <c r="E28" s="471">
        <v>0</v>
      </c>
      <c r="F28" s="471">
        <v>29.5</v>
      </c>
      <c r="G28" s="471">
        <f t="shared" si="0"/>
        <v>0</v>
      </c>
      <c r="H28" s="471">
        <f t="shared" si="1"/>
        <v>236</v>
      </c>
      <c r="I28" s="471">
        <f t="shared" si="2"/>
        <v>236</v>
      </c>
    </row>
    <row r="29" spans="1:9" hidden="1" outlineLevel="1" x14ac:dyDescent="0.25">
      <c r="A29" s="468" t="s">
        <v>1270</v>
      </c>
      <c r="B29" s="3" t="s">
        <v>1271</v>
      </c>
      <c r="C29" s="469" t="s">
        <v>96</v>
      </c>
      <c r="D29" s="469">
        <v>1446</v>
      </c>
      <c r="E29" s="471">
        <v>0</v>
      </c>
      <c r="F29" s="471">
        <v>27.46</v>
      </c>
      <c r="G29" s="471">
        <f t="shared" si="0"/>
        <v>0</v>
      </c>
      <c r="H29" s="471">
        <f t="shared" si="1"/>
        <v>39707.160000000003</v>
      </c>
      <c r="I29" s="471">
        <f t="shared" si="2"/>
        <v>39707.160000000003</v>
      </c>
    </row>
    <row r="30" spans="1:9" hidden="1" outlineLevel="1" x14ac:dyDescent="0.25">
      <c r="A30" s="468" t="s">
        <v>1272</v>
      </c>
      <c r="B30" s="3" t="s">
        <v>1273</v>
      </c>
      <c r="C30" s="469" t="s">
        <v>96</v>
      </c>
      <c r="D30" s="469">
        <v>2</v>
      </c>
      <c r="E30" s="471">
        <v>0</v>
      </c>
      <c r="F30" s="471">
        <v>1294.2</v>
      </c>
      <c r="G30" s="471">
        <f t="shared" si="0"/>
        <v>0</v>
      </c>
      <c r="H30" s="471">
        <f t="shared" si="1"/>
        <v>2588.4</v>
      </c>
      <c r="I30" s="471">
        <f t="shared" si="2"/>
        <v>2588.4</v>
      </c>
    </row>
    <row r="31" spans="1:9" hidden="1" outlineLevel="1" x14ac:dyDescent="0.25">
      <c r="A31" s="468" t="s">
        <v>1274</v>
      </c>
      <c r="B31" s="3" t="s">
        <v>1275</v>
      </c>
      <c r="C31" s="469" t="s">
        <v>96</v>
      </c>
      <c r="D31" s="469">
        <v>4</v>
      </c>
      <c r="E31" s="471">
        <v>0</v>
      </c>
      <c r="F31" s="471">
        <v>249.51</v>
      </c>
      <c r="G31" s="471">
        <f t="shared" si="0"/>
        <v>0</v>
      </c>
      <c r="H31" s="471">
        <f t="shared" si="1"/>
        <v>998.04</v>
      </c>
      <c r="I31" s="471">
        <f t="shared" si="2"/>
        <v>998.04</v>
      </c>
    </row>
    <row r="32" spans="1:9" hidden="1" outlineLevel="1" x14ac:dyDescent="0.25">
      <c r="A32" s="468" t="s">
        <v>1276</v>
      </c>
      <c r="B32" s="3" t="s">
        <v>1277</v>
      </c>
      <c r="C32" s="469" t="s">
        <v>96</v>
      </c>
      <c r="D32" s="469">
        <v>2</v>
      </c>
      <c r="E32" s="471">
        <v>0</v>
      </c>
      <c r="F32" s="471">
        <v>25.43</v>
      </c>
      <c r="G32" s="471">
        <f t="shared" si="0"/>
        <v>0</v>
      </c>
      <c r="H32" s="471">
        <f t="shared" si="1"/>
        <v>50.86</v>
      </c>
      <c r="I32" s="471">
        <f t="shared" si="2"/>
        <v>50.86</v>
      </c>
    </row>
    <row r="33" spans="1:9" hidden="1" outlineLevel="1" x14ac:dyDescent="0.25">
      <c r="A33" s="468" t="s">
        <v>1278</v>
      </c>
      <c r="B33" s="3" t="s">
        <v>1279</v>
      </c>
      <c r="C33" s="469" t="s">
        <v>96</v>
      </c>
      <c r="D33" s="469">
        <v>2</v>
      </c>
      <c r="E33" s="471">
        <v>0</v>
      </c>
      <c r="F33" s="471">
        <v>25.49</v>
      </c>
      <c r="G33" s="471">
        <f t="shared" si="0"/>
        <v>0</v>
      </c>
      <c r="H33" s="471">
        <f t="shared" si="1"/>
        <v>50.98</v>
      </c>
      <c r="I33" s="471">
        <f t="shared" si="2"/>
        <v>50.98</v>
      </c>
    </row>
    <row r="34" spans="1:9" hidden="1" outlineLevel="1" x14ac:dyDescent="0.25">
      <c r="A34" s="468" t="s">
        <v>1280</v>
      </c>
      <c r="B34" s="481" t="s">
        <v>1281</v>
      </c>
      <c r="C34" s="482" t="s">
        <v>96</v>
      </c>
      <c r="D34" s="483">
        <v>150</v>
      </c>
      <c r="E34" s="471">
        <v>0</v>
      </c>
      <c r="F34" s="471">
        <v>14</v>
      </c>
      <c r="G34" s="471">
        <f t="shared" si="0"/>
        <v>0</v>
      </c>
      <c r="H34" s="471">
        <f t="shared" si="1"/>
        <v>2100</v>
      </c>
      <c r="I34" s="471">
        <f t="shared" si="2"/>
        <v>2100</v>
      </c>
    </row>
    <row r="35" spans="1:9" hidden="1" outlineLevel="1" x14ac:dyDescent="0.25">
      <c r="A35" s="468" t="s">
        <v>1282</v>
      </c>
      <c r="B35" s="481" t="s">
        <v>1283</v>
      </c>
      <c r="C35" s="482" t="s">
        <v>96</v>
      </c>
      <c r="D35" s="483">
        <v>52</v>
      </c>
      <c r="E35" s="471">
        <v>0</v>
      </c>
      <c r="F35" s="471">
        <v>14</v>
      </c>
      <c r="G35" s="471">
        <f t="shared" si="0"/>
        <v>0</v>
      </c>
      <c r="H35" s="471">
        <f t="shared" si="1"/>
        <v>728</v>
      </c>
      <c r="I35" s="471">
        <f t="shared" si="2"/>
        <v>728</v>
      </c>
    </row>
    <row r="36" spans="1:9" hidden="1" outlineLevel="1" x14ac:dyDescent="0.25">
      <c r="A36" s="468" t="s">
        <v>1284</v>
      </c>
      <c r="B36" s="481" t="s">
        <v>1285</v>
      </c>
      <c r="C36" s="482" t="s">
        <v>96</v>
      </c>
      <c r="D36" s="483">
        <v>104</v>
      </c>
      <c r="E36" s="471">
        <v>0</v>
      </c>
      <c r="F36" s="471">
        <v>11</v>
      </c>
      <c r="G36" s="471">
        <f t="shared" si="0"/>
        <v>0</v>
      </c>
      <c r="H36" s="471">
        <f t="shared" si="1"/>
        <v>1144</v>
      </c>
      <c r="I36" s="471">
        <f t="shared" si="2"/>
        <v>1144</v>
      </c>
    </row>
    <row r="37" spans="1:9" hidden="1" outlineLevel="1" x14ac:dyDescent="0.25">
      <c r="A37" s="468" t="s">
        <v>1286</v>
      </c>
      <c r="B37" s="484" t="s">
        <v>1287</v>
      </c>
      <c r="C37" s="482" t="s">
        <v>96</v>
      </c>
      <c r="D37" s="483">
        <v>24</v>
      </c>
      <c r="E37" s="471">
        <v>0</v>
      </c>
      <c r="F37" s="480">
        <v>88.66</v>
      </c>
      <c r="G37" s="471">
        <f t="shared" si="0"/>
        <v>0</v>
      </c>
      <c r="H37" s="471">
        <f t="shared" si="1"/>
        <v>2127.84</v>
      </c>
      <c r="I37" s="471">
        <f t="shared" si="2"/>
        <v>2127.84</v>
      </c>
    </row>
    <row r="38" spans="1:9" hidden="1" outlineLevel="1" x14ac:dyDescent="0.25">
      <c r="A38" s="468" t="s">
        <v>1288</v>
      </c>
      <c r="B38" s="484" t="s">
        <v>1289</v>
      </c>
      <c r="C38" s="482" t="s">
        <v>96</v>
      </c>
      <c r="D38" s="483">
        <v>58</v>
      </c>
      <c r="E38" s="471">
        <v>0</v>
      </c>
      <c r="F38" s="480">
        <v>185.38</v>
      </c>
      <c r="G38" s="471">
        <f t="shared" si="0"/>
        <v>0</v>
      </c>
      <c r="H38" s="471">
        <f t="shared" si="1"/>
        <v>10752.039999999999</v>
      </c>
      <c r="I38" s="471">
        <f t="shared" si="2"/>
        <v>10752.039999999999</v>
      </c>
    </row>
    <row r="39" spans="1:9" hidden="1" outlineLevel="1" x14ac:dyDescent="0.25">
      <c r="A39" s="468" t="s">
        <v>1290</v>
      </c>
      <c r="B39" s="3" t="s">
        <v>1291</v>
      </c>
      <c r="C39" s="469" t="s">
        <v>96</v>
      </c>
      <c r="D39" s="469">
        <v>1</v>
      </c>
      <c r="E39" s="471">
        <v>500</v>
      </c>
      <c r="F39" s="471">
        <v>1500</v>
      </c>
      <c r="G39" s="471">
        <f t="shared" si="0"/>
        <v>500</v>
      </c>
      <c r="H39" s="471">
        <f t="shared" si="1"/>
        <v>1500</v>
      </c>
      <c r="I39" s="471">
        <f t="shared" si="2"/>
        <v>2000</v>
      </c>
    </row>
    <row r="40" spans="1:9" hidden="1" outlineLevel="1" x14ac:dyDescent="0.25">
      <c r="A40" s="468" t="s">
        <v>1292</v>
      </c>
      <c r="B40" s="3" t="s">
        <v>1293</v>
      </c>
      <c r="C40" s="469" t="s">
        <v>96</v>
      </c>
      <c r="D40" s="469">
        <v>5</v>
      </c>
      <c r="E40" s="471">
        <v>0</v>
      </c>
      <c r="F40" s="471">
        <v>53.04</v>
      </c>
      <c r="G40" s="471">
        <f t="shared" si="0"/>
        <v>0</v>
      </c>
      <c r="H40" s="471">
        <f t="shared" si="1"/>
        <v>265.2</v>
      </c>
      <c r="I40" s="471">
        <f t="shared" si="2"/>
        <v>265.2</v>
      </c>
    </row>
    <row r="41" spans="1:9" hidden="1" outlineLevel="1" x14ac:dyDescent="0.25">
      <c r="A41" s="468" t="s">
        <v>1294</v>
      </c>
      <c r="B41" s="3" t="s">
        <v>1295</v>
      </c>
      <c r="C41" s="469" t="s">
        <v>96</v>
      </c>
      <c r="D41" s="469">
        <v>30</v>
      </c>
      <c r="E41" s="471">
        <v>0</v>
      </c>
      <c r="F41" s="471">
        <v>50.71</v>
      </c>
      <c r="G41" s="471">
        <f t="shared" si="0"/>
        <v>0</v>
      </c>
      <c r="H41" s="471">
        <f t="shared" si="1"/>
        <v>1521.3</v>
      </c>
      <c r="I41" s="471">
        <f t="shared" si="2"/>
        <v>1521.3</v>
      </c>
    </row>
    <row r="42" spans="1:9" hidden="1" outlineLevel="1" x14ac:dyDescent="0.25">
      <c r="A42" s="468" t="s">
        <v>1296</v>
      </c>
      <c r="B42" s="3" t="s">
        <v>1297</v>
      </c>
      <c r="C42" s="469" t="s">
        <v>96</v>
      </c>
      <c r="D42" s="469">
        <v>25</v>
      </c>
      <c r="E42" s="471">
        <v>0</v>
      </c>
      <c r="F42" s="471">
        <v>51.94</v>
      </c>
      <c r="G42" s="471">
        <f t="shared" si="0"/>
        <v>0</v>
      </c>
      <c r="H42" s="471">
        <f t="shared" si="1"/>
        <v>1298.5</v>
      </c>
      <c r="I42" s="471">
        <f t="shared" si="2"/>
        <v>1298.5</v>
      </c>
    </row>
    <row r="43" spans="1:9" hidden="1" outlineLevel="1" x14ac:dyDescent="0.25">
      <c r="A43" s="468" t="s">
        <v>1298</v>
      </c>
      <c r="B43" s="3" t="s">
        <v>1299</v>
      </c>
      <c r="C43" s="469" t="s">
        <v>96</v>
      </c>
      <c r="D43" s="469">
        <v>20</v>
      </c>
      <c r="E43" s="471">
        <v>0</v>
      </c>
      <c r="F43" s="471">
        <v>37.94</v>
      </c>
      <c r="G43" s="471">
        <f t="shared" si="0"/>
        <v>0</v>
      </c>
      <c r="H43" s="471">
        <f t="shared" si="1"/>
        <v>758.8</v>
      </c>
      <c r="I43" s="471">
        <f t="shared" si="2"/>
        <v>758.8</v>
      </c>
    </row>
    <row r="44" spans="1:9" hidden="1" outlineLevel="1" x14ac:dyDescent="0.25">
      <c r="A44" s="468" t="s">
        <v>1300</v>
      </c>
      <c r="B44" s="3" t="s">
        <v>1301</v>
      </c>
      <c r="C44" s="469" t="s">
        <v>96</v>
      </c>
      <c r="D44" s="469">
        <v>15</v>
      </c>
      <c r="E44" s="471">
        <v>0</v>
      </c>
      <c r="F44" s="471">
        <v>41.59</v>
      </c>
      <c r="G44" s="471">
        <f t="shared" si="0"/>
        <v>0</v>
      </c>
      <c r="H44" s="471">
        <f t="shared" si="1"/>
        <v>623.85</v>
      </c>
      <c r="I44" s="471">
        <f t="shared" si="2"/>
        <v>623.85</v>
      </c>
    </row>
    <row r="45" spans="1:9" hidden="1" outlineLevel="1" x14ac:dyDescent="0.25">
      <c r="A45" s="468" t="s">
        <v>1302</v>
      </c>
      <c r="B45" s="3" t="s">
        <v>1303</v>
      </c>
      <c r="C45" s="469" t="s">
        <v>96</v>
      </c>
      <c r="D45" s="469">
        <v>20</v>
      </c>
      <c r="E45" s="471">
        <v>0</v>
      </c>
      <c r="F45" s="471">
        <v>32.74</v>
      </c>
      <c r="G45" s="471">
        <f t="shared" si="0"/>
        <v>0</v>
      </c>
      <c r="H45" s="471">
        <f t="shared" si="1"/>
        <v>654.80000000000007</v>
      </c>
      <c r="I45" s="471">
        <f t="shared" si="2"/>
        <v>654.80000000000007</v>
      </c>
    </row>
    <row r="46" spans="1:9" hidden="1" outlineLevel="1" x14ac:dyDescent="0.25">
      <c r="A46" s="468" t="s">
        <v>1304</v>
      </c>
      <c r="B46" s="3" t="s">
        <v>1305</v>
      </c>
      <c r="C46" s="469" t="s">
        <v>96</v>
      </c>
      <c r="D46" s="469">
        <v>30</v>
      </c>
      <c r="E46" s="471">
        <v>0</v>
      </c>
      <c r="F46" s="471">
        <v>144.22999999999999</v>
      </c>
      <c r="G46" s="471">
        <f t="shared" si="0"/>
        <v>0</v>
      </c>
      <c r="H46" s="471">
        <f t="shared" si="1"/>
        <v>4326.8999999999996</v>
      </c>
      <c r="I46" s="471">
        <f t="shared" si="2"/>
        <v>4326.8999999999996</v>
      </c>
    </row>
    <row r="47" spans="1:9" hidden="1" outlineLevel="1" x14ac:dyDescent="0.25">
      <c r="A47" s="468" t="s">
        <v>1306</v>
      </c>
      <c r="B47" s="3" t="s">
        <v>1307</v>
      </c>
      <c r="C47" s="469" t="s">
        <v>96</v>
      </c>
      <c r="D47" s="469">
        <v>27</v>
      </c>
      <c r="E47" s="471">
        <v>0</v>
      </c>
      <c r="F47" s="471">
        <v>109.42</v>
      </c>
      <c r="G47" s="471">
        <f t="shared" si="0"/>
        <v>0</v>
      </c>
      <c r="H47" s="471">
        <f t="shared" si="1"/>
        <v>2954.34</v>
      </c>
      <c r="I47" s="471">
        <f t="shared" si="2"/>
        <v>2954.34</v>
      </c>
    </row>
    <row r="48" spans="1:9" hidden="1" outlineLevel="1" x14ac:dyDescent="0.25">
      <c r="A48" s="468" t="s">
        <v>1308</v>
      </c>
      <c r="B48" s="3" t="s">
        <v>1309</v>
      </c>
      <c r="C48" s="469" t="s">
        <v>96</v>
      </c>
      <c r="D48" s="469">
        <v>60</v>
      </c>
      <c r="E48" s="471">
        <v>0</v>
      </c>
      <c r="F48" s="471">
        <v>7.41</v>
      </c>
      <c r="G48" s="471">
        <f t="shared" si="0"/>
        <v>0</v>
      </c>
      <c r="H48" s="471">
        <f t="shared" si="1"/>
        <v>444.6</v>
      </c>
      <c r="I48" s="471">
        <f t="shared" si="2"/>
        <v>444.6</v>
      </c>
    </row>
    <row r="49" spans="1:9" hidden="1" outlineLevel="1" x14ac:dyDescent="0.25">
      <c r="A49" s="468" t="s">
        <v>1310</v>
      </c>
      <c r="B49" s="3" t="s">
        <v>1311</v>
      </c>
      <c r="C49" s="469" t="s">
        <v>96</v>
      </c>
      <c r="D49" s="469">
        <v>55</v>
      </c>
      <c r="E49" s="471">
        <v>0</v>
      </c>
      <c r="F49" s="471">
        <v>5.05</v>
      </c>
      <c r="G49" s="471">
        <f t="shared" si="0"/>
        <v>0</v>
      </c>
      <c r="H49" s="471">
        <f t="shared" si="1"/>
        <v>277.75</v>
      </c>
      <c r="I49" s="471">
        <f t="shared" si="2"/>
        <v>277.75</v>
      </c>
    </row>
    <row r="50" spans="1:9" hidden="1" outlineLevel="1" x14ac:dyDescent="0.25">
      <c r="A50" s="468" t="s">
        <v>1312</v>
      </c>
      <c r="B50" s="3" t="s">
        <v>1313</v>
      </c>
      <c r="C50" s="469" t="s">
        <v>1110</v>
      </c>
      <c r="D50" s="469">
        <f>PRODUCT(0.00053,D4,0.01)</f>
        <v>2.47245E-2</v>
      </c>
      <c r="E50" s="471">
        <v>0</v>
      </c>
      <c r="F50" s="471">
        <v>400000</v>
      </c>
      <c r="G50" s="471">
        <f t="shared" si="0"/>
        <v>0</v>
      </c>
      <c r="H50" s="471">
        <f t="shared" si="1"/>
        <v>9889.7999999999993</v>
      </c>
      <c r="I50" s="471">
        <f t="shared" si="2"/>
        <v>9889.7999999999993</v>
      </c>
    </row>
    <row r="51" spans="1:9" hidden="1" outlineLevel="1" x14ac:dyDescent="0.25">
      <c r="A51" s="468" t="s">
        <v>1314</v>
      </c>
      <c r="B51" s="3" t="s">
        <v>1315</v>
      </c>
      <c r="C51" s="469" t="s">
        <v>1163</v>
      </c>
      <c r="D51" s="469">
        <f>PRODUCT(0.438,D4,0.01)</f>
        <v>20.432700000000001</v>
      </c>
      <c r="E51" s="471">
        <v>0</v>
      </c>
      <c r="F51" s="471">
        <v>50.79</v>
      </c>
      <c r="G51" s="471">
        <f t="shared" si="0"/>
        <v>0</v>
      </c>
      <c r="H51" s="471">
        <f t="shared" si="1"/>
        <v>1037.7768329999999</v>
      </c>
      <c r="I51" s="471">
        <f t="shared" si="2"/>
        <v>1037.7768329999999</v>
      </c>
    </row>
    <row r="52" spans="1:9" hidden="1" outlineLevel="1" x14ac:dyDescent="0.25">
      <c r="A52" s="468" t="s">
        <v>1316</v>
      </c>
      <c r="B52" s="3" t="s">
        <v>1317</v>
      </c>
      <c r="C52" s="469" t="s">
        <v>1110</v>
      </c>
      <c r="D52" s="469">
        <f>PRODUCT(0.00026,D4,0.01)</f>
        <v>1.2128999999999999E-2</v>
      </c>
      <c r="E52" s="471">
        <v>0</v>
      </c>
      <c r="F52" s="471">
        <v>20680</v>
      </c>
      <c r="G52" s="471">
        <f t="shared" si="0"/>
        <v>0</v>
      </c>
      <c r="H52" s="471">
        <f t="shared" si="1"/>
        <v>250.82771999999997</v>
      </c>
      <c r="I52" s="471">
        <f t="shared" si="2"/>
        <v>250.82771999999997</v>
      </c>
    </row>
    <row r="53" spans="1:9" hidden="1" outlineLevel="1" x14ac:dyDescent="0.25">
      <c r="A53" s="468" t="s">
        <v>1318</v>
      </c>
      <c r="B53" s="3" t="s">
        <v>1319</v>
      </c>
      <c r="C53" s="469" t="s">
        <v>79</v>
      </c>
      <c r="D53" s="469">
        <v>120</v>
      </c>
      <c r="E53" s="471">
        <v>0</v>
      </c>
      <c r="F53" s="471">
        <v>113.4</v>
      </c>
      <c r="G53" s="471">
        <f t="shared" si="0"/>
        <v>0</v>
      </c>
      <c r="H53" s="471">
        <f t="shared" si="1"/>
        <v>13608</v>
      </c>
      <c r="I53" s="471">
        <f t="shared" si="2"/>
        <v>13608</v>
      </c>
    </row>
    <row r="54" spans="1:9" hidden="1" outlineLevel="1" x14ac:dyDescent="0.25">
      <c r="A54" s="468" t="s">
        <v>1320</v>
      </c>
      <c r="B54" s="3" t="s">
        <v>1321</v>
      </c>
      <c r="C54" s="469" t="s">
        <v>79</v>
      </c>
      <c r="D54" s="469">
        <v>2</v>
      </c>
      <c r="E54" s="471">
        <v>0</v>
      </c>
      <c r="F54" s="471">
        <v>660</v>
      </c>
      <c r="G54" s="471">
        <f t="shared" si="0"/>
        <v>0</v>
      </c>
      <c r="H54" s="471">
        <f t="shared" si="1"/>
        <v>1320</v>
      </c>
      <c r="I54" s="471">
        <f t="shared" si="2"/>
        <v>1320</v>
      </c>
    </row>
    <row r="55" spans="1:9" s="293" customFormat="1" collapsed="1" x14ac:dyDescent="0.25">
      <c r="A55" s="485">
        <v>2</v>
      </c>
      <c r="B55" s="1" t="s">
        <v>1322</v>
      </c>
      <c r="C55" s="486" t="s">
        <v>96</v>
      </c>
      <c r="D55" s="467">
        <f>D56+D60+D62+D67</f>
        <v>403</v>
      </c>
      <c r="E55" s="467"/>
      <c r="F55" s="467"/>
      <c r="G55" s="467">
        <f>G56+G60+G62+G67</f>
        <v>106550</v>
      </c>
      <c r="H55" s="467">
        <f>H56+H60+H62+H67</f>
        <v>82290.16271186441</v>
      </c>
      <c r="I55" s="467">
        <f>G55+H55</f>
        <v>188840.1627118644</v>
      </c>
    </row>
    <row r="56" spans="1:9" s="293" customFormat="1" hidden="1" outlineLevel="1" x14ac:dyDescent="0.25">
      <c r="A56" s="487" t="s">
        <v>42</v>
      </c>
      <c r="B56" s="488" t="s">
        <v>1323</v>
      </c>
      <c r="C56" s="486" t="s">
        <v>96</v>
      </c>
      <c r="D56" s="486">
        <v>4</v>
      </c>
      <c r="E56" s="467">
        <v>3500</v>
      </c>
      <c r="F56" s="467"/>
      <c r="G56" s="489">
        <f t="shared" ref="G56" si="3">D56*E56</f>
        <v>14000</v>
      </c>
      <c r="H56" s="490">
        <f>SUM(H57:H59)</f>
        <v>3523.52</v>
      </c>
      <c r="I56" s="489">
        <f t="shared" ref="I56" si="4">SUM(G56:H56)</f>
        <v>17523.52</v>
      </c>
    </row>
    <row r="57" spans="1:9" s="293" customFormat="1" hidden="1" outlineLevel="2" x14ac:dyDescent="0.25">
      <c r="A57" s="491" t="s">
        <v>1324</v>
      </c>
      <c r="B57" s="492" t="s">
        <v>1325</v>
      </c>
      <c r="C57" s="493" t="s">
        <v>1110</v>
      </c>
      <c r="D57" s="469">
        <v>2.8160000000000001E-2</v>
      </c>
      <c r="E57" s="471">
        <v>0</v>
      </c>
      <c r="F57" s="494">
        <v>44000</v>
      </c>
      <c r="G57" s="471">
        <f>PRODUCT(E57,D57)</f>
        <v>0</v>
      </c>
      <c r="H57" s="471">
        <f>PRODUCT(F57,D57)</f>
        <v>1239.04</v>
      </c>
      <c r="I57" s="471">
        <f>SUM(G57:H57)</f>
        <v>1239.04</v>
      </c>
    </row>
    <row r="58" spans="1:9" s="293" customFormat="1" hidden="1" outlineLevel="2" x14ac:dyDescent="0.25">
      <c r="A58" s="491" t="s">
        <v>1326</v>
      </c>
      <c r="B58" s="495" t="s">
        <v>1327</v>
      </c>
      <c r="C58" s="493" t="s">
        <v>1110</v>
      </c>
      <c r="D58" s="469">
        <v>3.0880000000000001E-2</v>
      </c>
      <c r="E58" s="471">
        <v>0</v>
      </c>
      <c r="F58" s="496">
        <v>46000</v>
      </c>
      <c r="G58" s="471">
        <f t="shared" ref="G58:G59" si="5">PRODUCT(E58,D58)</f>
        <v>0</v>
      </c>
      <c r="H58" s="471">
        <f t="shared" ref="H58:H59" si="6">PRODUCT(F58,D58)</f>
        <v>1420.48</v>
      </c>
      <c r="I58" s="471">
        <f t="shared" ref="I58:I59" si="7">SUM(G58:H58)</f>
        <v>1420.48</v>
      </c>
    </row>
    <row r="59" spans="1:9" s="293" customFormat="1" hidden="1" outlineLevel="2" x14ac:dyDescent="0.25">
      <c r="A59" s="491" t="s">
        <v>1328</v>
      </c>
      <c r="B59" s="497" t="s">
        <v>1329</v>
      </c>
      <c r="C59" s="493" t="s">
        <v>96</v>
      </c>
      <c r="D59" s="469">
        <v>16</v>
      </c>
      <c r="E59" s="471">
        <v>0</v>
      </c>
      <c r="F59" s="471">
        <v>54</v>
      </c>
      <c r="G59" s="471">
        <f t="shared" si="5"/>
        <v>0</v>
      </c>
      <c r="H59" s="471">
        <f t="shared" si="6"/>
        <v>864</v>
      </c>
      <c r="I59" s="471">
        <f t="shared" si="7"/>
        <v>864</v>
      </c>
    </row>
    <row r="60" spans="1:9" s="293" customFormat="1" hidden="1" outlineLevel="1" x14ac:dyDescent="0.25">
      <c r="A60" s="487" t="s">
        <v>45</v>
      </c>
      <c r="B60" s="488" t="s">
        <v>1330</v>
      </c>
      <c r="C60" s="486" t="s">
        <v>96</v>
      </c>
      <c r="D60" s="486">
        <v>141</v>
      </c>
      <c r="E60" s="467">
        <v>350</v>
      </c>
      <c r="F60" s="467"/>
      <c r="G60" s="489">
        <f t="shared" ref="G60" si="8">D60*E60</f>
        <v>49350</v>
      </c>
      <c r="H60" s="490">
        <f>SUM(H61)</f>
        <v>20937.36</v>
      </c>
      <c r="I60" s="489">
        <f t="shared" ref="I60" si="9">SUM(G60:H60)</f>
        <v>70287.360000000001</v>
      </c>
    </row>
    <row r="61" spans="1:9" s="293" customFormat="1" hidden="1" outlineLevel="2" x14ac:dyDescent="0.25">
      <c r="A61" s="491" t="s">
        <v>1331</v>
      </c>
      <c r="B61" s="498" t="s">
        <v>1332</v>
      </c>
      <c r="C61" s="493" t="s">
        <v>1110</v>
      </c>
      <c r="D61" s="469">
        <v>0.45516000000000001</v>
      </c>
      <c r="E61" s="471">
        <v>0</v>
      </c>
      <c r="F61" s="499">
        <v>46000</v>
      </c>
      <c r="G61" s="471">
        <f t="shared" ref="G61" si="10">PRODUCT(E61,D61)</f>
        <v>0</v>
      </c>
      <c r="H61" s="471">
        <f t="shared" ref="H61" si="11">PRODUCT(F61,D61)</f>
        <v>20937.36</v>
      </c>
      <c r="I61" s="471">
        <f t="shared" ref="I61" si="12">SUM(G61:H61)</f>
        <v>20937.36</v>
      </c>
    </row>
    <row r="62" spans="1:9" s="293" customFormat="1" hidden="1" outlineLevel="1" x14ac:dyDescent="0.25">
      <c r="A62" s="487" t="s">
        <v>47</v>
      </c>
      <c r="B62" s="500" t="s">
        <v>1333</v>
      </c>
      <c r="C62" s="493" t="s">
        <v>96</v>
      </c>
      <c r="D62" s="501">
        <v>200</v>
      </c>
      <c r="E62" s="489">
        <v>100</v>
      </c>
      <c r="F62" s="489"/>
      <c r="G62" s="489">
        <f>D62*E62</f>
        <v>20000</v>
      </c>
      <c r="H62" s="490">
        <f>SUM(H63:H66)</f>
        <v>35624.16271186441</v>
      </c>
      <c r="I62" s="489">
        <f>SUM(G62:H62)</f>
        <v>55624.16271186441</v>
      </c>
    </row>
    <row r="63" spans="1:9" s="293" customFormat="1" hidden="1" outlineLevel="2" x14ac:dyDescent="0.25">
      <c r="A63" s="491" t="s">
        <v>1334</v>
      </c>
      <c r="B63" s="492" t="s">
        <v>1335</v>
      </c>
      <c r="C63" s="493" t="s">
        <v>96</v>
      </c>
      <c r="D63" s="502">
        <v>400</v>
      </c>
      <c r="E63" s="480">
        <v>0</v>
      </c>
      <c r="F63" s="502">
        <v>51.864406779661017</v>
      </c>
      <c r="G63" s="480">
        <f>D63*E63</f>
        <v>0</v>
      </c>
      <c r="H63" s="503">
        <f>D63*F63</f>
        <v>20745.762711864409</v>
      </c>
      <c r="I63" s="480">
        <f>SUM(G63:H63)</f>
        <v>20745.762711864409</v>
      </c>
    </row>
    <row r="64" spans="1:9" s="293" customFormat="1" hidden="1" outlineLevel="2" x14ac:dyDescent="0.25">
      <c r="A64" s="491" t="s">
        <v>1336</v>
      </c>
      <c r="B64" s="504" t="s">
        <v>681</v>
      </c>
      <c r="C64" s="493" t="s">
        <v>1110</v>
      </c>
      <c r="D64" s="505">
        <v>0.23200000000000001</v>
      </c>
      <c r="E64" s="480">
        <v>0</v>
      </c>
      <c r="F64" s="480">
        <v>40200</v>
      </c>
      <c r="G64" s="480">
        <f>D64*E64</f>
        <v>0</v>
      </c>
      <c r="H64" s="503">
        <f>D64*F64</f>
        <v>9326.4</v>
      </c>
      <c r="I64" s="480">
        <f>SUM(G64:H64)</f>
        <v>9326.4</v>
      </c>
    </row>
    <row r="65" spans="1:9" s="293" customFormat="1" hidden="1" outlineLevel="2" x14ac:dyDescent="0.25">
      <c r="A65" s="491" t="s">
        <v>1337</v>
      </c>
      <c r="B65" s="504" t="s">
        <v>1338</v>
      </c>
      <c r="C65" s="493" t="s">
        <v>96</v>
      </c>
      <c r="D65" s="505">
        <v>800</v>
      </c>
      <c r="E65" s="480">
        <v>0</v>
      </c>
      <c r="F65" s="480">
        <v>5.62</v>
      </c>
      <c r="G65" s="480"/>
      <c r="H65" s="503">
        <f>D65*F65</f>
        <v>4496</v>
      </c>
      <c r="I65" s="480">
        <f>SUM(G65:H65)</f>
        <v>4496</v>
      </c>
    </row>
    <row r="66" spans="1:9" s="293" customFormat="1" hidden="1" outlineLevel="2" x14ac:dyDescent="0.25">
      <c r="A66" s="491" t="s">
        <v>1339</v>
      </c>
      <c r="B66" s="506" t="s">
        <v>1340</v>
      </c>
      <c r="C66" s="507" t="s">
        <v>96</v>
      </c>
      <c r="D66" s="507">
        <v>800</v>
      </c>
      <c r="E66" s="508">
        <v>0</v>
      </c>
      <c r="F66" s="508">
        <v>1.32</v>
      </c>
      <c r="G66" s="480"/>
      <c r="H66" s="503">
        <f>D66*F66</f>
        <v>1056</v>
      </c>
      <c r="I66" s="480">
        <f>SUM(G66:H66)</f>
        <v>1056</v>
      </c>
    </row>
    <row r="67" spans="1:9" s="293" customFormat="1" hidden="1" outlineLevel="1" x14ac:dyDescent="0.25">
      <c r="A67" s="487" t="s">
        <v>500</v>
      </c>
      <c r="B67" s="500" t="s">
        <v>1341</v>
      </c>
      <c r="C67" s="509" t="s">
        <v>96</v>
      </c>
      <c r="D67" s="501">
        <v>58</v>
      </c>
      <c r="E67" s="489">
        <v>400</v>
      </c>
      <c r="F67" s="489"/>
      <c r="G67" s="489">
        <f t="shared" ref="G67:G72" si="13">D67*E67</f>
        <v>23200</v>
      </c>
      <c r="H67" s="490">
        <f>SUM(H68:H72)</f>
        <v>22205.119999999999</v>
      </c>
      <c r="I67" s="489">
        <f t="shared" ref="I67:I72" si="14">SUM(G67:H67)</f>
        <v>45405.119999999995</v>
      </c>
    </row>
    <row r="68" spans="1:9" s="293" customFormat="1" hidden="1" outlineLevel="2" x14ac:dyDescent="0.25">
      <c r="A68" s="491" t="s">
        <v>1342</v>
      </c>
      <c r="B68" s="492" t="s">
        <v>1343</v>
      </c>
      <c r="C68" s="493" t="s">
        <v>281</v>
      </c>
      <c r="D68" s="502">
        <v>8</v>
      </c>
      <c r="E68" s="480">
        <v>0</v>
      </c>
      <c r="F68" s="480">
        <v>268.48</v>
      </c>
      <c r="G68" s="480">
        <f t="shared" si="13"/>
        <v>0</v>
      </c>
      <c r="H68" s="503">
        <f t="shared" ref="H68:H72" si="15">D68*F68</f>
        <v>2147.84</v>
      </c>
      <c r="I68" s="480">
        <f t="shared" si="14"/>
        <v>2147.84</v>
      </c>
    </row>
    <row r="69" spans="1:9" s="293" customFormat="1" hidden="1" outlineLevel="2" x14ac:dyDescent="0.25">
      <c r="A69" s="491" t="s">
        <v>1344</v>
      </c>
      <c r="B69" s="492" t="s">
        <v>1345</v>
      </c>
      <c r="C69" s="493" t="s">
        <v>281</v>
      </c>
      <c r="D69" s="502">
        <v>3.6</v>
      </c>
      <c r="E69" s="480">
        <v>0</v>
      </c>
      <c r="F69" s="480">
        <v>363</v>
      </c>
      <c r="G69" s="480">
        <f t="shared" si="13"/>
        <v>0</v>
      </c>
      <c r="H69" s="503">
        <f t="shared" si="15"/>
        <v>1306.8</v>
      </c>
      <c r="I69" s="480">
        <f t="shared" si="14"/>
        <v>1306.8</v>
      </c>
    </row>
    <row r="70" spans="1:9" s="293" customFormat="1" hidden="1" outlineLevel="2" x14ac:dyDescent="0.25">
      <c r="A70" s="491" t="s">
        <v>1346</v>
      </c>
      <c r="B70" s="492" t="s">
        <v>1347</v>
      </c>
      <c r="C70" s="493" t="s">
        <v>1110</v>
      </c>
      <c r="D70" s="502">
        <v>0.22600000000000001</v>
      </c>
      <c r="E70" s="480">
        <v>0</v>
      </c>
      <c r="F70" s="480">
        <v>46000</v>
      </c>
      <c r="G70" s="480">
        <f t="shared" si="13"/>
        <v>0</v>
      </c>
      <c r="H70" s="503">
        <f t="shared" si="15"/>
        <v>10396</v>
      </c>
      <c r="I70" s="480">
        <f t="shared" si="14"/>
        <v>10396</v>
      </c>
    </row>
    <row r="71" spans="1:9" s="293" customFormat="1" hidden="1" outlineLevel="2" x14ac:dyDescent="0.25">
      <c r="A71" s="491" t="s">
        <v>1348</v>
      </c>
      <c r="B71" s="492" t="s">
        <v>1349</v>
      </c>
      <c r="C71" s="493" t="s">
        <v>1110</v>
      </c>
      <c r="D71" s="502">
        <v>0.104</v>
      </c>
      <c r="E71" s="480">
        <v>0</v>
      </c>
      <c r="F71" s="480">
        <v>46000</v>
      </c>
      <c r="G71" s="480">
        <f t="shared" si="13"/>
        <v>0</v>
      </c>
      <c r="H71" s="503">
        <f t="shared" si="15"/>
        <v>4784</v>
      </c>
      <c r="I71" s="480">
        <f t="shared" si="14"/>
        <v>4784</v>
      </c>
    </row>
    <row r="72" spans="1:9" s="293" customFormat="1" hidden="1" outlineLevel="2" x14ac:dyDescent="0.25">
      <c r="A72" s="491" t="s">
        <v>1350</v>
      </c>
      <c r="B72" s="492" t="s">
        <v>1351</v>
      </c>
      <c r="C72" s="493" t="s">
        <v>96</v>
      </c>
      <c r="D72" s="502">
        <v>232</v>
      </c>
      <c r="E72" s="480">
        <v>0</v>
      </c>
      <c r="F72" s="480">
        <v>15.39</v>
      </c>
      <c r="G72" s="480">
        <f t="shared" si="13"/>
        <v>0</v>
      </c>
      <c r="H72" s="503">
        <f t="shared" si="15"/>
        <v>3570.48</v>
      </c>
      <c r="I72" s="480">
        <f t="shared" si="14"/>
        <v>3570.48</v>
      </c>
    </row>
    <row r="73" spans="1:9" s="293" customFormat="1" collapsed="1" x14ac:dyDescent="0.25">
      <c r="A73" s="485">
        <v>3</v>
      </c>
      <c r="B73" s="1" t="s">
        <v>1352</v>
      </c>
      <c r="C73" s="486" t="s">
        <v>96</v>
      </c>
      <c r="D73" s="486">
        <f>SUM(D78,D76,D74)</f>
        <v>21</v>
      </c>
      <c r="E73" s="467"/>
      <c r="F73" s="467"/>
      <c r="G73" s="467">
        <f>SUM(G74:G79)</f>
        <v>6000</v>
      </c>
      <c r="H73" s="467">
        <f>SUM(H74:H79)</f>
        <v>71564</v>
      </c>
      <c r="I73" s="467">
        <f>SUM(G73:H73)</f>
        <v>77564</v>
      </c>
    </row>
    <row r="74" spans="1:9" hidden="1" outlineLevel="1" x14ac:dyDescent="0.25">
      <c r="A74" s="2" t="s">
        <v>1353</v>
      </c>
      <c r="B74" s="510" t="s">
        <v>1354</v>
      </c>
      <c r="C74" s="469" t="s">
        <v>96</v>
      </c>
      <c r="D74" s="469">
        <v>2</v>
      </c>
      <c r="E74" s="471">
        <v>250</v>
      </c>
      <c r="F74" s="471">
        <v>1930</v>
      </c>
      <c r="G74" s="471">
        <f>PRODUCT(E74,D74)</f>
        <v>500</v>
      </c>
      <c r="H74" s="471">
        <f>PRODUCT(F74,D74)</f>
        <v>3860</v>
      </c>
      <c r="I74" s="471">
        <f>SUM(G74:H74)</f>
        <v>4360</v>
      </c>
    </row>
    <row r="75" spans="1:9" hidden="1" outlineLevel="1" x14ac:dyDescent="0.25">
      <c r="A75" s="2" t="s">
        <v>1355</v>
      </c>
      <c r="B75" s="510" t="s">
        <v>1356</v>
      </c>
      <c r="C75" s="469" t="s">
        <v>96</v>
      </c>
      <c r="D75" s="469">
        <v>4</v>
      </c>
      <c r="E75" s="471">
        <v>0</v>
      </c>
      <c r="F75" s="471">
        <v>39</v>
      </c>
      <c r="G75" s="471">
        <f t="shared" ref="G75:G79" si="16">PRODUCT(E75,D75)</f>
        <v>0</v>
      </c>
      <c r="H75" s="471">
        <f>PRODUCT(F75,D75)</f>
        <v>156</v>
      </c>
      <c r="I75" s="471">
        <f t="shared" ref="I75:I79" si="17">SUM(G75:H75)</f>
        <v>156</v>
      </c>
    </row>
    <row r="76" spans="1:9" hidden="1" outlineLevel="1" x14ac:dyDescent="0.25">
      <c r="A76" s="2" t="s">
        <v>1357</v>
      </c>
      <c r="B76" s="510" t="s">
        <v>1358</v>
      </c>
      <c r="C76" s="469" t="s">
        <v>96</v>
      </c>
      <c r="D76" s="469">
        <v>16</v>
      </c>
      <c r="E76" s="471">
        <v>250</v>
      </c>
      <c r="F76" s="471">
        <v>2330</v>
      </c>
      <c r="G76" s="471">
        <f t="shared" si="16"/>
        <v>4000</v>
      </c>
      <c r="H76" s="471">
        <f t="shared" ref="H76:H79" si="18">PRODUCT(F76,D76)</f>
        <v>37280</v>
      </c>
      <c r="I76" s="471">
        <f t="shared" si="17"/>
        <v>41280</v>
      </c>
    </row>
    <row r="77" spans="1:9" hidden="1" outlineLevel="1" x14ac:dyDescent="0.25">
      <c r="A77" s="2" t="s">
        <v>1359</v>
      </c>
      <c r="B77" s="510" t="s">
        <v>1360</v>
      </c>
      <c r="C77" s="469" t="s">
        <v>96</v>
      </c>
      <c r="D77" s="469">
        <v>32</v>
      </c>
      <c r="E77" s="471">
        <v>0</v>
      </c>
      <c r="F77" s="471">
        <v>41</v>
      </c>
      <c r="G77" s="471">
        <f t="shared" si="16"/>
        <v>0</v>
      </c>
      <c r="H77" s="471">
        <f t="shared" si="18"/>
        <v>1312</v>
      </c>
      <c r="I77" s="471">
        <f t="shared" si="17"/>
        <v>1312</v>
      </c>
    </row>
    <row r="78" spans="1:9" hidden="1" outlineLevel="1" x14ac:dyDescent="0.25">
      <c r="A78" s="2" t="s">
        <v>1361</v>
      </c>
      <c r="B78" s="510" t="s">
        <v>1362</v>
      </c>
      <c r="C78" s="469" t="s">
        <v>96</v>
      </c>
      <c r="D78" s="469">
        <v>3</v>
      </c>
      <c r="E78" s="471">
        <v>500</v>
      </c>
      <c r="F78" s="471">
        <v>9500</v>
      </c>
      <c r="G78" s="471">
        <f t="shared" si="16"/>
        <v>1500</v>
      </c>
      <c r="H78" s="471">
        <f t="shared" si="18"/>
        <v>28500</v>
      </c>
      <c r="I78" s="471">
        <f t="shared" si="17"/>
        <v>30000</v>
      </c>
    </row>
    <row r="79" spans="1:9" hidden="1" outlineLevel="1" x14ac:dyDescent="0.25">
      <c r="A79" s="2" t="s">
        <v>1363</v>
      </c>
      <c r="B79" s="510" t="s">
        <v>1364</v>
      </c>
      <c r="C79" s="469" t="s">
        <v>96</v>
      </c>
      <c r="D79" s="469">
        <v>6</v>
      </c>
      <c r="E79" s="471">
        <v>0</v>
      </c>
      <c r="F79" s="471">
        <v>76</v>
      </c>
      <c r="G79" s="471">
        <f t="shared" si="16"/>
        <v>0</v>
      </c>
      <c r="H79" s="471">
        <f t="shared" si="18"/>
        <v>456</v>
      </c>
      <c r="I79" s="471">
        <f t="shared" si="17"/>
        <v>456</v>
      </c>
    </row>
    <row r="80" spans="1:9" s="293" customFormat="1" collapsed="1" x14ac:dyDescent="0.25">
      <c r="A80" s="485">
        <v>4</v>
      </c>
      <c r="B80" s="1" t="s">
        <v>1365</v>
      </c>
      <c r="C80" s="486" t="s">
        <v>74</v>
      </c>
      <c r="D80" s="486">
        <v>505</v>
      </c>
      <c r="E80" s="467">
        <v>30</v>
      </c>
      <c r="F80" s="467"/>
      <c r="G80" s="467">
        <f>PRODUCT(E80,D80)</f>
        <v>15150</v>
      </c>
      <c r="H80" s="467">
        <f>SUM(H81)</f>
        <v>8540</v>
      </c>
      <c r="I80" s="467">
        <f>SUM(G80:H80)</f>
        <v>23690</v>
      </c>
    </row>
    <row r="81" spans="1:9" hidden="1" outlineLevel="1" x14ac:dyDescent="0.25">
      <c r="A81" s="2" t="s">
        <v>1366</v>
      </c>
      <c r="B81" s="511" t="s">
        <v>1367</v>
      </c>
      <c r="C81" s="469" t="s">
        <v>79</v>
      </c>
      <c r="D81" s="469">
        <v>122</v>
      </c>
      <c r="E81" s="471"/>
      <c r="F81" s="512">
        <v>70</v>
      </c>
      <c r="G81" s="471"/>
      <c r="H81" s="471">
        <f t="shared" ref="H81" si="19">PRODUCT(F81,D81)</f>
        <v>8540</v>
      </c>
      <c r="I81" s="471">
        <f>SUM(G81:H81)</f>
        <v>8540</v>
      </c>
    </row>
    <row r="82" spans="1:9" s="293" customFormat="1" collapsed="1" x14ac:dyDescent="0.25">
      <c r="A82" s="485">
        <v>5</v>
      </c>
      <c r="B82" s="1" t="s">
        <v>1368</v>
      </c>
      <c r="C82" s="486" t="s">
        <v>318</v>
      </c>
      <c r="D82" s="486">
        <v>505</v>
      </c>
      <c r="E82" s="467">
        <v>30</v>
      </c>
      <c r="F82" s="467"/>
      <c r="G82" s="467">
        <f>PRODUCT(E82,D82)</f>
        <v>15150</v>
      </c>
      <c r="H82" s="467">
        <f>SUM(H83)</f>
        <v>5539</v>
      </c>
      <c r="I82" s="467">
        <f>SUM(G82:H82)</f>
        <v>20689</v>
      </c>
    </row>
    <row r="83" spans="1:9" hidden="1" outlineLevel="1" x14ac:dyDescent="0.25">
      <c r="A83" s="2" t="s">
        <v>1369</v>
      </c>
      <c r="B83" s="513" t="s">
        <v>1370</v>
      </c>
      <c r="C83" s="469" t="s">
        <v>79</v>
      </c>
      <c r="D83" s="469">
        <v>58</v>
      </c>
      <c r="E83" s="471"/>
      <c r="F83" s="512">
        <v>95.5</v>
      </c>
      <c r="G83" s="471"/>
      <c r="H83" s="471">
        <f t="shared" ref="H83" si="20">PRODUCT(F83,D83)</f>
        <v>5539</v>
      </c>
      <c r="I83" s="471">
        <f>SUM(G83:H83)</f>
        <v>5539</v>
      </c>
    </row>
    <row r="84" spans="1:9" s="293" customFormat="1" collapsed="1" x14ac:dyDescent="0.25">
      <c r="A84" s="485">
        <v>6</v>
      </c>
      <c r="B84" s="1" t="s">
        <v>1371</v>
      </c>
      <c r="C84" s="486" t="s">
        <v>318</v>
      </c>
      <c r="D84" s="486">
        <f>SUM(D85:D93)</f>
        <v>654</v>
      </c>
      <c r="E84" s="467">
        <v>30</v>
      </c>
      <c r="F84" s="467"/>
      <c r="G84" s="467">
        <f>PRODUCT(E84,D84)</f>
        <v>19620</v>
      </c>
      <c r="H84" s="467">
        <f>SUM(H85:H93)</f>
        <v>112394.7</v>
      </c>
      <c r="I84" s="467">
        <f t="shared" ref="I84:I94" si="21">SUM(G84:H84)</f>
        <v>132014.70000000001</v>
      </c>
    </row>
    <row r="85" spans="1:9" hidden="1" outlineLevel="1" x14ac:dyDescent="0.25">
      <c r="A85" s="2" t="s">
        <v>1372</v>
      </c>
      <c r="B85" s="3" t="s">
        <v>1373</v>
      </c>
      <c r="C85" s="469" t="s">
        <v>318</v>
      </c>
      <c r="D85" s="469">
        <v>105</v>
      </c>
      <c r="E85" s="471">
        <v>0</v>
      </c>
      <c r="F85" s="514">
        <v>333.3</v>
      </c>
      <c r="G85" s="515">
        <f>E85*D85</f>
        <v>0</v>
      </c>
      <c r="H85" s="471">
        <f>PRODUCT(F85,D85)</f>
        <v>34996.5</v>
      </c>
      <c r="I85" s="471">
        <f>SUM(G85:H85)</f>
        <v>34996.5</v>
      </c>
    </row>
    <row r="86" spans="1:9" hidden="1" outlineLevel="1" x14ac:dyDescent="0.25">
      <c r="A86" s="2" t="s">
        <v>1374</v>
      </c>
      <c r="B86" s="3" t="s">
        <v>1375</v>
      </c>
      <c r="C86" s="469" t="s">
        <v>318</v>
      </c>
      <c r="D86" s="469">
        <v>69</v>
      </c>
      <c r="E86" s="471">
        <v>0</v>
      </c>
      <c r="F86" s="516">
        <v>283.14</v>
      </c>
      <c r="G86" s="515">
        <f t="shared" ref="G86:G93" si="22">E86*D86</f>
        <v>0</v>
      </c>
      <c r="H86" s="471">
        <f t="shared" ref="H86:H95" si="23">PRODUCT(F86,D86)</f>
        <v>19536.66</v>
      </c>
      <c r="I86" s="471">
        <f t="shared" ref="I86:I93" si="24">SUM(G86:H86)</f>
        <v>19536.66</v>
      </c>
    </row>
    <row r="87" spans="1:9" hidden="1" outlineLevel="1" x14ac:dyDescent="0.25">
      <c r="A87" s="2" t="s">
        <v>1376</v>
      </c>
      <c r="B87" s="3" t="s">
        <v>1377</v>
      </c>
      <c r="C87" s="469" t="s">
        <v>318</v>
      </c>
      <c r="D87" s="469">
        <v>75</v>
      </c>
      <c r="E87" s="471">
        <v>0</v>
      </c>
      <c r="F87" s="517">
        <v>266.17</v>
      </c>
      <c r="G87" s="515">
        <f t="shared" si="22"/>
        <v>0</v>
      </c>
      <c r="H87" s="471">
        <f t="shared" si="23"/>
        <v>19962.75</v>
      </c>
      <c r="I87" s="471">
        <f t="shared" si="24"/>
        <v>19962.75</v>
      </c>
    </row>
    <row r="88" spans="1:9" hidden="1" outlineLevel="1" x14ac:dyDescent="0.25">
      <c r="A88" s="2" t="s">
        <v>1378</v>
      </c>
      <c r="B88" s="3" t="s">
        <v>1379</v>
      </c>
      <c r="C88" s="469" t="s">
        <v>318</v>
      </c>
      <c r="D88" s="469">
        <v>46</v>
      </c>
      <c r="E88" s="471">
        <v>0</v>
      </c>
      <c r="F88" s="518">
        <v>160.71</v>
      </c>
      <c r="G88" s="515">
        <f t="shared" si="22"/>
        <v>0</v>
      </c>
      <c r="H88" s="471">
        <f t="shared" si="23"/>
        <v>7392.6600000000008</v>
      </c>
      <c r="I88" s="471">
        <f t="shared" si="24"/>
        <v>7392.6600000000008</v>
      </c>
    </row>
    <row r="89" spans="1:9" hidden="1" outlineLevel="1" x14ac:dyDescent="0.25">
      <c r="A89" s="2" t="s">
        <v>1380</v>
      </c>
      <c r="B89" s="3" t="s">
        <v>1381</v>
      </c>
      <c r="C89" s="469" t="s">
        <v>318</v>
      </c>
      <c r="D89" s="469">
        <v>37</v>
      </c>
      <c r="E89" s="471">
        <v>0</v>
      </c>
      <c r="F89" s="519">
        <v>109.76</v>
      </c>
      <c r="G89" s="515">
        <f t="shared" si="22"/>
        <v>0</v>
      </c>
      <c r="H89" s="471">
        <f t="shared" si="23"/>
        <v>4061.1200000000003</v>
      </c>
      <c r="I89" s="471">
        <f t="shared" si="24"/>
        <v>4061.1200000000003</v>
      </c>
    </row>
    <row r="90" spans="1:9" hidden="1" outlineLevel="1" x14ac:dyDescent="0.25">
      <c r="A90" s="2" t="s">
        <v>1382</v>
      </c>
      <c r="B90" s="3" t="s">
        <v>1383</v>
      </c>
      <c r="C90" s="469" t="s">
        <v>318</v>
      </c>
      <c r="D90" s="469">
        <v>25</v>
      </c>
      <c r="E90" s="471">
        <v>0</v>
      </c>
      <c r="F90" s="520">
        <v>91.84</v>
      </c>
      <c r="G90" s="515">
        <f t="shared" si="22"/>
        <v>0</v>
      </c>
      <c r="H90" s="471">
        <f t="shared" si="23"/>
        <v>2296</v>
      </c>
      <c r="I90" s="471">
        <f t="shared" si="24"/>
        <v>2296</v>
      </c>
    </row>
    <row r="91" spans="1:9" hidden="1" outlineLevel="1" x14ac:dyDescent="0.25">
      <c r="A91" s="2" t="s">
        <v>1384</v>
      </c>
      <c r="B91" s="3" t="s">
        <v>1385</v>
      </c>
      <c r="C91" s="469" t="s">
        <v>318</v>
      </c>
      <c r="D91" s="469">
        <v>183</v>
      </c>
      <c r="E91" s="471">
        <v>0</v>
      </c>
      <c r="F91" s="521">
        <v>88.33</v>
      </c>
      <c r="G91" s="515">
        <f t="shared" si="22"/>
        <v>0</v>
      </c>
      <c r="H91" s="471">
        <f t="shared" si="23"/>
        <v>16164.39</v>
      </c>
      <c r="I91" s="471">
        <f t="shared" si="24"/>
        <v>16164.39</v>
      </c>
    </row>
    <row r="92" spans="1:9" hidden="1" outlineLevel="1" x14ac:dyDescent="0.25">
      <c r="A92" s="2" t="s">
        <v>1386</v>
      </c>
      <c r="B92" s="3" t="s">
        <v>1387</v>
      </c>
      <c r="C92" s="469" t="s">
        <v>318</v>
      </c>
      <c r="D92" s="469">
        <v>42</v>
      </c>
      <c r="E92" s="471">
        <v>0</v>
      </c>
      <c r="F92" s="522">
        <v>71.430000000000007</v>
      </c>
      <c r="G92" s="515">
        <f t="shared" si="22"/>
        <v>0</v>
      </c>
      <c r="H92" s="471">
        <f t="shared" si="23"/>
        <v>3000.0600000000004</v>
      </c>
      <c r="I92" s="471">
        <f t="shared" si="24"/>
        <v>3000.0600000000004</v>
      </c>
    </row>
    <row r="93" spans="1:9" hidden="1" outlineLevel="1" x14ac:dyDescent="0.25">
      <c r="A93" s="2" t="s">
        <v>1388</v>
      </c>
      <c r="B93" s="3" t="s">
        <v>1389</v>
      </c>
      <c r="C93" s="469" t="s">
        <v>318</v>
      </c>
      <c r="D93" s="469">
        <v>72</v>
      </c>
      <c r="E93" s="471">
        <v>0</v>
      </c>
      <c r="F93" s="522">
        <v>69.23</v>
      </c>
      <c r="G93" s="515">
        <f t="shared" si="22"/>
        <v>0</v>
      </c>
      <c r="H93" s="471">
        <f>PRODUCT(F93,D93)</f>
        <v>4984.5600000000004</v>
      </c>
      <c r="I93" s="471">
        <f t="shared" si="24"/>
        <v>4984.5600000000004</v>
      </c>
    </row>
    <row r="94" spans="1:9" s="293" customFormat="1" collapsed="1" x14ac:dyDescent="0.25">
      <c r="A94" s="485">
        <v>7</v>
      </c>
      <c r="B94" s="1" t="s">
        <v>1390</v>
      </c>
      <c r="C94" s="486" t="s">
        <v>74</v>
      </c>
      <c r="D94" s="486">
        <v>311</v>
      </c>
      <c r="E94" s="467">
        <v>40</v>
      </c>
      <c r="F94" s="467"/>
      <c r="G94" s="467">
        <f>PRODUCT(E94,D94)</f>
        <v>12440</v>
      </c>
      <c r="H94" s="467">
        <f>SUM(H95:H95)</f>
        <v>13839.5</v>
      </c>
      <c r="I94" s="467">
        <f t="shared" si="21"/>
        <v>26279.5</v>
      </c>
    </row>
    <row r="95" spans="1:9" hidden="1" outlineLevel="1" x14ac:dyDescent="0.25">
      <c r="A95" s="2" t="s">
        <v>1129</v>
      </c>
      <c r="B95" s="492" t="s">
        <v>1391</v>
      </c>
      <c r="C95" s="469" t="s">
        <v>74</v>
      </c>
      <c r="D95" s="469">
        <v>311</v>
      </c>
      <c r="E95" s="471"/>
      <c r="F95" s="471">
        <v>44.5</v>
      </c>
      <c r="G95" s="471"/>
      <c r="H95" s="471">
        <f t="shared" si="23"/>
        <v>13839.5</v>
      </c>
      <c r="I95" s="471"/>
    </row>
    <row r="96" spans="1:9" s="293" customFormat="1" collapsed="1" x14ac:dyDescent="0.25">
      <c r="A96" s="485">
        <v>8</v>
      </c>
      <c r="B96" s="1" t="s">
        <v>1392</v>
      </c>
      <c r="C96" s="486" t="s">
        <v>96</v>
      </c>
      <c r="D96" s="467">
        <f>SUM(D97:D158)</f>
        <v>738</v>
      </c>
      <c r="E96" s="523"/>
      <c r="F96" s="467"/>
      <c r="G96" s="467">
        <f>SUM(G97:G169)</f>
        <v>994300</v>
      </c>
      <c r="H96" s="467">
        <f>SUM(H97:H169)</f>
        <v>2260266.3499999996</v>
      </c>
      <c r="I96" s="467">
        <f>SUM(I97:I169)</f>
        <v>3254566.35</v>
      </c>
    </row>
    <row r="97" spans="1:9" hidden="1" outlineLevel="1" x14ac:dyDescent="0.25">
      <c r="A97" s="524" t="s">
        <v>1137</v>
      </c>
      <c r="B97" s="525" t="s">
        <v>1393</v>
      </c>
      <c r="C97" s="526" t="s">
        <v>96</v>
      </c>
      <c r="D97" s="527">
        <v>6</v>
      </c>
      <c r="E97" s="515">
        <v>1300</v>
      </c>
      <c r="F97" s="528">
        <v>3516.69</v>
      </c>
      <c r="G97" s="515">
        <f>E97*D97</f>
        <v>7800</v>
      </c>
      <c r="H97" s="515">
        <f>PRODUCT(F97,D97)</f>
        <v>21100.14</v>
      </c>
      <c r="I97" s="515">
        <f>SUM(G97:H97)</f>
        <v>28900.14</v>
      </c>
    </row>
    <row r="98" spans="1:9" hidden="1" outlineLevel="1" x14ac:dyDescent="0.25">
      <c r="A98" s="524" t="s">
        <v>1138</v>
      </c>
      <c r="B98" s="525" t="s">
        <v>1394</v>
      </c>
      <c r="C98" s="526" t="s">
        <v>96</v>
      </c>
      <c r="D98" s="527">
        <v>44</v>
      </c>
      <c r="E98" s="515">
        <v>1300</v>
      </c>
      <c r="F98" s="529">
        <v>1018.77</v>
      </c>
      <c r="G98" s="515">
        <f t="shared" ref="G98:G158" si="25">E98*D98</f>
        <v>57200</v>
      </c>
      <c r="H98" s="515">
        <f t="shared" ref="H98:H159" si="26">PRODUCT(F98,D98)</f>
        <v>44825.88</v>
      </c>
      <c r="I98" s="515">
        <f t="shared" ref="I98:I159" si="27">SUM(G98:H98)</f>
        <v>102025.88</v>
      </c>
    </row>
    <row r="99" spans="1:9" hidden="1" outlineLevel="1" x14ac:dyDescent="0.25">
      <c r="A99" s="524" t="s">
        <v>1193</v>
      </c>
      <c r="B99" s="525" t="s">
        <v>1395</v>
      </c>
      <c r="C99" s="526" t="s">
        <v>96</v>
      </c>
      <c r="D99" s="527">
        <v>19</v>
      </c>
      <c r="E99" s="515">
        <v>1300</v>
      </c>
      <c r="F99" s="529">
        <v>1155.8900000000001</v>
      </c>
      <c r="G99" s="515">
        <f t="shared" si="25"/>
        <v>24700</v>
      </c>
      <c r="H99" s="515">
        <f t="shared" si="26"/>
        <v>21961.910000000003</v>
      </c>
      <c r="I99" s="515">
        <f t="shared" si="27"/>
        <v>46661.91</v>
      </c>
    </row>
    <row r="100" spans="1:9" hidden="1" outlineLevel="1" x14ac:dyDescent="0.25">
      <c r="A100" s="524" t="s">
        <v>1396</v>
      </c>
      <c r="B100" s="525" t="s">
        <v>1397</v>
      </c>
      <c r="C100" s="526" t="s">
        <v>96</v>
      </c>
      <c r="D100" s="527">
        <v>30</v>
      </c>
      <c r="E100" s="515">
        <v>1300</v>
      </c>
      <c r="F100" s="529">
        <v>1314.11</v>
      </c>
      <c r="G100" s="515">
        <f t="shared" si="25"/>
        <v>39000</v>
      </c>
      <c r="H100" s="515">
        <f t="shared" si="26"/>
        <v>39423.299999999996</v>
      </c>
      <c r="I100" s="515">
        <f t="shared" si="27"/>
        <v>78423.299999999988</v>
      </c>
    </row>
    <row r="101" spans="1:9" hidden="1" outlineLevel="1" x14ac:dyDescent="0.25">
      <c r="A101" s="524" t="s">
        <v>1398</v>
      </c>
      <c r="B101" s="525" t="s">
        <v>1399</v>
      </c>
      <c r="C101" s="526" t="s">
        <v>96</v>
      </c>
      <c r="D101" s="527">
        <v>49</v>
      </c>
      <c r="E101" s="515">
        <v>1300</v>
      </c>
      <c r="F101" s="529">
        <v>1459.15</v>
      </c>
      <c r="G101" s="515">
        <f t="shared" si="25"/>
        <v>63700</v>
      </c>
      <c r="H101" s="515">
        <f t="shared" si="26"/>
        <v>71498.350000000006</v>
      </c>
      <c r="I101" s="515">
        <f t="shared" si="27"/>
        <v>135198.35</v>
      </c>
    </row>
    <row r="102" spans="1:9" hidden="1" outlineLevel="1" x14ac:dyDescent="0.25">
      <c r="A102" s="524" t="s">
        <v>1400</v>
      </c>
      <c r="B102" s="525" t="s">
        <v>1401</v>
      </c>
      <c r="C102" s="526" t="s">
        <v>96</v>
      </c>
      <c r="D102" s="527">
        <v>47</v>
      </c>
      <c r="E102" s="515">
        <v>1300</v>
      </c>
      <c r="F102" s="529">
        <v>1612.99</v>
      </c>
      <c r="G102" s="515">
        <f t="shared" si="25"/>
        <v>61100</v>
      </c>
      <c r="H102" s="515">
        <f t="shared" si="26"/>
        <v>75810.53</v>
      </c>
      <c r="I102" s="515">
        <f t="shared" si="27"/>
        <v>136910.53</v>
      </c>
    </row>
    <row r="103" spans="1:9" hidden="1" outlineLevel="1" x14ac:dyDescent="0.25">
      <c r="A103" s="524" t="s">
        <v>1402</v>
      </c>
      <c r="B103" s="525" t="s">
        <v>1403</v>
      </c>
      <c r="C103" s="526" t="s">
        <v>96</v>
      </c>
      <c r="D103" s="527">
        <v>41</v>
      </c>
      <c r="E103" s="515">
        <v>1300</v>
      </c>
      <c r="F103" s="529">
        <v>1758.02</v>
      </c>
      <c r="G103" s="515">
        <f t="shared" si="25"/>
        <v>53300</v>
      </c>
      <c r="H103" s="515">
        <f t="shared" si="26"/>
        <v>72078.819999999992</v>
      </c>
      <c r="I103" s="515">
        <f t="shared" si="27"/>
        <v>125378.81999999999</v>
      </c>
    </row>
    <row r="104" spans="1:9" hidden="1" outlineLevel="1" x14ac:dyDescent="0.25">
      <c r="A104" s="524" t="s">
        <v>1404</v>
      </c>
      <c r="B104" s="525" t="s">
        <v>1405</v>
      </c>
      <c r="C104" s="526" t="s">
        <v>96</v>
      </c>
      <c r="D104" s="527">
        <v>33</v>
      </c>
      <c r="E104" s="515">
        <v>1300</v>
      </c>
      <c r="F104" s="529">
        <v>1925.03</v>
      </c>
      <c r="G104" s="515">
        <f t="shared" si="25"/>
        <v>42900</v>
      </c>
      <c r="H104" s="515">
        <f t="shared" si="26"/>
        <v>63525.99</v>
      </c>
      <c r="I104" s="515">
        <f t="shared" si="27"/>
        <v>106425.98999999999</v>
      </c>
    </row>
    <row r="105" spans="1:9" hidden="1" outlineLevel="1" x14ac:dyDescent="0.25">
      <c r="A105" s="524" t="s">
        <v>1406</v>
      </c>
      <c r="B105" s="525" t="s">
        <v>1407</v>
      </c>
      <c r="C105" s="526" t="s">
        <v>96</v>
      </c>
      <c r="D105" s="527">
        <v>20</v>
      </c>
      <c r="E105" s="515">
        <v>1300</v>
      </c>
      <c r="F105" s="529">
        <v>2070.0700000000002</v>
      </c>
      <c r="G105" s="515">
        <f t="shared" si="25"/>
        <v>26000</v>
      </c>
      <c r="H105" s="515">
        <f t="shared" si="26"/>
        <v>41401.4</v>
      </c>
      <c r="I105" s="515">
        <f t="shared" si="27"/>
        <v>67401.399999999994</v>
      </c>
    </row>
    <row r="106" spans="1:9" hidden="1" outlineLevel="1" x14ac:dyDescent="0.25">
      <c r="A106" s="524" t="s">
        <v>1408</v>
      </c>
      <c r="B106" s="525" t="s">
        <v>1409</v>
      </c>
      <c r="C106" s="526" t="s">
        <v>96</v>
      </c>
      <c r="D106" s="527">
        <v>15</v>
      </c>
      <c r="E106" s="515">
        <v>1300</v>
      </c>
      <c r="F106" s="529">
        <v>2219.4899999999998</v>
      </c>
      <c r="G106" s="515">
        <f t="shared" si="25"/>
        <v>19500</v>
      </c>
      <c r="H106" s="515">
        <f t="shared" si="26"/>
        <v>33292.35</v>
      </c>
      <c r="I106" s="515">
        <f t="shared" si="27"/>
        <v>52792.35</v>
      </c>
    </row>
    <row r="107" spans="1:9" hidden="1" outlineLevel="1" x14ac:dyDescent="0.25">
      <c r="A107" s="524" t="s">
        <v>1410</v>
      </c>
      <c r="B107" s="525" t="s">
        <v>1411</v>
      </c>
      <c r="C107" s="526" t="s">
        <v>96</v>
      </c>
      <c r="D107" s="527">
        <v>40</v>
      </c>
      <c r="E107" s="515">
        <v>1300</v>
      </c>
      <c r="F107" s="529">
        <v>1558.11</v>
      </c>
      <c r="G107" s="515">
        <f t="shared" si="25"/>
        <v>52000</v>
      </c>
      <c r="H107" s="515">
        <f t="shared" si="26"/>
        <v>62324.399999999994</v>
      </c>
      <c r="I107" s="515">
        <f t="shared" si="27"/>
        <v>114324.4</v>
      </c>
    </row>
    <row r="108" spans="1:9" hidden="1" outlineLevel="1" x14ac:dyDescent="0.25">
      <c r="A108" s="524" t="s">
        <v>1412</v>
      </c>
      <c r="B108" s="525" t="s">
        <v>1413</v>
      </c>
      <c r="C108" s="526" t="s">
        <v>96</v>
      </c>
      <c r="D108" s="527">
        <v>16</v>
      </c>
      <c r="E108" s="515">
        <v>1300</v>
      </c>
      <c r="F108" s="529">
        <v>1783.77</v>
      </c>
      <c r="G108" s="515">
        <f t="shared" si="25"/>
        <v>20800</v>
      </c>
      <c r="H108" s="515">
        <f t="shared" si="26"/>
        <v>28540.32</v>
      </c>
      <c r="I108" s="515">
        <f t="shared" si="27"/>
        <v>49340.32</v>
      </c>
    </row>
    <row r="109" spans="1:9" hidden="1" outlineLevel="1" x14ac:dyDescent="0.25">
      <c r="A109" s="524" t="s">
        <v>1414</v>
      </c>
      <c r="B109" s="525" t="s">
        <v>1415</v>
      </c>
      <c r="C109" s="526" t="s">
        <v>96</v>
      </c>
      <c r="D109" s="527">
        <v>25</v>
      </c>
      <c r="E109" s="515">
        <v>1300</v>
      </c>
      <c r="F109" s="529">
        <v>1977.18</v>
      </c>
      <c r="G109" s="515">
        <f t="shared" si="25"/>
        <v>32500</v>
      </c>
      <c r="H109" s="515">
        <f t="shared" si="26"/>
        <v>49429.5</v>
      </c>
      <c r="I109" s="515">
        <f t="shared" si="27"/>
        <v>81929.5</v>
      </c>
    </row>
    <row r="110" spans="1:9" hidden="1" outlineLevel="1" x14ac:dyDescent="0.25">
      <c r="A110" s="524" t="s">
        <v>1416</v>
      </c>
      <c r="B110" s="525" t="s">
        <v>1417</v>
      </c>
      <c r="C110" s="526" t="s">
        <v>96</v>
      </c>
      <c r="D110" s="527">
        <v>31</v>
      </c>
      <c r="E110" s="515">
        <v>1300</v>
      </c>
      <c r="F110" s="529">
        <v>2181.35</v>
      </c>
      <c r="G110" s="515">
        <f t="shared" si="25"/>
        <v>40300</v>
      </c>
      <c r="H110" s="515">
        <f t="shared" si="26"/>
        <v>67621.849999999991</v>
      </c>
      <c r="I110" s="515">
        <f t="shared" si="27"/>
        <v>107921.84999999999</v>
      </c>
    </row>
    <row r="111" spans="1:9" hidden="1" outlineLevel="1" x14ac:dyDescent="0.25">
      <c r="A111" s="524" t="s">
        <v>1418</v>
      </c>
      <c r="B111" s="525" t="s">
        <v>1419</v>
      </c>
      <c r="C111" s="526" t="s">
        <v>96</v>
      </c>
      <c r="D111" s="527">
        <v>18</v>
      </c>
      <c r="E111" s="515">
        <v>1300</v>
      </c>
      <c r="F111" s="529">
        <v>2374.77</v>
      </c>
      <c r="G111" s="515">
        <f t="shared" si="25"/>
        <v>23400</v>
      </c>
      <c r="H111" s="515">
        <f t="shared" si="26"/>
        <v>42745.86</v>
      </c>
      <c r="I111" s="515">
        <f t="shared" si="27"/>
        <v>66145.86</v>
      </c>
    </row>
    <row r="112" spans="1:9" hidden="1" outlineLevel="1" x14ac:dyDescent="0.25">
      <c r="A112" s="524" t="s">
        <v>1420</v>
      </c>
      <c r="B112" s="525" t="s">
        <v>1421</v>
      </c>
      <c r="C112" s="526" t="s">
        <v>96</v>
      </c>
      <c r="D112" s="527">
        <v>13</v>
      </c>
      <c r="E112" s="515">
        <v>1300</v>
      </c>
      <c r="F112" s="529">
        <v>2600.4299999999998</v>
      </c>
      <c r="G112" s="515">
        <f t="shared" si="25"/>
        <v>16900</v>
      </c>
      <c r="H112" s="515">
        <f t="shared" si="26"/>
        <v>33805.589999999997</v>
      </c>
      <c r="I112" s="515">
        <f t="shared" si="27"/>
        <v>50705.59</v>
      </c>
    </row>
    <row r="113" spans="1:9" hidden="1" outlineLevel="1" x14ac:dyDescent="0.25">
      <c r="A113" s="524" t="s">
        <v>1422</v>
      </c>
      <c r="B113" s="525" t="s">
        <v>1423</v>
      </c>
      <c r="C113" s="526" t="s">
        <v>96</v>
      </c>
      <c r="D113" s="527">
        <v>8</v>
      </c>
      <c r="E113" s="515">
        <v>1300</v>
      </c>
      <c r="F113" s="529">
        <v>2793.85</v>
      </c>
      <c r="G113" s="515">
        <f t="shared" si="25"/>
        <v>10400</v>
      </c>
      <c r="H113" s="515">
        <f t="shared" si="26"/>
        <v>22350.799999999999</v>
      </c>
      <c r="I113" s="515">
        <f t="shared" si="27"/>
        <v>32750.799999999999</v>
      </c>
    </row>
    <row r="114" spans="1:9" hidden="1" outlineLevel="1" x14ac:dyDescent="0.25">
      <c r="A114" s="524" t="s">
        <v>1424</v>
      </c>
      <c r="B114" s="525" t="s">
        <v>1425</v>
      </c>
      <c r="C114" s="526" t="s">
        <v>96</v>
      </c>
      <c r="D114" s="527">
        <v>2</v>
      </c>
      <c r="E114" s="515">
        <v>1300</v>
      </c>
      <c r="F114" s="529">
        <v>2987.27</v>
      </c>
      <c r="G114" s="515">
        <f t="shared" si="25"/>
        <v>2600</v>
      </c>
      <c r="H114" s="515">
        <f t="shared" si="26"/>
        <v>5974.54</v>
      </c>
      <c r="I114" s="515">
        <f t="shared" si="27"/>
        <v>8574.5400000000009</v>
      </c>
    </row>
    <row r="115" spans="1:9" hidden="1" outlineLevel="1" x14ac:dyDescent="0.25">
      <c r="A115" s="524" t="s">
        <v>1426</v>
      </c>
      <c r="B115" s="525" t="s">
        <v>1427</v>
      </c>
      <c r="C115" s="526" t="s">
        <v>96</v>
      </c>
      <c r="D115" s="527">
        <v>12</v>
      </c>
      <c r="E115" s="515">
        <v>1300</v>
      </c>
      <c r="F115" s="529">
        <v>3954.53</v>
      </c>
      <c r="G115" s="515">
        <f t="shared" si="25"/>
        <v>15600</v>
      </c>
      <c r="H115" s="515">
        <f t="shared" si="26"/>
        <v>47454.36</v>
      </c>
      <c r="I115" s="515">
        <f t="shared" si="27"/>
        <v>63054.36</v>
      </c>
    </row>
    <row r="116" spans="1:9" hidden="1" outlineLevel="1" x14ac:dyDescent="0.25">
      <c r="A116" s="524" t="s">
        <v>1428</v>
      </c>
      <c r="B116" s="525" t="s">
        <v>1429</v>
      </c>
      <c r="C116" s="526" t="s">
        <v>96</v>
      </c>
      <c r="D116" s="527">
        <v>17</v>
      </c>
      <c r="E116" s="515">
        <v>1300</v>
      </c>
      <c r="F116" s="529">
        <v>4336.78</v>
      </c>
      <c r="G116" s="515">
        <f t="shared" si="25"/>
        <v>22100</v>
      </c>
      <c r="H116" s="515">
        <f t="shared" si="26"/>
        <v>73725.259999999995</v>
      </c>
      <c r="I116" s="515">
        <f t="shared" si="27"/>
        <v>95825.26</v>
      </c>
    </row>
    <row r="117" spans="1:9" hidden="1" outlineLevel="1" x14ac:dyDescent="0.25">
      <c r="A117" s="524" t="s">
        <v>1430</v>
      </c>
      <c r="B117" s="525" t="s">
        <v>1431</v>
      </c>
      <c r="C117" s="526" t="s">
        <v>96</v>
      </c>
      <c r="D117" s="527">
        <v>20</v>
      </c>
      <c r="E117" s="515">
        <v>1300</v>
      </c>
      <c r="F117" s="529">
        <v>4884.45</v>
      </c>
      <c r="G117" s="515">
        <f t="shared" si="25"/>
        <v>26000</v>
      </c>
      <c r="H117" s="515">
        <f t="shared" si="26"/>
        <v>97689</v>
      </c>
      <c r="I117" s="515">
        <f t="shared" si="27"/>
        <v>123689</v>
      </c>
    </row>
    <row r="118" spans="1:9" hidden="1" outlineLevel="1" x14ac:dyDescent="0.25">
      <c r="A118" s="524" t="s">
        <v>1432</v>
      </c>
      <c r="B118" s="525" t="s">
        <v>1433</v>
      </c>
      <c r="C118" s="526" t="s">
        <v>96</v>
      </c>
      <c r="D118" s="527">
        <v>7</v>
      </c>
      <c r="E118" s="515">
        <v>1300</v>
      </c>
      <c r="F118" s="529">
        <v>5415</v>
      </c>
      <c r="G118" s="515">
        <f t="shared" si="25"/>
        <v>9100</v>
      </c>
      <c r="H118" s="515">
        <f t="shared" si="26"/>
        <v>37905</v>
      </c>
      <c r="I118" s="515">
        <f t="shared" si="27"/>
        <v>47005</v>
      </c>
    </row>
    <row r="119" spans="1:9" hidden="1" outlineLevel="1" x14ac:dyDescent="0.25">
      <c r="A119" s="524" t="s">
        <v>1434</v>
      </c>
      <c r="B119" s="525" t="s">
        <v>1435</v>
      </c>
      <c r="C119" s="526" t="s">
        <v>96</v>
      </c>
      <c r="D119" s="527">
        <v>4</v>
      </c>
      <c r="E119" s="515">
        <v>1300</v>
      </c>
      <c r="F119" s="529">
        <v>2263.09</v>
      </c>
      <c r="G119" s="515">
        <f t="shared" si="25"/>
        <v>5200</v>
      </c>
      <c r="H119" s="515">
        <f t="shared" si="26"/>
        <v>9052.36</v>
      </c>
      <c r="I119" s="515">
        <f t="shared" si="27"/>
        <v>14252.36</v>
      </c>
    </row>
    <row r="120" spans="1:9" hidden="1" outlineLevel="1" x14ac:dyDescent="0.25">
      <c r="A120" s="524" t="s">
        <v>1436</v>
      </c>
      <c r="B120" s="525" t="s">
        <v>1437</v>
      </c>
      <c r="C120" s="526" t="s">
        <v>96</v>
      </c>
      <c r="D120" s="527">
        <v>10</v>
      </c>
      <c r="E120" s="515">
        <v>1300</v>
      </c>
      <c r="F120" s="529">
        <v>2475.23</v>
      </c>
      <c r="G120" s="515">
        <f t="shared" si="25"/>
        <v>13000</v>
      </c>
      <c r="H120" s="515">
        <f t="shared" si="26"/>
        <v>24752.3</v>
      </c>
      <c r="I120" s="515">
        <f t="shared" si="27"/>
        <v>37752.300000000003</v>
      </c>
    </row>
    <row r="121" spans="1:9" hidden="1" outlineLevel="1" x14ac:dyDescent="0.25">
      <c r="A121" s="524" t="s">
        <v>1438</v>
      </c>
      <c r="B121" s="525" t="s">
        <v>1439</v>
      </c>
      <c r="C121" s="526" t="s">
        <v>96</v>
      </c>
      <c r="D121" s="527">
        <v>26</v>
      </c>
      <c r="E121" s="515">
        <v>1300</v>
      </c>
      <c r="F121" s="529">
        <v>2713.44</v>
      </c>
      <c r="G121" s="515">
        <f t="shared" si="25"/>
        <v>33800</v>
      </c>
      <c r="H121" s="515">
        <f t="shared" si="26"/>
        <v>70549.440000000002</v>
      </c>
      <c r="I121" s="515">
        <f t="shared" si="27"/>
        <v>104349.44</v>
      </c>
    </row>
    <row r="122" spans="1:9" hidden="1" outlineLevel="1" x14ac:dyDescent="0.25">
      <c r="A122" s="524" t="s">
        <v>1440</v>
      </c>
      <c r="B122" s="525" t="s">
        <v>1439</v>
      </c>
      <c r="C122" s="526" t="s">
        <v>96</v>
      </c>
      <c r="D122" s="527">
        <v>13</v>
      </c>
      <c r="E122" s="515">
        <v>1300</v>
      </c>
      <c r="F122" s="529">
        <v>2713.44</v>
      </c>
      <c r="G122" s="515">
        <f t="shared" si="25"/>
        <v>16900</v>
      </c>
      <c r="H122" s="515">
        <f t="shared" si="26"/>
        <v>35274.720000000001</v>
      </c>
      <c r="I122" s="515">
        <f t="shared" si="27"/>
        <v>52174.720000000001</v>
      </c>
    </row>
    <row r="123" spans="1:9" hidden="1" outlineLevel="1" x14ac:dyDescent="0.25">
      <c r="A123" s="524" t="s">
        <v>1441</v>
      </c>
      <c r="B123" s="525" t="s">
        <v>1442</v>
      </c>
      <c r="C123" s="526" t="s">
        <v>96</v>
      </c>
      <c r="D123" s="527">
        <v>10</v>
      </c>
      <c r="E123" s="515">
        <v>1300</v>
      </c>
      <c r="F123" s="529">
        <v>2918.36</v>
      </c>
      <c r="G123" s="515">
        <f t="shared" si="25"/>
        <v>13000</v>
      </c>
      <c r="H123" s="515">
        <f t="shared" si="26"/>
        <v>29183.600000000002</v>
      </c>
      <c r="I123" s="515">
        <f t="shared" si="27"/>
        <v>42183.600000000006</v>
      </c>
    </row>
    <row r="124" spans="1:9" hidden="1" outlineLevel="1" x14ac:dyDescent="0.25">
      <c r="A124" s="524" t="s">
        <v>1443</v>
      </c>
      <c r="B124" s="525" t="s">
        <v>1444</v>
      </c>
      <c r="C124" s="526" t="s">
        <v>96</v>
      </c>
      <c r="D124" s="527">
        <v>2</v>
      </c>
      <c r="E124" s="515">
        <v>1300</v>
      </c>
      <c r="F124" s="529">
        <v>2205.02</v>
      </c>
      <c r="G124" s="515">
        <f t="shared" si="25"/>
        <v>2600</v>
      </c>
      <c r="H124" s="515">
        <f t="shared" si="26"/>
        <v>4410.04</v>
      </c>
      <c r="I124" s="515">
        <f t="shared" si="27"/>
        <v>7010.04</v>
      </c>
    </row>
    <row r="125" spans="1:9" hidden="1" outlineLevel="1" x14ac:dyDescent="0.25">
      <c r="A125" s="524" t="s">
        <v>1445</v>
      </c>
      <c r="B125" s="525" t="s">
        <v>1446</v>
      </c>
      <c r="C125" s="526" t="s">
        <v>96</v>
      </c>
      <c r="D125" s="527">
        <v>7</v>
      </c>
      <c r="E125" s="515">
        <v>1300</v>
      </c>
      <c r="F125" s="529">
        <v>2451.84</v>
      </c>
      <c r="G125" s="515">
        <f t="shared" si="25"/>
        <v>9100</v>
      </c>
      <c r="H125" s="515">
        <f t="shared" si="26"/>
        <v>17162.88</v>
      </c>
      <c r="I125" s="515">
        <f t="shared" si="27"/>
        <v>26262.880000000001</v>
      </c>
    </row>
    <row r="126" spans="1:9" hidden="1" outlineLevel="1" x14ac:dyDescent="0.25">
      <c r="A126" s="524" t="s">
        <v>1447</v>
      </c>
      <c r="B126" s="525" t="s">
        <v>1448</v>
      </c>
      <c r="C126" s="530" t="s">
        <v>96</v>
      </c>
      <c r="D126" s="531">
        <v>12</v>
      </c>
      <c r="E126" s="515">
        <v>1300</v>
      </c>
      <c r="F126" s="529">
        <v>2688.55</v>
      </c>
      <c r="G126" s="515">
        <f t="shared" si="25"/>
        <v>15600</v>
      </c>
      <c r="H126" s="515">
        <f t="shared" si="26"/>
        <v>32262.600000000002</v>
      </c>
      <c r="I126" s="515">
        <f t="shared" si="27"/>
        <v>47862.600000000006</v>
      </c>
    </row>
    <row r="127" spans="1:9" hidden="1" outlineLevel="1" x14ac:dyDescent="0.25">
      <c r="A127" s="524" t="s">
        <v>1449</v>
      </c>
      <c r="B127" s="525" t="s">
        <v>1450</v>
      </c>
      <c r="C127" s="530" t="s">
        <v>96</v>
      </c>
      <c r="D127" s="531">
        <v>9</v>
      </c>
      <c r="E127" s="515">
        <v>1300</v>
      </c>
      <c r="F127" s="529">
        <v>2945.49</v>
      </c>
      <c r="G127" s="515">
        <f t="shared" si="25"/>
        <v>11700</v>
      </c>
      <c r="H127" s="515">
        <f t="shared" si="26"/>
        <v>26509.409999999996</v>
      </c>
      <c r="I127" s="515">
        <f t="shared" si="27"/>
        <v>38209.409999999996</v>
      </c>
    </row>
    <row r="128" spans="1:9" hidden="1" outlineLevel="1" x14ac:dyDescent="0.25">
      <c r="A128" s="524" t="s">
        <v>1451</v>
      </c>
      <c r="B128" s="525" t="s">
        <v>1452</v>
      </c>
      <c r="C128" s="530" t="s">
        <v>96</v>
      </c>
      <c r="D128" s="531">
        <v>7</v>
      </c>
      <c r="E128" s="515">
        <v>1300</v>
      </c>
      <c r="F128" s="529">
        <v>3151.86</v>
      </c>
      <c r="G128" s="515">
        <f t="shared" si="25"/>
        <v>9100</v>
      </c>
      <c r="H128" s="515">
        <f t="shared" si="26"/>
        <v>22063.02</v>
      </c>
      <c r="I128" s="515">
        <f t="shared" si="27"/>
        <v>31163.02</v>
      </c>
    </row>
    <row r="129" spans="1:9" hidden="1" outlineLevel="1" x14ac:dyDescent="0.25">
      <c r="A129" s="524" t="s">
        <v>1453</v>
      </c>
      <c r="B129" s="525" t="s">
        <v>1454</v>
      </c>
      <c r="C129" s="530" t="s">
        <v>96</v>
      </c>
      <c r="D129" s="531">
        <v>7</v>
      </c>
      <c r="E129" s="515">
        <v>1300</v>
      </c>
      <c r="F129" s="529">
        <v>3408.8</v>
      </c>
      <c r="G129" s="515">
        <f t="shared" si="25"/>
        <v>9100</v>
      </c>
      <c r="H129" s="515">
        <f t="shared" si="26"/>
        <v>23861.600000000002</v>
      </c>
      <c r="I129" s="515">
        <f t="shared" si="27"/>
        <v>32961.600000000006</v>
      </c>
    </row>
    <row r="130" spans="1:9" hidden="1" outlineLevel="1" x14ac:dyDescent="0.25">
      <c r="A130" s="524" t="s">
        <v>1455</v>
      </c>
      <c r="B130" s="525" t="s">
        <v>1456</v>
      </c>
      <c r="C130" s="530" t="s">
        <v>96</v>
      </c>
      <c r="D130" s="531">
        <v>2</v>
      </c>
      <c r="E130" s="515">
        <v>1300</v>
      </c>
      <c r="F130" s="529">
        <v>3635.39</v>
      </c>
      <c r="G130" s="515">
        <f t="shared" si="25"/>
        <v>2600</v>
      </c>
      <c r="H130" s="515">
        <f t="shared" si="26"/>
        <v>7270.78</v>
      </c>
      <c r="I130" s="515">
        <f t="shared" si="27"/>
        <v>9870.7799999999988</v>
      </c>
    </row>
    <row r="131" spans="1:9" hidden="1" outlineLevel="1" x14ac:dyDescent="0.25">
      <c r="A131" s="524" t="s">
        <v>1457</v>
      </c>
      <c r="B131" s="525" t="s">
        <v>1458</v>
      </c>
      <c r="C131" s="530" t="s">
        <v>96</v>
      </c>
      <c r="D131" s="531">
        <v>1</v>
      </c>
      <c r="E131" s="515">
        <v>1300</v>
      </c>
      <c r="F131" s="529">
        <v>6650.44</v>
      </c>
      <c r="G131" s="515">
        <f t="shared" si="25"/>
        <v>1300</v>
      </c>
      <c r="H131" s="515">
        <f t="shared" si="26"/>
        <v>6650.44</v>
      </c>
      <c r="I131" s="515">
        <f t="shared" si="27"/>
        <v>7950.44</v>
      </c>
    </row>
    <row r="132" spans="1:9" hidden="1" outlineLevel="1" x14ac:dyDescent="0.25">
      <c r="A132" s="524" t="s">
        <v>1459</v>
      </c>
      <c r="B132" s="525" t="s">
        <v>1460</v>
      </c>
      <c r="C132" s="530" t="s">
        <v>96</v>
      </c>
      <c r="D132" s="531">
        <v>7</v>
      </c>
      <c r="E132" s="515">
        <v>1300</v>
      </c>
      <c r="F132" s="515">
        <v>4644.13</v>
      </c>
      <c r="G132" s="515">
        <f t="shared" si="25"/>
        <v>9100</v>
      </c>
      <c r="H132" s="515">
        <f t="shared" si="26"/>
        <v>32508.91</v>
      </c>
      <c r="I132" s="515">
        <f t="shared" si="27"/>
        <v>41608.910000000003</v>
      </c>
    </row>
    <row r="133" spans="1:9" hidden="1" outlineLevel="1" x14ac:dyDescent="0.25">
      <c r="A133" s="524" t="s">
        <v>1461</v>
      </c>
      <c r="B133" s="525" t="s">
        <v>1462</v>
      </c>
      <c r="C133" s="530" t="s">
        <v>96</v>
      </c>
      <c r="D133" s="531">
        <v>15</v>
      </c>
      <c r="E133" s="515">
        <v>1300</v>
      </c>
      <c r="F133" s="532">
        <v>5201.8100000000004</v>
      </c>
      <c r="G133" s="515">
        <f t="shared" si="25"/>
        <v>19500</v>
      </c>
      <c r="H133" s="515">
        <f t="shared" si="26"/>
        <v>78027.150000000009</v>
      </c>
      <c r="I133" s="515">
        <f t="shared" si="27"/>
        <v>97527.150000000009</v>
      </c>
    </row>
    <row r="134" spans="1:9" hidden="1" outlineLevel="1" x14ac:dyDescent="0.25">
      <c r="A134" s="524" t="s">
        <v>1463</v>
      </c>
      <c r="B134" s="525" t="s">
        <v>1464</v>
      </c>
      <c r="C134" s="530" t="s">
        <v>96</v>
      </c>
      <c r="D134" s="531">
        <v>5</v>
      </c>
      <c r="E134" s="515">
        <v>1300</v>
      </c>
      <c r="F134" s="533">
        <v>5569.83</v>
      </c>
      <c r="G134" s="515">
        <f t="shared" si="25"/>
        <v>6500</v>
      </c>
      <c r="H134" s="515">
        <f t="shared" si="26"/>
        <v>27849.15</v>
      </c>
      <c r="I134" s="515">
        <f t="shared" si="27"/>
        <v>34349.15</v>
      </c>
    </row>
    <row r="135" spans="1:9" hidden="1" outlineLevel="1" x14ac:dyDescent="0.25">
      <c r="A135" s="524" t="s">
        <v>1465</v>
      </c>
      <c r="B135" s="525" t="s">
        <v>1466</v>
      </c>
      <c r="C135" s="530" t="s">
        <v>96</v>
      </c>
      <c r="D135" s="531">
        <v>6</v>
      </c>
      <c r="E135" s="515">
        <v>1300</v>
      </c>
      <c r="F135" s="529">
        <v>2695.23</v>
      </c>
      <c r="G135" s="515">
        <f t="shared" si="25"/>
        <v>7800</v>
      </c>
      <c r="H135" s="515">
        <f t="shared" si="26"/>
        <v>16171.380000000001</v>
      </c>
      <c r="I135" s="515">
        <f t="shared" si="27"/>
        <v>23971.38</v>
      </c>
    </row>
    <row r="136" spans="1:9" hidden="1" outlineLevel="1" x14ac:dyDescent="0.25">
      <c r="A136" s="524" t="s">
        <v>1467</v>
      </c>
      <c r="B136" s="525" t="s">
        <v>1468</v>
      </c>
      <c r="C136" s="530" t="s">
        <v>96</v>
      </c>
      <c r="D136" s="531">
        <v>7</v>
      </c>
      <c r="E136" s="515">
        <v>1300</v>
      </c>
      <c r="F136" s="529">
        <v>2695.23</v>
      </c>
      <c r="G136" s="515">
        <f t="shared" si="25"/>
        <v>9100</v>
      </c>
      <c r="H136" s="515">
        <f t="shared" si="26"/>
        <v>18866.61</v>
      </c>
      <c r="I136" s="515">
        <f t="shared" si="27"/>
        <v>27966.61</v>
      </c>
    </row>
    <row r="137" spans="1:9" hidden="1" outlineLevel="1" x14ac:dyDescent="0.25">
      <c r="A137" s="524" t="s">
        <v>1469</v>
      </c>
      <c r="B137" s="525" t="s">
        <v>1470</v>
      </c>
      <c r="C137" s="530" t="s">
        <v>96</v>
      </c>
      <c r="D137" s="531">
        <v>1</v>
      </c>
      <c r="E137" s="515">
        <v>1300</v>
      </c>
      <c r="F137" s="529">
        <v>2917.62</v>
      </c>
      <c r="G137" s="515">
        <f t="shared" si="25"/>
        <v>1300</v>
      </c>
      <c r="H137" s="515">
        <f t="shared" si="26"/>
        <v>2917.62</v>
      </c>
      <c r="I137" s="515">
        <f t="shared" si="27"/>
        <v>4217.62</v>
      </c>
    </row>
    <row r="138" spans="1:9" hidden="1" outlineLevel="1" x14ac:dyDescent="0.25">
      <c r="A138" s="524" t="s">
        <v>1471</v>
      </c>
      <c r="B138" s="525" t="s">
        <v>1472</v>
      </c>
      <c r="C138" s="530" t="s">
        <v>96</v>
      </c>
      <c r="D138" s="531">
        <v>2</v>
      </c>
      <c r="E138" s="515">
        <v>1300</v>
      </c>
      <c r="F138" s="529">
        <v>2285.65</v>
      </c>
      <c r="G138" s="515">
        <f t="shared" si="25"/>
        <v>2600</v>
      </c>
      <c r="H138" s="515">
        <f t="shared" si="26"/>
        <v>4571.3</v>
      </c>
      <c r="I138" s="515">
        <f t="shared" si="27"/>
        <v>7171.3</v>
      </c>
    </row>
    <row r="139" spans="1:9" hidden="1" outlineLevel="1" x14ac:dyDescent="0.25">
      <c r="A139" s="524" t="s">
        <v>1473</v>
      </c>
      <c r="B139" s="525" t="s">
        <v>1474</v>
      </c>
      <c r="C139" s="530" t="s">
        <v>96</v>
      </c>
      <c r="D139" s="531">
        <v>5</v>
      </c>
      <c r="E139" s="515">
        <v>1300</v>
      </c>
      <c r="F139" s="529">
        <v>2548.6</v>
      </c>
      <c r="G139" s="515">
        <f t="shared" si="25"/>
        <v>6500</v>
      </c>
      <c r="H139" s="515">
        <f t="shared" si="26"/>
        <v>12743</v>
      </c>
      <c r="I139" s="515">
        <f t="shared" si="27"/>
        <v>19243</v>
      </c>
    </row>
    <row r="140" spans="1:9" hidden="1" outlineLevel="1" x14ac:dyDescent="0.25">
      <c r="A140" s="524" t="s">
        <v>1475</v>
      </c>
      <c r="B140" s="525" t="s">
        <v>1476</v>
      </c>
      <c r="C140" s="530" t="s">
        <v>96</v>
      </c>
      <c r="D140" s="531">
        <v>7</v>
      </c>
      <c r="E140" s="515">
        <v>1300</v>
      </c>
      <c r="F140" s="529">
        <v>2801.43</v>
      </c>
      <c r="G140" s="515">
        <f t="shared" si="25"/>
        <v>9100</v>
      </c>
      <c r="H140" s="515">
        <f t="shared" si="26"/>
        <v>19610.009999999998</v>
      </c>
      <c r="I140" s="515">
        <f t="shared" si="27"/>
        <v>28710.01</v>
      </c>
    </row>
    <row r="141" spans="1:9" hidden="1" outlineLevel="1" x14ac:dyDescent="0.25">
      <c r="A141" s="524" t="s">
        <v>1477</v>
      </c>
      <c r="B141" s="525" t="s">
        <v>1478</v>
      </c>
      <c r="C141" s="530" t="s">
        <v>96</v>
      </c>
      <c r="D141" s="531">
        <v>4</v>
      </c>
      <c r="E141" s="515">
        <v>1300</v>
      </c>
      <c r="F141" s="529">
        <v>3074.5</v>
      </c>
      <c r="G141" s="515">
        <f t="shared" si="25"/>
        <v>5200</v>
      </c>
      <c r="H141" s="515">
        <f t="shared" si="26"/>
        <v>12298</v>
      </c>
      <c r="I141" s="515">
        <f t="shared" si="27"/>
        <v>17498</v>
      </c>
    </row>
    <row r="142" spans="1:9" hidden="1" outlineLevel="1" x14ac:dyDescent="0.25">
      <c r="A142" s="524" t="s">
        <v>1479</v>
      </c>
      <c r="B142" s="525" t="s">
        <v>1480</v>
      </c>
      <c r="C142" s="530" t="s">
        <v>96</v>
      </c>
      <c r="D142" s="531">
        <v>2</v>
      </c>
      <c r="E142" s="515">
        <v>1300</v>
      </c>
      <c r="F142" s="529">
        <v>3296.99</v>
      </c>
      <c r="G142" s="515">
        <f t="shared" si="25"/>
        <v>2600</v>
      </c>
      <c r="H142" s="515">
        <f t="shared" si="26"/>
        <v>6593.98</v>
      </c>
      <c r="I142" s="515">
        <f t="shared" si="27"/>
        <v>9193.98</v>
      </c>
    </row>
    <row r="143" spans="1:9" hidden="1" outlineLevel="1" x14ac:dyDescent="0.25">
      <c r="A143" s="524" t="s">
        <v>1481</v>
      </c>
      <c r="B143" s="525" t="s">
        <v>1482</v>
      </c>
      <c r="C143" s="530" t="s">
        <v>96</v>
      </c>
      <c r="D143" s="531">
        <v>4</v>
      </c>
      <c r="E143" s="515">
        <v>1300</v>
      </c>
      <c r="F143" s="529">
        <v>3570.06</v>
      </c>
      <c r="G143" s="515">
        <f t="shared" si="25"/>
        <v>5200</v>
      </c>
      <c r="H143" s="515">
        <f t="shared" si="26"/>
        <v>14280.24</v>
      </c>
      <c r="I143" s="515">
        <f t="shared" si="27"/>
        <v>19480.239999999998</v>
      </c>
    </row>
    <row r="144" spans="1:9" hidden="1" outlineLevel="1" x14ac:dyDescent="0.25">
      <c r="A144" s="524" t="s">
        <v>1483</v>
      </c>
      <c r="B144" s="525" t="s">
        <v>1484</v>
      </c>
      <c r="C144" s="530" t="s">
        <v>96</v>
      </c>
      <c r="D144" s="531">
        <v>2</v>
      </c>
      <c r="E144" s="515">
        <v>1300</v>
      </c>
      <c r="F144" s="529">
        <v>3812.78</v>
      </c>
      <c r="G144" s="515">
        <f t="shared" si="25"/>
        <v>2600</v>
      </c>
      <c r="H144" s="515">
        <f t="shared" si="26"/>
        <v>7625.56</v>
      </c>
      <c r="I144" s="515">
        <f t="shared" si="27"/>
        <v>10225.560000000001</v>
      </c>
    </row>
    <row r="145" spans="1:11" hidden="1" outlineLevel="1" x14ac:dyDescent="0.25">
      <c r="A145" s="524" t="s">
        <v>1485</v>
      </c>
      <c r="B145" s="525" t="s">
        <v>1486</v>
      </c>
      <c r="C145" s="530" t="s">
        <v>96</v>
      </c>
      <c r="D145" s="531">
        <v>7</v>
      </c>
      <c r="E145" s="515">
        <v>1300</v>
      </c>
      <c r="F145" s="529">
        <v>6883.34</v>
      </c>
      <c r="G145" s="515">
        <f t="shared" si="25"/>
        <v>9100</v>
      </c>
      <c r="H145" s="515">
        <f t="shared" si="26"/>
        <v>48183.380000000005</v>
      </c>
      <c r="I145" s="515">
        <f t="shared" si="27"/>
        <v>57283.380000000005</v>
      </c>
    </row>
    <row r="146" spans="1:11" hidden="1" outlineLevel="1" x14ac:dyDescent="0.25">
      <c r="A146" s="524" t="s">
        <v>1487</v>
      </c>
      <c r="B146" s="525" t="s">
        <v>1488</v>
      </c>
      <c r="C146" s="530" t="s">
        <v>96</v>
      </c>
      <c r="D146" s="531">
        <v>10</v>
      </c>
      <c r="E146" s="515">
        <v>1300</v>
      </c>
      <c r="F146" s="529">
        <v>7551.87</v>
      </c>
      <c r="G146" s="515">
        <f t="shared" si="25"/>
        <v>13000</v>
      </c>
      <c r="H146" s="515">
        <f t="shared" si="26"/>
        <v>75518.7</v>
      </c>
      <c r="I146" s="515">
        <f t="shared" si="27"/>
        <v>88518.7</v>
      </c>
    </row>
    <row r="147" spans="1:11" hidden="1" outlineLevel="1" x14ac:dyDescent="0.25">
      <c r="A147" s="524" t="s">
        <v>1489</v>
      </c>
      <c r="B147" s="525" t="s">
        <v>1490</v>
      </c>
      <c r="C147" s="530" t="s">
        <v>96</v>
      </c>
      <c r="D147" s="531">
        <v>8</v>
      </c>
      <c r="E147" s="515">
        <v>1300</v>
      </c>
      <c r="F147" s="529">
        <v>8543.9</v>
      </c>
      <c r="G147" s="515">
        <f t="shared" si="25"/>
        <v>10400</v>
      </c>
      <c r="H147" s="515">
        <f t="shared" si="26"/>
        <v>68351.199999999997</v>
      </c>
      <c r="I147" s="515">
        <f t="shared" si="27"/>
        <v>78751.199999999997</v>
      </c>
    </row>
    <row r="148" spans="1:11" hidden="1" outlineLevel="1" x14ac:dyDescent="0.25">
      <c r="A148" s="524" t="s">
        <v>1491</v>
      </c>
      <c r="B148" s="525" t="s">
        <v>1492</v>
      </c>
      <c r="C148" s="530" t="s">
        <v>96</v>
      </c>
      <c r="D148" s="531">
        <v>3</v>
      </c>
      <c r="E148" s="515">
        <v>1300</v>
      </c>
      <c r="F148" s="534">
        <v>9315.86</v>
      </c>
      <c r="G148" s="515">
        <f t="shared" si="25"/>
        <v>3900</v>
      </c>
      <c r="H148" s="515">
        <f t="shared" si="26"/>
        <v>27947.58</v>
      </c>
      <c r="I148" s="515">
        <f t="shared" si="27"/>
        <v>31847.58</v>
      </c>
    </row>
    <row r="149" spans="1:11" hidden="1" outlineLevel="1" x14ac:dyDescent="0.25">
      <c r="A149" s="524" t="s">
        <v>1493</v>
      </c>
      <c r="B149" s="525" t="s">
        <v>1494</v>
      </c>
      <c r="C149" s="530" t="s">
        <v>96</v>
      </c>
      <c r="D149" s="531">
        <v>1</v>
      </c>
      <c r="E149" s="515">
        <v>1300</v>
      </c>
      <c r="F149" s="529">
        <v>3577.17</v>
      </c>
      <c r="G149" s="515">
        <f t="shared" si="25"/>
        <v>1300</v>
      </c>
      <c r="H149" s="515">
        <f t="shared" si="26"/>
        <v>3577.17</v>
      </c>
      <c r="I149" s="515">
        <f t="shared" si="27"/>
        <v>4877.17</v>
      </c>
    </row>
    <row r="150" spans="1:11" hidden="1" outlineLevel="1" x14ac:dyDescent="0.25">
      <c r="A150" s="524" t="s">
        <v>1495</v>
      </c>
      <c r="B150" s="525" t="s">
        <v>1496</v>
      </c>
      <c r="C150" s="530" t="s">
        <v>96</v>
      </c>
      <c r="D150" s="531">
        <v>1</v>
      </c>
      <c r="E150" s="515">
        <v>1300</v>
      </c>
      <c r="F150" s="529">
        <v>3914.93</v>
      </c>
      <c r="G150" s="515">
        <f t="shared" si="25"/>
        <v>1300</v>
      </c>
      <c r="H150" s="515">
        <f t="shared" si="26"/>
        <v>3914.93</v>
      </c>
      <c r="I150" s="515">
        <f t="shared" si="27"/>
        <v>5214.93</v>
      </c>
    </row>
    <row r="151" spans="1:11" hidden="1" outlineLevel="1" x14ac:dyDescent="0.25">
      <c r="A151" s="524" t="s">
        <v>1497</v>
      </c>
      <c r="B151" s="525" t="s">
        <v>1498</v>
      </c>
      <c r="C151" s="530" t="s">
        <v>96</v>
      </c>
      <c r="D151" s="531">
        <v>6</v>
      </c>
      <c r="E151" s="515">
        <v>1300</v>
      </c>
      <c r="F151" s="529">
        <v>4193.87</v>
      </c>
      <c r="G151" s="515">
        <f t="shared" si="25"/>
        <v>7800</v>
      </c>
      <c r="H151" s="515">
        <f t="shared" si="26"/>
        <v>25163.22</v>
      </c>
      <c r="I151" s="515">
        <f t="shared" si="27"/>
        <v>32963.22</v>
      </c>
    </row>
    <row r="152" spans="1:11" hidden="1" outlineLevel="1" x14ac:dyDescent="0.25">
      <c r="A152" s="524" t="s">
        <v>1499</v>
      </c>
      <c r="B152" s="525" t="s">
        <v>1500</v>
      </c>
      <c r="C152" s="530" t="s">
        <v>96</v>
      </c>
      <c r="D152" s="531">
        <v>2</v>
      </c>
      <c r="E152" s="515">
        <v>1300</v>
      </c>
      <c r="F152" s="529">
        <v>4193.87</v>
      </c>
      <c r="G152" s="515">
        <f t="shared" si="25"/>
        <v>2600</v>
      </c>
      <c r="H152" s="515">
        <f t="shared" si="26"/>
        <v>8387.74</v>
      </c>
      <c r="I152" s="515">
        <f t="shared" si="27"/>
        <v>10987.74</v>
      </c>
    </row>
    <row r="153" spans="1:11" hidden="1" outlineLevel="1" x14ac:dyDescent="0.25">
      <c r="A153" s="524" t="s">
        <v>1501</v>
      </c>
      <c r="B153" s="525" t="s">
        <v>1502</v>
      </c>
      <c r="C153" s="530" t="s">
        <v>96</v>
      </c>
      <c r="D153" s="531">
        <v>2</v>
      </c>
      <c r="E153" s="515">
        <v>1300</v>
      </c>
      <c r="F153" s="529">
        <v>4841.67</v>
      </c>
      <c r="G153" s="515">
        <f t="shared" si="25"/>
        <v>2600</v>
      </c>
      <c r="H153" s="515">
        <f t="shared" si="26"/>
        <v>9683.34</v>
      </c>
      <c r="I153" s="515">
        <f t="shared" si="27"/>
        <v>12283.34</v>
      </c>
    </row>
    <row r="154" spans="1:11" hidden="1" outlineLevel="1" x14ac:dyDescent="0.25">
      <c r="A154" s="524" t="s">
        <v>1503</v>
      </c>
      <c r="B154" s="525" t="s">
        <v>1504</v>
      </c>
      <c r="C154" s="530" t="s">
        <v>96</v>
      </c>
      <c r="D154" s="531">
        <v>2</v>
      </c>
      <c r="E154" s="515">
        <v>1300</v>
      </c>
      <c r="F154" s="529">
        <v>5466.74</v>
      </c>
      <c r="G154" s="515">
        <f t="shared" si="25"/>
        <v>2600</v>
      </c>
      <c r="H154" s="515">
        <f t="shared" si="26"/>
        <v>10933.48</v>
      </c>
      <c r="I154" s="515">
        <f t="shared" si="27"/>
        <v>13533.48</v>
      </c>
    </row>
    <row r="155" spans="1:11" hidden="1" outlineLevel="1" x14ac:dyDescent="0.25">
      <c r="A155" s="524" t="s">
        <v>1505</v>
      </c>
      <c r="B155" s="525" t="s">
        <v>1506</v>
      </c>
      <c r="C155" s="530" t="s">
        <v>96</v>
      </c>
      <c r="D155" s="531">
        <v>1</v>
      </c>
      <c r="E155" s="515">
        <v>1300</v>
      </c>
      <c r="F155" s="529">
        <v>6866.57</v>
      </c>
      <c r="G155" s="515">
        <f t="shared" si="25"/>
        <v>1300</v>
      </c>
      <c r="H155" s="515">
        <f t="shared" si="26"/>
        <v>6866.57</v>
      </c>
      <c r="I155" s="515">
        <f t="shared" si="27"/>
        <v>8166.57</v>
      </c>
    </row>
    <row r="156" spans="1:11" hidden="1" outlineLevel="1" x14ac:dyDescent="0.25">
      <c r="A156" s="524" t="s">
        <v>1507</v>
      </c>
      <c r="B156" s="525" t="s">
        <v>1508</v>
      </c>
      <c r="C156" s="530" t="s">
        <v>96</v>
      </c>
      <c r="D156" s="531">
        <v>1</v>
      </c>
      <c r="E156" s="515">
        <v>1300</v>
      </c>
      <c r="F156" s="529">
        <v>3616.67</v>
      </c>
      <c r="G156" s="515">
        <f t="shared" si="25"/>
        <v>1300</v>
      </c>
      <c r="H156" s="515">
        <f t="shared" si="26"/>
        <v>3616.67</v>
      </c>
      <c r="I156" s="515">
        <f t="shared" si="27"/>
        <v>4916.67</v>
      </c>
    </row>
    <row r="157" spans="1:11" hidden="1" outlineLevel="1" x14ac:dyDescent="0.25">
      <c r="A157" s="524" t="s">
        <v>1509</v>
      </c>
      <c r="B157" s="525" t="s">
        <v>1510</v>
      </c>
      <c r="C157" s="530" t="s">
        <v>96</v>
      </c>
      <c r="D157" s="531">
        <v>3</v>
      </c>
      <c r="E157" s="515">
        <v>1300</v>
      </c>
      <c r="F157" s="529">
        <v>4100.8900000000003</v>
      </c>
      <c r="G157" s="515">
        <f t="shared" si="25"/>
        <v>3900</v>
      </c>
      <c r="H157" s="515">
        <f t="shared" si="26"/>
        <v>12302.670000000002</v>
      </c>
      <c r="I157" s="515">
        <f t="shared" si="27"/>
        <v>16202.670000000002</v>
      </c>
    </row>
    <row r="158" spans="1:11" hidden="1" outlineLevel="1" x14ac:dyDescent="0.25">
      <c r="A158" s="524" t="s">
        <v>1511</v>
      </c>
      <c r="B158" s="525" t="s">
        <v>1512</v>
      </c>
      <c r="C158" s="530" t="s">
        <v>96</v>
      </c>
      <c r="D158" s="531">
        <v>1</v>
      </c>
      <c r="E158" s="515">
        <v>1300</v>
      </c>
      <c r="F158" s="529">
        <v>4556.37</v>
      </c>
      <c r="G158" s="515">
        <f t="shared" si="25"/>
        <v>1300</v>
      </c>
      <c r="H158" s="515">
        <f t="shared" si="26"/>
        <v>4556.37</v>
      </c>
      <c r="I158" s="515">
        <f t="shared" si="27"/>
        <v>5856.37</v>
      </c>
      <c r="K158" s="535">
        <v>-4556.37</v>
      </c>
    </row>
    <row r="159" spans="1:11" hidden="1" outlineLevel="1" x14ac:dyDescent="0.25">
      <c r="A159" s="524" t="s">
        <v>1513</v>
      </c>
      <c r="B159" s="536" t="s">
        <v>1514</v>
      </c>
      <c r="C159" s="537" t="s">
        <v>96</v>
      </c>
      <c r="D159" s="515">
        <v>349</v>
      </c>
      <c r="E159" s="515">
        <v>100</v>
      </c>
      <c r="F159" s="515">
        <v>282</v>
      </c>
      <c r="G159" s="515">
        <f t="shared" ref="G159:G174" si="28">PRODUCT(E159,D159)</f>
        <v>34900</v>
      </c>
      <c r="H159" s="515">
        <f t="shared" si="26"/>
        <v>98418</v>
      </c>
      <c r="I159" s="515">
        <f t="shared" si="27"/>
        <v>133318</v>
      </c>
    </row>
    <row r="160" spans="1:11" hidden="1" outlineLevel="1" x14ac:dyDescent="0.25">
      <c r="A160" s="524" t="s">
        <v>1515</v>
      </c>
      <c r="B160" s="538" t="s">
        <v>1516</v>
      </c>
      <c r="C160" s="537" t="s">
        <v>96</v>
      </c>
      <c r="D160" s="515">
        <v>1388</v>
      </c>
      <c r="E160" s="515">
        <v>0</v>
      </c>
      <c r="F160" s="515">
        <v>6.49</v>
      </c>
      <c r="G160" s="515">
        <f t="shared" si="28"/>
        <v>0</v>
      </c>
      <c r="H160" s="515">
        <f>PRODUCT(F160,D160)</f>
        <v>9008.1200000000008</v>
      </c>
      <c r="I160" s="515">
        <f>SUM(G160:H160)</f>
        <v>9008.1200000000008</v>
      </c>
    </row>
    <row r="161" spans="1:9" hidden="1" outlineLevel="1" x14ac:dyDescent="0.25">
      <c r="A161" s="524" t="s">
        <v>1517</v>
      </c>
      <c r="B161" s="539" t="s">
        <v>1518</v>
      </c>
      <c r="C161" s="537" t="s">
        <v>96</v>
      </c>
      <c r="D161" s="515">
        <v>2388</v>
      </c>
      <c r="E161" s="515">
        <v>0</v>
      </c>
      <c r="F161" s="515">
        <v>3.77</v>
      </c>
      <c r="G161" s="515">
        <f t="shared" si="28"/>
        <v>0</v>
      </c>
      <c r="H161" s="515">
        <f t="shared" ref="H161:H169" si="29">PRODUCT(F161,D161)</f>
        <v>9002.76</v>
      </c>
      <c r="I161" s="515">
        <f t="shared" ref="I161:I169" si="30">SUM(G161:H161)</f>
        <v>9002.76</v>
      </c>
    </row>
    <row r="162" spans="1:9" hidden="1" outlineLevel="1" x14ac:dyDescent="0.25">
      <c r="A162" s="524" t="s">
        <v>1519</v>
      </c>
      <c r="B162" s="538" t="s">
        <v>1520</v>
      </c>
      <c r="C162" s="537" t="s">
        <v>96</v>
      </c>
      <c r="D162" s="515">
        <v>1428</v>
      </c>
      <c r="E162" s="515">
        <v>0</v>
      </c>
      <c r="F162" s="515">
        <v>72.540000000000006</v>
      </c>
      <c r="G162" s="515">
        <f t="shared" si="28"/>
        <v>0</v>
      </c>
      <c r="H162" s="515">
        <f t="shared" si="29"/>
        <v>103587.12000000001</v>
      </c>
      <c r="I162" s="515">
        <f t="shared" si="30"/>
        <v>103587.12000000001</v>
      </c>
    </row>
    <row r="163" spans="1:9" hidden="1" outlineLevel="1" x14ac:dyDescent="0.25">
      <c r="A163" s="524" t="s">
        <v>1521</v>
      </c>
      <c r="B163" s="538" t="s">
        <v>1522</v>
      </c>
      <c r="C163" s="537" t="s">
        <v>44</v>
      </c>
      <c r="D163" s="515">
        <v>115</v>
      </c>
      <c r="E163" s="515">
        <v>0</v>
      </c>
      <c r="F163" s="515">
        <v>88.66</v>
      </c>
      <c r="G163" s="515">
        <f t="shared" si="28"/>
        <v>0</v>
      </c>
      <c r="H163" s="515">
        <f t="shared" si="29"/>
        <v>10195.9</v>
      </c>
      <c r="I163" s="515">
        <f t="shared" si="30"/>
        <v>10195.9</v>
      </c>
    </row>
    <row r="164" spans="1:9" hidden="1" outlineLevel="1" x14ac:dyDescent="0.25">
      <c r="A164" s="524" t="s">
        <v>1523</v>
      </c>
      <c r="B164" s="538" t="s">
        <v>1524</v>
      </c>
      <c r="C164" s="537" t="s">
        <v>44</v>
      </c>
      <c r="D164" s="515">
        <v>115</v>
      </c>
      <c r="E164" s="515">
        <v>0</v>
      </c>
      <c r="F164" s="515">
        <v>137.02000000000001</v>
      </c>
      <c r="G164" s="515">
        <f t="shared" si="28"/>
        <v>0</v>
      </c>
      <c r="H164" s="515">
        <f t="shared" si="29"/>
        <v>15757.300000000001</v>
      </c>
      <c r="I164" s="515">
        <f t="shared" si="30"/>
        <v>15757.300000000001</v>
      </c>
    </row>
    <row r="165" spans="1:9" hidden="1" outlineLevel="1" x14ac:dyDescent="0.25">
      <c r="A165" s="524" t="s">
        <v>1525</v>
      </c>
      <c r="B165" s="538" t="s">
        <v>1526</v>
      </c>
      <c r="C165" s="537" t="s">
        <v>96</v>
      </c>
      <c r="D165" s="515">
        <v>24</v>
      </c>
      <c r="E165" s="515">
        <v>0</v>
      </c>
      <c r="F165" s="515">
        <v>60</v>
      </c>
      <c r="G165" s="515">
        <f t="shared" si="28"/>
        <v>0</v>
      </c>
      <c r="H165" s="515">
        <f t="shared" si="29"/>
        <v>1440</v>
      </c>
      <c r="I165" s="515">
        <f t="shared" si="30"/>
        <v>1440</v>
      </c>
    </row>
    <row r="166" spans="1:9" hidden="1" outlineLevel="1" x14ac:dyDescent="0.25">
      <c r="A166" s="524" t="s">
        <v>1527</v>
      </c>
      <c r="B166" s="538" t="s">
        <v>1528</v>
      </c>
      <c r="C166" s="537" t="s">
        <v>96</v>
      </c>
      <c r="D166" s="515">
        <v>115</v>
      </c>
      <c r="E166" s="515">
        <v>0</v>
      </c>
      <c r="F166" s="515">
        <v>79.36</v>
      </c>
      <c r="G166" s="515">
        <f t="shared" si="28"/>
        <v>0</v>
      </c>
      <c r="H166" s="515">
        <f t="shared" si="29"/>
        <v>9126.4</v>
      </c>
      <c r="I166" s="515">
        <f t="shared" si="30"/>
        <v>9126.4</v>
      </c>
    </row>
    <row r="167" spans="1:9" hidden="1" outlineLevel="1" x14ac:dyDescent="0.25">
      <c r="A167" s="524" t="s">
        <v>1529</v>
      </c>
      <c r="B167" s="538" t="s">
        <v>1530</v>
      </c>
      <c r="C167" s="537" t="s">
        <v>96</v>
      </c>
      <c r="D167" s="515">
        <v>345</v>
      </c>
      <c r="E167" s="515">
        <v>0</v>
      </c>
      <c r="F167" s="515">
        <v>32</v>
      </c>
      <c r="G167" s="515">
        <f t="shared" si="28"/>
        <v>0</v>
      </c>
      <c r="H167" s="515">
        <f t="shared" si="29"/>
        <v>11040</v>
      </c>
      <c r="I167" s="515">
        <f t="shared" si="30"/>
        <v>11040</v>
      </c>
    </row>
    <row r="168" spans="1:9" hidden="1" outlineLevel="1" x14ac:dyDescent="0.25">
      <c r="A168" s="524" t="s">
        <v>1531</v>
      </c>
      <c r="B168" s="538" t="s">
        <v>1532</v>
      </c>
      <c r="C168" s="537" t="s">
        <v>96</v>
      </c>
      <c r="D168" s="515">
        <v>1198</v>
      </c>
      <c r="E168" s="515">
        <v>0</v>
      </c>
      <c r="F168" s="515">
        <v>35.76</v>
      </c>
      <c r="G168" s="515">
        <f t="shared" si="28"/>
        <v>0</v>
      </c>
      <c r="H168" s="515">
        <f t="shared" si="29"/>
        <v>42840.479999999996</v>
      </c>
      <c r="I168" s="515">
        <f t="shared" si="30"/>
        <v>42840.479999999996</v>
      </c>
    </row>
    <row r="169" spans="1:9" hidden="1" outlineLevel="1" x14ac:dyDescent="0.25">
      <c r="A169" s="524" t="s">
        <v>1533</v>
      </c>
      <c r="B169" s="481" t="s">
        <v>1283</v>
      </c>
      <c r="C169" s="482" t="s">
        <v>96</v>
      </c>
      <c r="D169" s="515">
        <v>1664</v>
      </c>
      <c r="E169" s="515">
        <v>0</v>
      </c>
      <c r="F169" s="471">
        <v>14</v>
      </c>
      <c r="G169" s="515">
        <f t="shared" si="28"/>
        <v>0</v>
      </c>
      <c r="H169" s="515">
        <f t="shared" si="29"/>
        <v>23296</v>
      </c>
      <c r="I169" s="515">
        <f t="shared" si="30"/>
        <v>23296</v>
      </c>
    </row>
    <row r="170" spans="1:9" s="293" customFormat="1" collapsed="1" x14ac:dyDescent="0.25">
      <c r="A170" s="485">
        <v>9</v>
      </c>
      <c r="B170" s="1" t="s">
        <v>1534</v>
      </c>
      <c r="C170" s="486" t="s">
        <v>96</v>
      </c>
      <c r="D170" s="486">
        <v>24</v>
      </c>
      <c r="E170" s="467">
        <v>1500</v>
      </c>
      <c r="F170" s="467"/>
      <c r="G170" s="467">
        <f t="shared" si="28"/>
        <v>36000</v>
      </c>
      <c r="H170" s="467">
        <f>SUM(H171:H172)</f>
        <v>2356.12</v>
      </c>
      <c r="I170" s="467">
        <f t="shared" ref="I170:I178" si="31">SUM(G170:H170)</f>
        <v>38356.120000000003</v>
      </c>
    </row>
    <row r="171" spans="1:9" hidden="1" outlineLevel="1" x14ac:dyDescent="0.25">
      <c r="A171" s="2" t="s">
        <v>1535</v>
      </c>
      <c r="B171" s="3" t="s">
        <v>1223</v>
      </c>
      <c r="C171" s="469" t="s">
        <v>318</v>
      </c>
      <c r="D171" s="469">
        <v>4</v>
      </c>
      <c r="E171" s="471">
        <v>0</v>
      </c>
      <c r="F171" s="470">
        <v>373.43</v>
      </c>
      <c r="G171" s="471">
        <f t="shared" si="28"/>
        <v>0</v>
      </c>
      <c r="H171" s="471">
        <f t="shared" ref="H171:H172" si="32">PRODUCT(F171,D171)</f>
        <v>1493.72</v>
      </c>
      <c r="I171" s="515">
        <f>SUM(G171:H171)</f>
        <v>1493.72</v>
      </c>
    </row>
    <row r="172" spans="1:9" hidden="1" outlineLevel="1" x14ac:dyDescent="0.25">
      <c r="A172" s="2" t="s">
        <v>1536</v>
      </c>
      <c r="B172" s="3" t="s">
        <v>1537</v>
      </c>
      <c r="C172" s="469" t="s">
        <v>96</v>
      </c>
      <c r="D172" s="469">
        <v>8</v>
      </c>
      <c r="E172" s="471">
        <v>0</v>
      </c>
      <c r="F172" s="471">
        <v>107.8</v>
      </c>
      <c r="G172" s="471">
        <f t="shared" si="28"/>
        <v>0</v>
      </c>
      <c r="H172" s="471">
        <f t="shared" si="32"/>
        <v>862.4</v>
      </c>
      <c r="I172" s="515">
        <f t="shared" ref="I172:I173" si="33">SUM(G172:H172)</f>
        <v>862.4</v>
      </c>
    </row>
    <row r="173" spans="1:9" hidden="1" outlineLevel="1" x14ac:dyDescent="0.25">
      <c r="A173" s="2" t="s">
        <v>1538</v>
      </c>
      <c r="B173" s="3" t="s">
        <v>1229</v>
      </c>
      <c r="C173" s="469" t="s">
        <v>318</v>
      </c>
      <c r="D173" s="469">
        <v>46</v>
      </c>
      <c r="E173" s="471">
        <v>0</v>
      </c>
      <c r="F173" s="474">
        <v>195.9</v>
      </c>
      <c r="G173" s="471">
        <f t="shared" si="28"/>
        <v>0</v>
      </c>
      <c r="H173" s="471">
        <f>PRODUCT(F173,D173)</f>
        <v>9011.4</v>
      </c>
      <c r="I173" s="515">
        <f t="shared" si="33"/>
        <v>9011.4</v>
      </c>
    </row>
    <row r="174" spans="1:9" hidden="1" outlineLevel="1" x14ac:dyDescent="0.25">
      <c r="A174" s="2" t="s">
        <v>1539</v>
      </c>
      <c r="B174" s="3" t="s">
        <v>1540</v>
      </c>
      <c r="C174" s="469" t="s">
        <v>96</v>
      </c>
      <c r="D174" s="469">
        <v>92</v>
      </c>
      <c r="E174" s="471">
        <v>0</v>
      </c>
      <c r="F174" s="471">
        <v>56</v>
      </c>
      <c r="G174" s="471">
        <f t="shared" si="28"/>
        <v>0</v>
      </c>
      <c r="H174" s="471">
        <f>PRODUCT(F174,D174)</f>
        <v>5152</v>
      </c>
      <c r="I174" s="515">
        <f t="shared" ref="I174" si="34">SUM(G174:H174)</f>
        <v>5152</v>
      </c>
    </row>
    <row r="175" spans="1:9" s="293" customFormat="1" collapsed="1" x14ac:dyDescent="0.25">
      <c r="A175" s="485">
        <v>10</v>
      </c>
      <c r="B175" s="1" t="s">
        <v>1541</v>
      </c>
      <c r="C175" s="486" t="s">
        <v>96</v>
      </c>
      <c r="D175" s="486">
        <f>SUM(D176:D177)</f>
        <v>2</v>
      </c>
      <c r="E175" s="467">
        <v>1500</v>
      </c>
      <c r="F175" s="467"/>
      <c r="G175" s="467">
        <f>SUM(G176:G177)</f>
        <v>3000</v>
      </c>
      <c r="H175" s="467">
        <f>SUM(H176:H177)</f>
        <v>16380</v>
      </c>
      <c r="I175" s="467">
        <f t="shared" si="31"/>
        <v>19380</v>
      </c>
    </row>
    <row r="176" spans="1:9" hidden="1" outlineLevel="1" x14ac:dyDescent="0.25">
      <c r="A176" s="2" t="s">
        <v>1542</v>
      </c>
      <c r="B176" s="3" t="s">
        <v>1543</v>
      </c>
      <c r="C176" s="469" t="s">
        <v>96</v>
      </c>
      <c r="D176" s="469">
        <v>1</v>
      </c>
      <c r="E176" s="471">
        <v>1500</v>
      </c>
      <c r="F176" s="471">
        <v>7130</v>
      </c>
      <c r="G176" s="471">
        <f>PRODUCT(E176,D176)</f>
        <v>1500</v>
      </c>
      <c r="H176" s="471">
        <f>PRODUCT(F176,D176)</f>
        <v>7130</v>
      </c>
      <c r="I176" s="471">
        <f>SUM(G176:H176)</f>
        <v>8630</v>
      </c>
    </row>
    <row r="177" spans="1:9" hidden="1" outlineLevel="1" x14ac:dyDescent="0.25">
      <c r="A177" s="2" t="s">
        <v>1544</v>
      </c>
      <c r="B177" s="3" t="s">
        <v>1545</v>
      </c>
      <c r="C177" s="469" t="s">
        <v>96</v>
      </c>
      <c r="D177" s="469">
        <v>1</v>
      </c>
      <c r="E177" s="471">
        <v>1500</v>
      </c>
      <c r="F177" s="471">
        <v>9250</v>
      </c>
      <c r="G177" s="471">
        <f>PRODUCT(E177,D177)</f>
        <v>1500</v>
      </c>
      <c r="H177" s="471">
        <f>PRODUCT(F177,D177)</f>
        <v>9250</v>
      </c>
      <c r="I177" s="471">
        <f>SUM(G177:H177)</f>
        <v>10750</v>
      </c>
    </row>
    <row r="178" spans="1:9" collapsed="1" x14ac:dyDescent="0.25">
      <c r="A178" s="485">
        <v>11</v>
      </c>
      <c r="B178" s="1" t="s">
        <v>1546</v>
      </c>
      <c r="C178" s="486" t="s">
        <v>96</v>
      </c>
      <c r="D178" s="486">
        <f>SUM(D179:D207)</f>
        <v>2564</v>
      </c>
      <c r="E178" s="467"/>
      <c r="F178" s="467"/>
      <c r="G178" s="467">
        <f>SUM(G179:G207)</f>
        <v>261200</v>
      </c>
      <c r="H178" s="467">
        <f>SUM(H179:H207)</f>
        <v>1434717.5400000003</v>
      </c>
      <c r="I178" s="467">
        <f t="shared" si="31"/>
        <v>1695917.5400000003</v>
      </c>
    </row>
    <row r="179" spans="1:9" hidden="1" outlineLevel="1" x14ac:dyDescent="0.25">
      <c r="A179" s="540" t="s">
        <v>1547</v>
      </c>
      <c r="B179" s="504" t="s">
        <v>1548</v>
      </c>
      <c r="C179" s="482" t="s">
        <v>96</v>
      </c>
      <c r="D179" s="483">
        <v>8</v>
      </c>
      <c r="E179" s="480">
        <v>350</v>
      </c>
      <c r="F179" s="480">
        <v>1985.95</v>
      </c>
      <c r="G179" s="471">
        <f>PRODUCT(E179,D179)</f>
        <v>2800</v>
      </c>
      <c r="H179" s="471">
        <f>PRODUCT(F179,D179)</f>
        <v>15887.6</v>
      </c>
      <c r="I179" s="471">
        <f>SUM(G179:H179)</f>
        <v>18687.599999999999</v>
      </c>
    </row>
    <row r="180" spans="1:9" hidden="1" outlineLevel="1" x14ac:dyDescent="0.25">
      <c r="A180" s="540" t="s">
        <v>1549</v>
      </c>
      <c r="B180" s="481" t="s">
        <v>1550</v>
      </c>
      <c r="C180" s="482" t="s">
        <v>96</v>
      </c>
      <c r="D180" s="483">
        <v>16</v>
      </c>
      <c r="E180" s="471">
        <v>0</v>
      </c>
      <c r="F180" s="471">
        <v>14</v>
      </c>
      <c r="G180" s="471">
        <f t="shared" ref="G180:G207" si="35">PRODUCT(E180,D180)</f>
        <v>0</v>
      </c>
      <c r="H180" s="471">
        <f t="shared" ref="H180:H207" si="36">PRODUCT(F180,D180)</f>
        <v>224</v>
      </c>
      <c r="I180" s="471">
        <f t="shared" ref="I180:I207" si="37">SUM(G180:H180)</f>
        <v>224</v>
      </c>
    </row>
    <row r="181" spans="1:9" hidden="1" outlineLevel="1" x14ac:dyDescent="0.25">
      <c r="A181" s="540" t="s">
        <v>1551</v>
      </c>
      <c r="B181" s="481" t="s">
        <v>1552</v>
      </c>
      <c r="C181" s="482" t="s">
        <v>96</v>
      </c>
      <c r="D181" s="483">
        <v>16</v>
      </c>
      <c r="E181" s="471">
        <v>0</v>
      </c>
      <c r="F181" s="471">
        <v>596</v>
      </c>
      <c r="G181" s="471">
        <f t="shared" si="35"/>
        <v>0</v>
      </c>
      <c r="H181" s="471">
        <f t="shared" si="36"/>
        <v>9536</v>
      </c>
      <c r="I181" s="471">
        <f t="shared" si="37"/>
        <v>9536</v>
      </c>
    </row>
    <row r="182" spans="1:9" hidden="1" outlineLevel="1" x14ac:dyDescent="0.25">
      <c r="A182" s="540" t="s">
        <v>1553</v>
      </c>
      <c r="B182" s="504" t="s">
        <v>1554</v>
      </c>
      <c r="C182" s="482" t="s">
        <v>96</v>
      </c>
      <c r="D182" s="483">
        <v>34</v>
      </c>
      <c r="E182" s="480">
        <v>200</v>
      </c>
      <c r="F182" s="480">
        <v>700.3</v>
      </c>
      <c r="G182" s="471">
        <f t="shared" si="35"/>
        <v>6800</v>
      </c>
      <c r="H182" s="471">
        <f t="shared" si="36"/>
        <v>23810.199999999997</v>
      </c>
      <c r="I182" s="471">
        <f t="shared" si="37"/>
        <v>30610.199999999997</v>
      </c>
    </row>
    <row r="183" spans="1:9" hidden="1" outlineLevel="1" x14ac:dyDescent="0.25">
      <c r="A183" s="540" t="s">
        <v>1555</v>
      </c>
      <c r="B183" s="481" t="s">
        <v>1556</v>
      </c>
      <c r="C183" s="482" t="s">
        <v>96</v>
      </c>
      <c r="D183" s="483">
        <v>34</v>
      </c>
      <c r="E183" s="471">
        <v>0</v>
      </c>
      <c r="F183" s="471">
        <v>171</v>
      </c>
      <c r="G183" s="471">
        <f t="shared" si="35"/>
        <v>0</v>
      </c>
      <c r="H183" s="471">
        <f t="shared" si="36"/>
        <v>5814</v>
      </c>
      <c r="I183" s="471">
        <f t="shared" si="37"/>
        <v>5814</v>
      </c>
    </row>
    <row r="184" spans="1:9" hidden="1" outlineLevel="1" x14ac:dyDescent="0.25">
      <c r="A184" s="540" t="s">
        <v>1557</v>
      </c>
      <c r="B184" s="504" t="s">
        <v>1558</v>
      </c>
      <c r="C184" s="482" t="s">
        <v>96</v>
      </c>
      <c r="D184" s="483">
        <v>6</v>
      </c>
      <c r="E184" s="480">
        <v>200</v>
      </c>
      <c r="F184" s="480">
        <v>479.3</v>
      </c>
      <c r="G184" s="471">
        <f t="shared" si="35"/>
        <v>1200</v>
      </c>
      <c r="H184" s="471">
        <f t="shared" si="36"/>
        <v>2875.8</v>
      </c>
      <c r="I184" s="471">
        <f t="shared" si="37"/>
        <v>4075.8</v>
      </c>
    </row>
    <row r="185" spans="1:9" hidden="1" outlineLevel="1" x14ac:dyDescent="0.25">
      <c r="A185" s="540" t="s">
        <v>1559</v>
      </c>
      <c r="B185" s="481" t="s">
        <v>1560</v>
      </c>
      <c r="C185" s="482" t="s">
        <v>96</v>
      </c>
      <c r="D185" s="483">
        <v>6</v>
      </c>
      <c r="E185" s="471">
        <v>0</v>
      </c>
      <c r="F185" s="471">
        <v>139</v>
      </c>
      <c r="G185" s="471">
        <f t="shared" si="35"/>
        <v>0</v>
      </c>
      <c r="H185" s="471">
        <f t="shared" si="36"/>
        <v>834</v>
      </c>
      <c r="I185" s="471">
        <f t="shared" si="37"/>
        <v>834</v>
      </c>
    </row>
    <row r="186" spans="1:9" hidden="1" outlineLevel="1" x14ac:dyDescent="0.25">
      <c r="A186" s="540" t="s">
        <v>1561</v>
      </c>
      <c r="B186" s="481" t="s">
        <v>1562</v>
      </c>
      <c r="C186" s="482" t="s">
        <v>96</v>
      </c>
      <c r="D186" s="483">
        <v>1</v>
      </c>
      <c r="E186" s="471">
        <v>200</v>
      </c>
      <c r="F186" s="471">
        <v>293.88</v>
      </c>
      <c r="G186" s="471">
        <f t="shared" si="35"/>
        <v>200</v>
      </c>
      <c r="H186" s="471">
        <f t="shared" si="36"/>
        <v>293.88</v>
      </c>
      <c r="I186" s="471">
        <f t="shared" si="37"/>
        <v>493.88</v>
      </c>
    </row>
    <row r="187" spans="1:9" hidden="1" outlineLevel="1" x14ac:dyDescent="0.25">
      <c r="A187" s="540" t="s">
        <v>1563</v>
      </c>
      <c r="B187" s="481" t="s">
        <v>1564</v>
      </c>
      <c r="C187" s="482" t="s">
        <v>96</v>
      </c>
      <c r="D187" s="483">
        <v>1</v>
      </c>
      <c r="E187" s="471">
        <v>0</v>
      </c>
      <c r="F187" s="471">
        <v>122</v>
      </c>
      <c r="G187" s="471">
        <f t="shared" si="35"/>
        <v>0</v>
      </c>
      <c r="H187" s="471">
        <f t="shared" si="36"/>
        <v>122</v>
      </c>
      <c r="I187" s="471">
        <f t="shared" si="37"/>
        <v>122</v>
      </c>
    </row>
    <row r="188" spans="1:9" hidden="1" outlineLevel="1" x14ac:dyDescent="0.25">
      <c r="A188" s="540" t="s">
        <v>1565</v>
      </c>
      <c r="B188" s="481" t="s">
        <v>1566</v>
      </c>
      <c r="C188" s="482" t="s">
        <v>96</v>
      </c>
      <c r="D188" s="483">
        <v>34</v>
      </c>
      <c r="E188" s="480">
        <v>200</v>
      </c>
      <c r="F188" s="480">
        <v>505.92</v>
      </c>
      <c r="G188" s="471">
        <f t="shared" si="35"/>
        <v>6800</v>
      </c>
      <c r="H188" s="471">
        <f t="shared" si="36"/>
        <v>17201.28</v>
      </c>
      <c r="I188" s="471">
        <f t="shared" si="37"/>
        <v>24001.279999999999</v>
      </c>
    </row>
    <row r="189" spans="1:9" hidden="1" outlineLevel="1" x14ac:dyDescent="0.25">
      <c r="A189" s="540" t="s">
        <v>1567</v>
      </c>
      <c r="B189" s="481" t="s">
        <v>1556</v>
      </c>
      <c r="C189" s="482" t="s">
        <v>96</v>
      </c>
      <c r="D189" s="483">
        <v>34</v>
      </c>
      <c r="E189" s="471">
        <v>0</v>
      </c>
      <c r="F189" s="471">
        <v>171</v>
      </c>
      <c r="G189" s="471">
        <f t="shared" si="35"/>
        <v>0</v>
      </c>
      <c r="H189" s="471">
        <f t="shared" si="36"/>
        <v>5814</v>
      </c>
      <c r="I189" s="471">
        <f t="shared" si="37"/>
        <v>5814</v>
      </c>
    </row>
    <row r="190" spans="1:9" hidden="1" outlineLevel="1" x14ac:dyDescent="0.25">
      <c r="A190" s="540" t="s">
        <v>1568</v>
      </c>
      <c r="B190" s="481" t="s">
        <v>1569</v>
      </c>
      <c r="C190" s="482" t="s">
        <v>96</v>
      </c>
      <c r="D190" s="483">
        <v>8</v>
      </c>
      <c r="E190" s="471">
        <v>200</v>
      </c>
      <c r="F190" s="471">
        <v>289.54000000000002</v>
      </c>
      <c r="G190" s="471">
        <f t="shared" si="35"/>
        <v>1600</v>
      </c>
      <c r="H190" s="471">
        <f t="shared" si="36"/>
        <v>2316.3200000000002</v>
      </c>
      <c r="I190" s="471">
        <f t="shared" si="37"/>
        <v>3916.32</v>
      </c>
    </row>
    <row r="191" spans="1:9" hidden="1" outlineLevel="1" x14ac:dyDescent="0.25">
      <c r="A191" s="540" t="s">
        <v>1570</v>
      </c>
      <c r="B191" s="481" t="s">
        <v>1571</v>
      </c>
      <c r="C191" s="482" t="s">
        <v>96</v>
      </c>
      <c r="D191" s="483">
        <v>8</v>
      </c>
      <c r="E191" s="471">
        <v>0</v>
      </c>
      <c r="F191" s="471">
        <v>139</v>
      </c>
      <c r="G191" s="471">
        <f t="shared" si="35"/>
        <v>0</v>
      </c>
      <c r="H191" s="471">
        <f t="shared" si="36"/>
        <v>1112</v>
      </c>
      <c r="I191" s="471">
        <f t="shared" si="37"/>
        <v>1112</v>
      </c>
    </row>
    <row r="192" spans="1:9" hidden="1" outlineLevel="1" x14ac:dyDescent="0.25">
      <c r="A192" s="540" t="s">
        <v>1572</v>
      </c>
      <c r="B192" s="481" t="s">
        <v>1573</v>
      </c>
      <c r="C192" s="482" t="s">
        <v>96</v>
      </c>
      <c r="D192" s="483">
        <v>7</v>
      </c>
      <c r="E192" s="471">
        <v>200</v>
      </c>
      <c r="F192" s="471">
        <v>190.96</v>
      </c>
      <c r="G192" s="471">
        <f t="shared" si="35"/>
        <v>1400</v>
      </c>
      <c r="H192" s="471">
        <f t="shared" si="36"/>
        <v>1336.72</v>
      </c>
      <c r="I192" s="471">
        <f t="shared" si="37"/>
        <v>2736.7200000000003</v>
      </c>
    </row>
    <row r="193" spans="1:9" hidden="1" outlineLevel="1" x14ac:dyDescent="0.25">
      <c r="A193" s="540" t="s">
        <v>1574</v>
      </c>
      <c r="B193" s="481" t="s">
        <v>1564</v>
      </c>
      <c r="C193" s="482" t="s">
        <v>96</v>
      </c>
      <c r="D193" s="483">
        <v>7</v>
      </c>
      <c r="E193" s="471">
        <v>0</v>
      </c>
      <c r="F193" s="471">
        <v>122</v>
      </c>
      <c r="G193" s="471">
        <f t="shared" si="35"/>
        <v>0</v>
      </c>
      <c r="H193" s="471">
        <f t="shared" si="36"/>
        <v>854</v>
      </c>
      <c r="I193" s="471">
        <f t="shared" si="37"/>
        <v>854</v>
      </c>
    </row>
    <row r="194" spans="1:9" hidden="1" outlineLevel="1" x14ac:dyDescent="0.25">
      <c r="A194" s="540" t="s">
        <v>1575</v>
      </c>
      <c r="B194" s="481" t="s">
        <v>1576</v>
      </c>
      <c r="C194" s="482" t="s">
        <v>96</v>
      </c>
      <c r="D194" s="483">
        <v>43</v>
      </c>
      <c r="E194" s="480">
        <v>200</v>
      </c>
      <c r="F194" s="480">
        <v>369</v>
      </c>
      <c r="G194" s="471">
        <f t="shared" si="35"/>
        <v>8600</v>
      </c>
      <c r="H194" s="471">
        <f t="shared" si="36"/>
        <v>15867</v>
      </c>
      <c r="I194" s="471">
        <f t="shared" si="37"/>
        <v>24467</v>
      </c>
    </row>
    <row r="195" spans="1:9" hidden="1" outlineLevel="1" x14ac:dyDescent="0.25">
      <c r="A195" s="540" t="s">
        <v>1577</v>
      </c>
      <c r="B195" s="481" t="s">
        <v>1578</v>
      </c>
      <c r="C195" s="482" t="s">
        <v>96</v>
      </c>
      <c r="D195" s="483">
        <v>737</v>
      </c>
      <c r="E195" s="480">
        <v>200</v>
      </c>
      <c r="F195" s="480">
        <v>734</v>
      </c>
      <c r="G195" s="471">
        <f t="shared" si="35"/>
        <v>147400</v>
      </c>
      <c r="H195" s="471">
        <f t="shared" si="36"/>
        <v>540958</v>
      </c>
      <c r="I195" s="471">
        <f t="shared" si="37"/>
        <v>688358</v>
      </c>
    </row>
    <row r="196" spans="1:9" hidden="1" outlineLevel="1" x14ac:dyDescent="0.25">
      <c r="A196" s="540" t="s">
        <v>1579</v>
      </c>
      <c r="B196" s="481" t="s">
        <v>1580</v>
      </c>
      <c r="C196" s="482" t="s">
        <v>96</v>
      </c>
      <c r="D196" s="483">
        <v>48</v>
      </c>
      <c r="E196" s="471">
        <v>200</v>
      </c>
      <c r="F196" s="471">
        <v>231.88</v>
      </c>
      <c r="G196" s="471">
        <f t="shared" si="35"/>
        <v>9600</v>
      </c>
      <c r="H196" s="471">
        <f t="shared" si="36"/>
        <v>11130.24</v>
      </c>
      <c r="I196" s="471">
        <f t="shared" si="37"/>
        <v>20730.239999999998</v>
      </c>
    </row>
    <row r="197" spans="1:9" hidden="1" outlineLevel="1" x14ac:dyDescent="0.25">
      <c r="A197" s="540" t="s">
        <v>1581</v>
      </c>
      <c r="B197" s="481" t="s">
        <v>1582</v>
      </c>
      <c r="C197" s="482" t="s">
        <v>96</v>
      </c>
      <c r="D197" s="483">
        <v>6</v>
      </c>
      <c r="E197" s="480">
        <v>200</v>
      </c>
      <c r="F197" s="480">
        <v>1324</v>
      </c>
      <c r="G197" s="471">
        <f t="shared" si="35"/>
        <v>1200</v>
      </c>
      <c r="H197" s="471">
        <f t="shared" si="36"/>
        <v>7944</v>
      </c>
      <c r="I197" s="471">
        <f t="shared" si="37"/>
        <v>9144</v>
      </c>
    </row>
    <row r="198" spans="1:9" hidden="1" outlineLevel="1" x14ac:dyDescent="0.25">
      <c r="A198" s="540" t="s">
        <v>1583</v>
      </c>
      <c r="B198" s="504" t="s">
        <v>1584</v>
      </c>
      <c r="C198" s="482" t="s">
        <v>96</v>
      </c>
      <c r="D198" s="483">
        <v>29</v>
      </c>
      <c r="E198" s="471">
        <v>100</v>
      </c>
      <c r="F198" s="480">
        <v>5821.06</v>
      </c>
      <c r="G198" s="471">
        <f t="shared" si="35"/>
        <v>2900</v>
      </c>
      <c r="H198" s="471">
        <f t="shared" si="36"/>
        <v>168810.74000000002</v>
      </c>
      <c r="I198" s="471">
        <f t="shared" si="37"/>
        <v>171710.74000000002</v>
      </c>
    </row>
    <row r="199" spans="1:9" hidden="1" outlineLevel="1" x14ac:dyDescent="0.25">
      <c r="A199" s="540" t="s">
        <v>1585</v>
      </c>
      <c r="B199" s="481" t="s">
        <v>1586</v>
      </c>
      <c r="C199" s="482" t="s">
        <v>96</v>
      </c>
      <c r="D199" s="483">
        <v>58</v>
      </c>
      <c r="E199" s="471">
        <v>0</v>
      </c>
      <c r="F199" s="471">
        <v>596.16999999999996</v>
      </c>
      <c r="G199" s="471">
        <f t="shared" si="35"/>
        <v>0</v>
      </c>
      <c r="H199" s="471">
        <f t="shared" si="36"/>
        <v>34577.86</v>
      </c>
      <c r="I199" s="471">
        <f t="shared" si="37"/>
        <v>34577.86</v>
      </c>
    </row>
    <row r="200" spans="1:9" hidden="1" outlineLevel="1" x14ac:dyDescent="0.25">
      <c r="A200" s="540" t="s">
        <v>1587</v>
      </c>
      <c r="B200" s="504" t="s">
        <v>1588</v>
      </c>
      <c r="C200" s="482" t="s">
        <v>96</v>
      </c>
      <c r="D200" s="483">
        <v>12</v>
      </c>
      <c r="E200" s="471">
        <v>100</v>
      </c>
      <c r="F200" s="480">
        <v>5381.71</v>
      </c>
      <c r="G200" s="471">
        <f t="shared" si="35"/>
        <v>1200</v>
      </c>
      <c r="H200" s="471">
        <f t="shared" si="36"/>
        <v>64580.520000000004</v>
      </c>
      <c r="I200" s="471">
        <f t="shared" si="37"/>
        <v>65780.52</v>
      </c>
    </row>
    <row r="201" spans="1:9" hidden="1" outlineLevel="1" x14ac:dyDescent="0.25">
      <c r="A201" s="540" t="s">
        <v>1589</v>
      </c>
      <c r="B201" s="481" t="s">
        <v>1590</v>
      </c>
      <c r="C201" s="482" t="s">
        <v>96</v>
      </c>
      <c r="D201" s="483">
        <v>24</v>
      </c>
      <c r="E201" s="471">
        <v>0</v>
      </c>
      <c r="F201" s="471">
        <v>875.46</v>
      </c>
      <c r="G201" s="471">
        <f t="shared" si="35"/>
        <v>0</v>
      </c>
      <c r="H201" s="471">
        <f t="shared" si="36"/>
        <v>21011.040000000001</v>
      </c>
      <c r="I201" s="471">
        <f t="shared" si="37"/>
        <v>21011.040000000001</v>
      </c>
    </row>
    <row r="202" spans="1:9" hidden="1" outlineLevel="1" x14ac:dyDescent="0.25">
      <c r="A202" s="540" t="s">
        <v>1591</v>
      </c>
      <c r="B202" s="541" t="s">
        <v>1592</v>
      </c>
      <c r="C202" s="542" t="s">
        <v>96</v>
      </c>
      <c r="D202" s="542">
        <v>1</v>
      </c>
      <c r="E202" s="543">
        <v>0</v>
      </c>
      <c r="F202" s="543">
        <v>431</v>
      </c>
      <c r="G202" s="543">
        <v>0</v>
      </c>
      <c r="H202" s="471">
        <f t="shared" si="36"/>
        <v>431</v>
      </c>
      <c r="I202" s="471">
        <f t="shared" si="37"/>
        <v>431</v>
      </c>
    </row>
    <row r="203" spans="1:9" hidden="1" outlineLevel="1" x14ac:dyDescent="0.25">
      <c r="A203" s="540" t="s">
        <v>1593</v>
      </c>
      <c r="B203" s="481" t="s">
        <v>1594</v>
      </c>
      <c r="C203" s="482" t="s">
        <v>96</v>
      </c>
      <c r="D203" s="483">
        <v>1</v>
      </c>
      <c r="E203" s="471">
        <v>200</v>
      </c>
      <c r="F203" s="471">
        <v>4654</v>
      </c>
      <c r="G203" s="471">
        <f t="shared" si="35"/>
        <v>200</v>
      </c>
      <c r="H203" s="471">
        <f t="shared" si="36"/>
        <v>4654</v>
      </c>
      <c r="I203" s="471">
        <f t="shared" si="37"/>
        <v>4854</v>
      </c>
    </row>
    <row r="204" spans="1:9" hidden="1" outlineLevel="1" x14ac:dyDescent="0.25">
      <c r="A204" s="540" t="s">
        <v>1595</v>
      </c>
      <c r="B204" s="481" t="s">
        <v>1596</v>
      </c>
      <c r="C204" s="482" t="s">
        <v>96</v>
      </c>
      <c r="D204" s="483">
        <v>1</v>
      </c>
      <c r="E204" s="471">
        <v>200</v>
      </c>
      <c r="F204" s="471">
        <v>8159</v>
      </c>
      <c r="G204" s="471">
        <f t="shared" si="35"/>
        <v>200</v>
      </c>
      <c r="H204" s="471">
        <f t="shared" si="36"/>
        <v>8159</v>
      </c>
      <c r="I204" s="471">
        <f t="shared" si="37"/>
        <v>8359</v>
      </c>
    </row>
    <row r="205" spans="1:9" hidden="1" outlineLevel="1" x14ac:dyDescent="0.25">
      <c r="A205" s="540" t="s">
        <v>1597</v>
      </c>
      <c r="B205" s="481" t="s">
        <v>1564</v>
      </c>
      <c r="C205" s="482" t="s">
        <v>96</v>
      </c>
      <c r="D205" s="483">
        <v>2</v>
      </c>
      <c r="E205" s="471">
        <v>0</v>
      </c>
      <c r="F205" s="471">
        <v>122</v>
      </c>
      <c r="G205" s="471">
        <f t="shared" si="35"/>
        <v>0</v>
      </c>
      <c r="H205" s="471">
        <f t="shared" si="36"/>
        <v>244</v>
      </c>
      <c r="I205" s="471">
        <f t="shared" si="37"/>
        <v>244</v>
      </c>
    </row>
    <row r="206" spans="1:9" hidden="1" outlineLevel="1" x14ac:dyDescent="0.25">
      <c r="A206" s="540" t="s">
        <v>1598</v>
      </c>
      <c r="B206" s="544" t="s">
        <v>1599</v>
      </c>
      <c r="C206" s="545" t="s">
        <v>96</v>
      </c>
      <c r="D206" s="483">
        <v>691</v>
      </c>
      <c r="E206" s="546">
        <v>100</v>
      </c>
      <c r="F206" s="546">
        <v>435</v>
      </c>
      <c r="G206" s="471">
        <f t="shared" si="35"/>
        <v>69100</v>
      </c>
      <c r="H206" s="471">
        <f t="shared" si="36"/>
        <v>300585</v>
      </c>
      <c r="I206" s="471">
        <f t="shared" si="37"/>
        <v>369685</v>
      </c>
    </row>
    <row r="207" spans="1:9" hidden="1" outlineLevel="1" x14ac:dyDescent="0.25">
      <c r="A207" s="540" t="s">
        <v>1600</v>
      </c>
      <c r="B207" s="544" t="s">
        <v>1601</v>
      </c>
      <c r="C207" s="545" t="s">
        <v>96</v>
      </c>
      <c r="D207" s="483">
        <v>691</v>
      </c>
      <c r="E207" s="546">
        <v>0</v>
      </c>
      <c r="F207" s="546">
        <v>242.74</v>
      </c>
      <c r="G207" s="471">
        <f t="shared" si="35"/>
        <v>0</v>
      </c>
      <c r="H207" s="471">
        <f t="shared" si="36"/>
        <v>167733.34</v>
      </c>
      <c r="I207" s="471">
        <f t="shared" si="37"/>
        <v>167733.34</v>
      </c>
    </row>
    <row r="208" spans="1:9" s="293" customFormat="1" collapsed="1" x14ac:dyDescent="0.25">
      <c r="A208" s="485">
        <v>12</v>
      </c>
      <c r="B208" s="1" t="s">
        <v>1602</v>
      </c>
      <c r="C208" s="486" t="s">
        <v>96</v>
      </c>
      <c r="D208" s="486">
        <f>SUM(D209)</f>
        <v>690</v>
      </c>
      <c r="E208" s="467">
        <v>150</v>
      </c>
      <c r="F208" s="467"/>
      <c r="G208" s="467">
        <f>D208*E208</f>
        <v>103500</v>
      </c>
      <c r="H208" s="467">
        <f>SUM(H209:H212)</f>
        <v>2361387</v>
      </c>
      <c r="I208" s="467">
        <f t="shared" ref="I208:I219" si="38">SUM(G208:H208)</f>
        <v>2464887</v>
      </c>
    </row>
    <row r="209" spans="1:9" hidden="1" outlineLevel="1" x14ac:dyDescent="0.25">
      <c r="A209" s="2" t="s">
        <v>1603</v>
      </c>
      <c r="B209" s="3" t="s">
        <v>1604</v>
      </c>
      <c r="C209" s="469" t="s">
        <v>96</v>
      </c>
      <c r="D209" s="469">
        <v>690</v>
      </c>
      <c r="E209" s="471">
        <v>0</v>
      </c>
      <c r="F209" s="547">
        <v>3183.22</v>
      </c>
      <c r="G209" s="471">
        <f>PRODUCT(E209,D209)</f>
        <v>0</v>
      </c>
      <c r="H209" s="471">
        <f>PRODUCT(F209,D209)</f>
        <v>2196421.7999999998</v>
      </c>
      <c r="I209" s="471">
        <f>SUM(G209:H209)</f>
        <v>2196421.7999999998</v>
      </c>
    </row>
    <row r="210" spans="1:9" hidden="1" outlineLevel="1" x14ac:dyDescent="0.25">
      <c r="A210" s="2" t="s">
        <v>1605</v>
      </c>
      <c r="B210" s="3" t="s">
        <v>1606</v>
      </c>
      <c r="C210" s="469" t="s">
        <v>96</v>
      </c>
      <c r="D210" s="469">
        <v>690</v>
      </c>
      <c r="E210" s="471">
        <v>0</v>
      </c>
      <c r="F210" s="547">
        <v>162.38</v>
      </c>
      <c r="G210" s="471">
        <f>PRODUCT(E210,D210)</f>
        <v>0</v>
      </c>
      <c r="H210" s="471">
        <f>PRODUCT(F210,D210)</f>
        <v>112042.2</v>
      </c>
      <c r="I210" s="471">
        <f t="shared" ref="I210:I212" si="39">SUM(G210:H210)</f>
        <v>112042.2</v>
      </c>
    </row>
    <row r="211" spans="1:9" hidden="1" outlineLevel="1" x14ac:dyDescent="0.25">
      <c r="A211" s="2" t="s">
        <v>1607</v>
      </c>
      <c r="B211" s="3" t="s">
        <v>1608</v>
      </c>
      <c r="C211" s="469" t="s">
        <v>96</v>
      </c>
      <c r="D211" s="469">
        <f>PRODUCT(D209,2)</f>
        <v>1380</v>
      </c>
      <c r="E211" s="471">
        <v>0</v>
      </c>
      <c r="F211" s="547">
        <v>34.270000000000003</v>
      </c>
      <c r="G211" s="471">
        <f>PRODUCT(E211,D211)</f>
        <v>0</v>
      </c>
      <c r="H211" s="471">
        <f>PRODUCT(F211,D211)</f>
        <v>47292.600000000006</v>
      </c>
      <c r="I211" s="471">
        <f t="shared" si="39"/>
        <v>47292.600000000006</v>
      </c>
    </row>
    <row r="212" spans="1:9" hidden="1" outlineLevel="1" x14ac:dyDescent="0.25">
      <c r="A212" s="2" t="s">
        <v>1609</v>
      </c>
      <c r="B212" s="3" t="s">
        <v>1610</v>
      </c>
      <c r="C212" s="469" t="s">
        <v>96</v>
      </c>
      <c r="D212" s="469">
        <f>PRODUCT(D209,2)</f>
        <v>1380</v>
      </c>
      <c r="E212" s="471">
        <v>0</v>
      </c>
      <c r="F212" s="547">
        <v>4.08</v>
      </c>
      <c r="G212" s="471">
        <f>PRODUCT(E212,D212)</f>
        <v>0</v>
      </c>
      <c r="H212" s="471">
        <f>PRODUCT(F212,D212)</f>
        <v>5630.4000000000005</v>
      </c>
      <c r="I212" s="471">
        <f t="shared" si="39"/>
        <v>5630.4000000000005</v>
      </c>
    </row>
    <row r="213" spans="1:9" s="293" customFormat="1" collapsed="1" x14ac:dyDescent="0.25">
      <c r="A213" s="485">
        <v>13</v>
      </c>
      <c r="B213" s="1" t="s">
        <v>1611</v>
      </c>
      <c r="C213" s="486" t="s">
        <v>96</v>
      </c>
      <c r="D213" s="486">
        <f>SUM(D214:D217)</f>
        <v>1016</v>
      </c>
      <c r="E213" s="467">
        <v>30</v>
      </c>
      <c r="F213" s="467"/>
      <c r="G213" s="467">
        <f>PRODUCT(D213:E213)+G214+G215+G216+G217</f>
        <v>60960</v>
      </c>
      <c r="H213" s="467">
        <f>SUM(H214:H218)</f>
        <v>80533.760000000009</v>
      </c>
      <c r="I213" s="467">
        <f>SUM(G213:H213)</f>
        <v>141493.76000000001</v>
      </c>
    </row>
    <row r="214" spans="1:9" hidden="1" outlineLevel="1" x14ac:dyDescent="0.25">
      <c r="A214" s="2" t="s">
        <v>1612</v>
      </c>
      <c r="B214" s="3" t="s">
        <v>1613</v>
      </c>
      <c r="C214" s="469" t="s">
        <v>96</v>
      </c>
      <c r="D214" s="469">
        <v>24</v>
      </c>
      <c r="E214" s="471">
        <v>30</v>
      </c>
      <c r="F214" s="471">
        <v>18.14</v>
      </c>
      <c r="G214" s="471">
        <f>PRODUCT(D214:E214)</f>
        <v>720</v>
      </c>
      <c r="H214" s="471">
        <f>F214*D214</f>
        <v>435.36</v>
      </c>
      <c r="I214" s="471">
        <f>SUM(G214:H214)</f>
        <v>1155.3600000000001</v>
      </c>
    </row>
    <row r="215" spans="1:9" hidden="1" outlineLevel="1" x14ac:dyDescent="0.25">
      <c r="A215" s="2" t="s">
        <v>1614</v>
      </c>
      <c r="B215" s="3" t="s">
        <v>1615</v>
      </c>
      <c r="C215" s="469" t="s">
        <v>96</v>
      </c>
      <c r="D215" s="469">
        <v>144</v>
      </c>
      <c r="E215" s="471">
        <v>30</v>
      </c>
      <c r="F215" s="471">
        <v>33.76</v>
      </c>
      <c r="G215" s="471">
        <f t="shared" ref="G215:G217" si="40">PRODUCT(D215:E215)</f>
        <v>4320</v>
      </c>
      <c r="H215" s="471">
        <f t="shared" ref="H215:H217" si="41">F215*D215</f>
        <v>4861.4399999999996</v>
      </c>
      <c r="I215" s="471">
        <f t="shared" ref="I215:I217" si="42">SUM(G215:H215)</f>
        <v>9181.4399999999987</v>
      </c>
    </row>
    <row r="216" spans="1:9" hidden="1" outlineLevel="1" x14ac:dyDescent="0.25">
      <c r="A216" s="2" t="s">
        <v>1616</v>
      </c>
      <c r="B216" s="3" t="s">
        <v>1617</v>
      </c>
      <c r="C216" s="469" t="s">
        <v>96</v>
      </c>
      <c r="D216" s="469">
        <v>824</v>
      </c>
      <c r="E216" s="471">
        <v>30</v>
      </c>
      <c r="F216" s="471">
        <v>41.53</v>
      </c>
      <c r="G216" s="471">
        <f t="shared" si="40"/>
        <v>24720</v>
      </c>
      <c r="H216" s="471">
        <f t="shared" si="41"/>
        <v>34220.720000000001</v>
      </c>
      <c r="I216" s="471">
        <f t="shared" si="42"/>
        <v>58940.72</v>
      </c>
    </row>
    <row r="217" spans="1:9" hidden="1" outlineLevel="1" x14ac:dyDescent="0.25">
      <c r="A217" s="2" t="s">
        <v>1618</v>
      </c>
      <c r="B217" s="3" t="s">
        <v>1619</v>
      </c>
      <c r="C217" s="469" t="s">
        <v>96</v>
      </c>
      <c r="D217" s="469">
        <v>24</v>
      </c>
      <c r="E217" s="471">
        <v>30</v>
      </c>
      <c r="F217" s="471">
        <v>146.51</v>
      </c>
      <c r="G217" s="471">
        <f t="shared" si="40"/>
        <v>720</v>
      </c>
      <c r="H217" s="471">
        <f t="shared" si="41"/>
        <v>3516.24</v>
      </c>
      <c r="I217" s="471">
        <f t="shared" si="42"/>
        <v>4236.24</v>
      </c>
    </row>
    <row r="218" spans="1:9" hidden="1" outlineLevel="1" x14ac:dyDescent="0.25">
      <c r="A218" s="2" t="s">
        <v>1620</v>
      </c>
      <c r="B218" s="548" t="s">
        <v>1621</v>
      </c>
      <c r="C218" s="469" t="s">
        <v>96</v>
      </c>
      <c r="D218" s="469">
        <v>20</v>
      </c>
      <c r="E218" s="471"/>
      <c r="F218" s="549">
        <v>1875</v>
      </c>
      <c r="G218" s="471"/>
      <c r="H218" s="471">
        <f>PRODUCT(F218,D218)</f>
        <v>37500</v>
      </c>
      <c r="I218" s="471">
        <f>SUM(G218:H218)</f>
        <v>37500</v>
      </c>
    </row>
    <row r="219" spans="1:9" s="293" customFormat="1" collapsed="1" x14ac:dyDescent="0.25">
      <c r="A219" s="485">
        <v>14</v>
      </c>
      <c r="B219" s="1" t="s">
        <v>1622</v>
      </c>
      <c r="C219" s="486" t="s">
        <v>96</v>
      </c>
      <c r="D219" s="486">
        <f>SUM(D220)</f>
        <v>1000</v>
      </c>
      <c r="E219" s="467"/>
      <c r="F219" s="467"/>
      <c r="G219" s="467">
        <f>SUM(G220)</f>
        <v>150000</v>
      </c>
      <c r="H219" s="467">
        <f>SUM(H220:H221)</f>
        <v>65150</v>
      </c>
      <c r="I219" s="467">
        <f t="shared" si="38"/>
        <v>215150</v>
      </c>
    </row>
    <row r="220" spans="1:9" hidden="1" outlineLevel="1" x14ac:dyDescent="0.25">
      <c r="A220" s="2" t="s">
        <v>1623</v>
      </c>
      <c r="B220" s="3" t="s">
        <v>1624</v>
      </c>
      <c r="C220" s="469" t="s">
        <v>96</v>
      </c>
      <c r="D220" s="469">
        <v>1000</v>
      </c>
      <c r="E220" s="471">
        <v>150</v>
      </c>
      <c r="F220" s="471">
        <v>0</v>
      </c>
      <c r="G220" s="471">
        <f>PRODUCT(E220,D220)</f>
        <v>150000</v>
      </c>
      <c r="H220" s="471">
        <f>PRODUCT(F220,D220)</f>
        <v>0</v>
      </c>
      <c r="I220" s="471">
        <f>SUM(G220:H220)</f>
        <v>150000</v>
      </c>
    </row>
    <row r="221" spans="1:9" hidden="1" outlineLevel="1" x14ac:dyDescent="0.25">
      <c r="A221" s="2" t="s">
        <v>1625</v>
      </c>
      <c r="B221" s="550" t="s">
        <v>1626</v>
      </c>
      <c r="C221" s="469" t="s">
        <v>96</v>
      </c>
      <c r="D221" s="469">
        <v>25</v>
      </c>
      <c r="E221" s="471">
        <v>0</v>
      </c>
      <c r="F221" s="551">
        <v>2606</v>
      </c>
      <c r="G221" s="471">
        <f>PRODUCT(E221,D221)</f>
        <v>0</v>
      </c>
      <c r="H221" s="471">
        <f>PRODUCT(F221,D221)</f>
        <v>65150</v>
      </c>
      <c r="I221" s="471">
        <f t="shared" ref="I221" si="43">SUM(G221:H221)</f>
        <v>65150</v>
      </c>
    </row>
    <row r="222" spans="1:9" x14ac:dyDescent="0.25">
      <c r="A222" s="552">
        <v>15</v>
      </c>
      <c r="B222" s="488" t="s">
        <v>1627</v>
      </c>
      <c r="C222" s="552" t="s">
        <v>44</v>
      </c>
      <c r="D222" s="552">
        <v>1</v>
      </c>
      <c r="E222" s="501">
        <v>447591.9</v>
      </c>
      <c r="F222" s="501">
        <v>3175449.17</v>
      </c>
      <c r="G222" s="489">
        <f>D222*E222</f>
        <v>447591.9</v>
      </c>
      <c r="H222" s="490">
        <f>D222*F222</f>
        <v>3175449.17</v>
      </c>
      <c r="I222" s="489">
        <f>H222+G222</f>
        <v>3623041.07</v>
      </c>
    </row>
    <row r="223" spans="1:9" x14ac:dyDescent="0.25">
      <c r="A223" s="2"/>
      <c r="B223" s="3"/>
      <c r="C223" s="469"/>
      <c r="D223" s="469"/>
      <c r="E223" s="471"/>
      <c r="F223" s="486" t="s">
        <v>1209</v>
      </c>
      <c r="G223" s="467">
        <f>SUM(G4,G55,G73,G80,G82,G84,G94,G96,G170,G175,G178,G208,G213,G219,G222)</f>
        <v>2869651.9</v>
      </c>
      <c r="H223" s="467">
        <f>SUM(H4,H55,H73,H80,H82,H84,H94,H96,H170,H175,H178,H208,H213,H219,H222)</f>
        <v>10329922.877264865</v>
      </c>
      <c r="I223" s="467">
        <f>SUM(I4,I55,I73,I80,I82,I84,I94,I96,I170,I175,I178,I208,I213,I219,I222)</f>
        <v>13199574.777264865</v>
      </c>
    </row>
    <row r="224" spans="1:9" x14ac:dyDescent="0.25">
      <c r="I224" s="554"/>
    </row>
    <row r="230" spans="2:2" ht="15.05" x14ac:dyDescent="0.3">
      <c r="B230"/>
    </row>
    <row r="231" spans="2:2" ht="15.05" x14ac:dyDescent="0.3">
      <c r="B231"/>
    </row>
  </sheetData>
  <mergeCells count="8">
    <mergeCell ref="A1:I1"/>
    <mergeCell ref="A2:A3"/>
    <mergeCell ref="B2:B3"/>
    <mergeCell ref="C2:C3"/>
    <mergeCell ref="D2:D3"/>
    <mergeCell ref="E2:F2"/>
    <mergeCell ref="G2:H2"/>
    <mergeCell ref="I2:I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zoomScale="85" zoomScaleNormal="85" workbookViewId="0">
      <pane ySplit="11" topLeftCell="A113" activePane="bottomLeft" state="frozen"/>
      <selection pane="bottomLeft" activeCell="J137" sqref="J137"/>
    </sheetView>
  </sheetViews>
  <sheetFormatPr defaultColWidth="9.109375" defaultRowHeight="15.05" x14ac:dyDescent="0.3"/>
  <cols>
    <col min="1" max="1" width="5.5546875" style="9" customWidth="1"/>
    <col min="2" max="2" width="53.109375" style="9" customWidth="1"/>
    <col min="3" max="3" width="9" style="9" customWidth="1"/>
    <col min="4" max="4" width="12.109375" style="9" customWidth="1"/>
    <col min="5" max="5" width="17.44140625" style="9" customWidth="1"/>
    <col min="6" max="6" width="15.6640625" style="9" customWidth="1"/>
    <col min="7" max="7" width="21" style="9" customWidth="1"/>
    <col min="8" max="8" width="18.33203125" style="9" bestFit="1" customWidth="1"/>
    <col min="9" max="9" width="19.6640625" style="9" customWidth="1"/>
    <col min="10" max="10" width="16.5546875" style="9" customWidth="1"/>
    <col min="11" max="11" width="16.88671875" style="9" customWidth="1"/>
    <col min="12" max="12" width="17.44140625" style="9" customWidth="1"/>
    <col min="13" max="13" width="17.6640625" style="9" customWidth="1"/>
    <col min="14" max="14" width="18.88671875" style="9" customWidth="1"/>
    <col min="15" max="15" width="9.109375" style="9"/>
    <col min="16" max="16" width="9.109375" style="9" customWidth="1"/>
    <col min="17" max="17" width="12.6640625" style="9" customWidth="1"/>
    <col min="18" max="19" width="9.109375" style="9"/>
    <col min="20" max="20" width="14.33203125" style="9" customWidth="1"/>
    <col min="21" max="22" width="9.109375" style="9"/>
    <col min="23" max="23" width="16.109375" style="9" customWidth="1"/>
    <col min="24" max="24" width="9.109375" style="9"/>
    <col min="25" max="25" width="10.109375" style="9" customWidth="1"/>
    <col min="26" max="26" width="15.5546875" style="9" customWidth="1"/>
    <col min="27" max="16384" width="9.109375" style="9"/>
  </cols>
  <sheetData>
    <row r="1" spans="1:26" x14ac:dyDescent="0.3">
      <c r="A1" s="1495" t="s">
        <v>870</v>
      </c>
      <c r="B1" s="1495"/>
      <c r="C1" s="217"/>
      <c r="D1" s="218"/>
      <c r="E1" s="219" t="s">
        <v>871</v>
      </c>
      <c r="F1" s="219"/>
      <c r="G1" s="219"/>
      <c r="H1" s="219"/>
      <c r="I1" s="219"/>
    </row>
    <row r="2" spans="1:26" x14ac:dyDescent="0.3">
      <c r="A2" s="220"/>
      <c r="B2" s="217"/>
      <c r="C2" s="217"/>
      <c r="D2" s="218"/>
      <c r="E2" s="221"/>
      <c r="F2" s="221"/>
      <c r="G2" s="222"/>
      <c r="H2" s="221"/>
      <c r="I2" s="221"/>
    </row>
    <row r="3" spans="1:26" x14ac:dyDescent="0.3">
      <c r="A3" s="1495" t="s">
        <v>872</v>
      </c>
      <c r="B3" s="1495"/>
      <c r="C3" s="217"/>
      <c r="D3" s="218"/>
      <c r="E3" s="1495" t="s">
        <v>873</v>
      </c>
      <c r="F3" s="1495"/>
      <c r="G3" s="1495"/>
      <c r="H3" s="1495"/>
      <c r="I3" s="1495"/>
    </row>
    <row r="4" spans="1:26" x14ac:dyDescent="0.3">
      <c r="A4" s="1495" t="s">
        <v>874</v>
      </c>
      <c r="B4" s="1495"/>
      <c r="C4" s="217"/>
      <c r="D4" s="218"/>
      <c r="E4" s="1495" t="s">
        <v>875</v>
      </c>
      <c r="F4" s="1495"/>
      <c r="G4" s="1495"/>
      <c r="H4" s="1495"/>
      <c r="I4" s="1495"/>
    </row>
    <row r="5" spans="1:26" x14ac:dyDescent="0.3">
      <c r="A5" s="220"/>
      <c r="B5" s="223"/>
      <c r="C5" s="223"/>
      <c r="D5" s="224"/>
      <c r="E5" s="225"/>
      <c r="F5" s="225"/>
      <c r="G5" s="225"/>
      <c r="H5" s="225"/>
      <c r="I5" s="225"/>
    </row>
    <row r="6" spans="1:26" x14ac:dyDescent="0.3">
      <c r="A6" s="1419" t="s">
        <v>879</v>
      </c>
      <c r="B6" s="1419"/>
      <c r="C6" s="1419"/>
      <c r="D6" s="1419"/>
      <c r="E6" s="1419"/>
      <c r="F6" s="1419"/>
      <c r="G6" s="1419"/>
      <c r="H6" s="225"/>
      <c r="I6" s="225"/>
    </row>
    <row r="7" spans="1:26" x14ac:dyDescent="0.3">
      <c r="A7" s="1419" t="s">
        <v>878</v>
      </c>
      <c r="B7" s="1419"/>
      <c r="C7" s="1419"/>
      <c r="D7" s="1419"/>
      <c r="E7" s="1419"/>
      <c r="F7" s="1419"/>
      <c r="G7" s="1419"/>
      <c r="H7" s="1419"/>
      <c r="I7" s="1419"/>
    </row>
    <row r="8" spans="1:26" x14ac:dyDescent="0.3">
      <c r="A8" s="1493" t="s">
        <v>876</v>
      </c>
      <c r="B8" s="1493"/>
      <c r="C8" s="1493"/>
      <c r="D8" s="1493"/>
      <c r="E8" s="1493"/>
      <c r="F8" s="1493"/>
      <c r="G8" s="1493"/>
      <c r="H8" s="1493"/>
      <c r="I8" s="1493"/>
    </row>
    <row r="9" spans="1:26" x14ac:dyDescent="0.3">
      <c r="A9" s="1494" t="s">
        <v>877</v>
      </c>
      <c r="B9" s="1494"/>
      <c r="C9" s="1494"/>
      <c r="D9" s="1494"/>
      <c r="E9" s="1494"/>
      <c r="F9" s="1494"/>
      <c r="G9" s="1494"/>
      <c r="H9" s="1494"/>
      <c r="I9" s="1494"/>
    </row>
    <row r="11" spans="1:26" ht="42.75" customHeight="1" x14ac:dyDescent="0.3">
      <c r="A11" s="179" t="s">
        <v>755</v>
      </c>
      <c r="B11" s="179" t="s">
        <v>756</v>
      </c>
      <c r="C11" s="180" t="s">
        <v>757</v>
      </c>
      <c r="D11" s="180" t="s">
        <v>758</v>
      </c>
      <c r="E11" s="180" t="s">
        <v>759</v>
      </c>
      <c r="F11" s="180" t="s">
        <v>760</v>
      </c>
      <c r="G11" s="180" t="s">
        <v>761</v>
      </c>
      <c r="H11" s="181" t="s">
        <v>762</v>
      </c>
      <c r="I11" s="182"/>
      <c r="J11" s="183"/>
      <c r="K11" s="183"/>
      <c r="L11" s="183"/>
      <c r="M11" s="183"/>
      <c r="N11" s="183"/>
    </row>
    <row r="12" spans="1:26" x14ac:dyDescent="0.3">
      <c r="A12" s="184">
        <v>1</v>
      </c>
      <c r="B12" s="184" t="s">
        <v>763</v>
      </c>
      <c r="C12" s="185" t="s">
        <v>764</v>
      </c>
      <c r="D12" s="186">
        <v>87</v>
      </c>
      <c r="E12" s="185">
        <v>210</v>
      </c>
      <c r="F12" s="187">
        <v>371.4</v>
      </c>
      <c r="G12" s="188">
        <f>D12*F12</f>
        <v>32311.8</v>
      </c>
      <c r="H12" s="189">
        <f>D12*E12</f>
        <v>18270</v>
      </c>
      <c r="J12" s="37"/>
      <c r="K12" s="37"/>
      <c r="L12" s="190"/>
      <c r="M12" s="190"/>
      <c r="N12" s="190"/>
      <c r="Q12" s="190"/>
      <c r="W12" s="179"/>
      <c r="Z12" s="179"/>
    </row>
    <row r="13" spans="1:26" x14ac:dyDescent="0.3">
      <c r="A13" s="184">
        <v>2</v>
      </c>
      <c r="B13" s="184" t="s">
        <v>765</v>
      </c>
      <c r="C13" s="185" t="s">
        <v>764</v>
      </c>
      <c r="D13" s="186">
        <v>148</v>
      </c>
      <c r="E13" s="185">
        <v>175</v>
      </c>
      <c r="F13" s="187">
        <v>311.98</v>
      </c>
      <c r="G13" s="188">
        <f t="shared" ref="G13:G76" si="0">D13*F13</f>
        <v>46173.04</v>
      </c>
      <c r="H13" s="189">
        <f t="shared" ref="H13:H74" si="1">D13*E13</f>
        <v>25900</v>
      </c>
      <c r="J13" s="37"/>
      <c r="K13" s="37"/>
      <c r="L13" s="190"/>
      <c r="M13" s="190"/>
      <c r="N13" s="190"/>
      <c r="Q13" s="190"/>
      <c r="T13" s="190"/>
      <c r="W13" s="191"/>
      <c r="Z13" s="179"/>
    </row>
    <row r="14" spans="1:26" x14ac:dyDescent="0.3">
      <c r="A14" s="184">
        <v>3</v>
      </c>
      <c r="B14" s="184" t="s">
        <v>766</v>
      </c>
      <c r="C14" s="185" t="s">
        <v>764</v>
      </c>
      <c r="D14" s="186">
        <v>1524</v>
      </c>
      <c r="E14" s="185">
        <v>210</v>
      </c>
      <c r="F14" s="187">
        <v>371.4</v>
      </c>
      <c r="G14" s="188">
        <f t="shared" si="0"/>
        <v>566013.6</v>
      </c>
      <c r="H14" s="189">
        <f t="shared" si="1"/>
        <v>320040</v>
      </c>
      <c r="J14" s="37"/>
      <c r="K14" s="37"/>
      <c r="L14" s="190"/>
      <c r="M14" s="190"/>
      <c r="N14" s="190"/>
      <c r="Q14" s="190"/>
      <c r="T14" s="190"/>
      <c r="W14" s="191"/>
      <c r="Z14" s="179"/>
    </row>
    <row r="15" spans="1:26" x14ac:dyDescent="0.3">
      <c r="A15" s="184">
        <v>4</v>
      </c>
      <c r="B15" s="184" t="s">
        <v>767</v>
      </c>
      <c r="C15" s="185" t="s">
        <v>764</v>
      </c>
      <c r="D15" s="186">
        <v>80</v>
      </c>
      <c r="E15" s="185">
        <v>245</v>
      </c>
      <c r="F15" s="187">
        <v>435.78</v>
      </c>
      <c r="G15" s="188">
        <f t="shared" si="0"/>
        <v>34862.399999999994</v>
      </c>
      <c r="H15" s="189">
        <f t="shared" si="1"/>
        <v>19600</v>
      </c>
      <c r="J15" s="37"/>
      <c r="K15" s="37"/>
      <c r="L15" s="190"/>
      <c r="M15" s="190"/>
      <c r="N15" s="190"/>
      <c r="Q15" s="190"/>
      <c r="T15" s="190"/>
      <c r="W15" s="191"/>
      <c r="Z15" s="179"/>
    </row>
    <row r="16" spans="1:26" x14ac:dyDescent="0.3">
      <c r="A16" s="184">
        <v>5</v>
      </c>
      <c r="B16" s="184" t="s">
        <v>768</v>
      </c>
      <c r="C16" s="185" t="s">
        <v>764</v>
      </c>
      <c r="D16" s="186">
        <v>140</v>
      </c>
      <c r="E16" s="185">
        <v>280</v>
      </c>
      <c r="F16" s="187">
        <v>495.2</v>
      </c>
      <c r="G16" s="188">
        <f t="shared" si="0"/>
        <v>69328</v>
      </c>
      <c r="H16" s="189">
        <f t="shared" si="1"/>
        <v>39200</v>
      </c>
      <c r="J16" s="37"/>
      <c r="K16" s="37"/>
      <c r="L16" s="190"/>
      <c r="M16" s="190"/>
      <c r="N16" s="190"/>
      <c r="Q16" s="190"/>
      <c r="T16" s="190"/>
      <c r="W16" s="191"/>
      <c r="Z16" s="179"/>
    </row>
    <row r="17" spans="1:26" x14ac:dyDescent="0.3">
      <c r="A17" s="184">
        <v>6</v>
      </c>
      <c r="B17" s="184" t="s">
        <v>769</v>
      </c>
      <c r="C17" s="185" t="s">
        <v>764</v>
      </c>
      <c r="D17" s="186">
        <v>342</v>
      </c>
      <c r="E17" s="185">
        <v>350</v>
      </c>
      <c r="F17" s="187">
        <v>608</v>
      </c>
      <c r="G17" s="188">
        <f t="shared" si="0"/>
        <v>207936</v>
      </c>
      <c r="H17" s="189">
        <f t="shared" si="1"/>
        <v>119700</v>
      </c>
      <c r="J17" s="37"/>
      <c r="K17" s="37"/>
      <c r="L17" s="190"/>
      <c r="M17" s="190"/>
      <c r="N17" s="190"/>
      <c r="Q17" s="190"/>
      <c r="T17" s="190"/>
      <c r="W17" s="191"/>
      <c r="Z17" s="179"/>
    </row>
    <row r="18" spans="1:26" x14ac:dyDescent="0.3">
      <c r="A18" s="184">
        <v>7</v>
      </c>
      <c r="B18" s="184" t="s">
        <v>770</v>
      </c>
      <c r="C18" s="185" t="s">
        <v>764</v>
      </c>
      <c r="D18" s="186">
        <v>170</v>
      </c>
      <c r="E18" s="185">
        <v>420</v>
      </c>
      <c r="F18" s="187">
        <v>742.8</v>
      </c>
      <c r="G18" s="188">
        <f t="shared" si="0"/>
        <v>126275.99999999999</v>
      </c>
      <c r="H18" s="189">
        <f t="shared" si="1"/>
        <v>71400</v>
      </c>
      <c r="J18" s="37"/>
      <c r="K18" s="37"/>
      <c r="L18" s="190"/>
      <c r="M18" s="190"/>
      <c r="N18" s="190"/>
      <c r="Q18" s="190"/>
      <c r="T18" s="190"/>
      <c r="W18" s="191"/>
      <c r="Z18" s="179"/>
    </row>
    <row r="19" spans="1:26" x14ac:dyDescent="0.3">
      <c r="A19" s="184">
        <v>8</v>
      </c>
      <c r="B19" s="184" t="s">
        <v>771</v>
      </c>
      <c r="C19" s="185" t="s">
        <v>764</v>
      </c>
      <c r="D19" s="186">
        <v>174</v>
      </c>
      <c r="E19" s="185">
        <v>385</v>
      </c>
      <c r="F19" s="187">
        <v>675.4</v>
      </c>
      <c r="G19" s="188">
        <f t="shared" si="0"/>
        <v>117519.59999999999</v>
      </c>
      <c r="H19" s="189">
        <f t="shared" si="1"/>
        <v>66990</v>
      </c>
      <c r="J19" s="37"/>
      <c r="K19" s="37"/>
      <c r="L19" s="190"/>
      <c r="M19" s="190"/>
      <c r="N19" s="190"/>
      <c r="Q19" s="190"/>
      <c r="T19" s="190"/>
      <c r="W19" s="191"/>
      <c r="Z19" s="179"/>
    </row>
    <row r="20" spans="1:26" x14ac:dyDescent="0.3">
      <c r="A20" s="184">
        <v>9</v>
      </c>
      <c r="B20" s="184" t="s">
        <v>772</v>
      </c>
      <c r="C20" s="185" t="s">
        <v>764</v>
      </c>
      <c r="D20" s="186">
        <v>248</v>
      </c>
      <c r="E20" s="185">
        <v>420</v>
      </c>
      <c r="F20" s="187">
        <v>742.8</v>
      </c>
      <c r="G20" s="188">
        <f t="shared" si="0"/>
        <v>184214.39999999999</v>
      </c>
      <c r="H20" s="189">
        <f t="shared" si="1"/>
        <v>104160</v>
      </c>
      <c r="J20" s="37"/>
      <c r="K20" s="37"/>
      <c r="L20" s="190"/>
      <c r="M20" s="190"/>
      <c r="N20" s="190"/>
      <c r="Q20" s="190"/>
      <c r="T20" s="190"/>
      <c r="W20" s="191"/>
      <c r="Z20" s="179"/>
    </row>
    <row r="21" spans="1:26" x14ac:dyDescent="0.3">
      <c r="A21" s="184">
        <v>10</v>
      </c>
      <c r="B21" s="184" t="s">
        <v>773</v>
      </c>
      <c r="C21" s="185" t="s">
        <v>764</v>
      </c>
      <c r="D21" s="186">
        <v>21</v>
      </c>
      <c r="E21" s="185">
        <v>455</v>
      </c>
      <c r="F21" s="187">
        <v>807.18</v>
      </c>
      <c r="G21" s="188">
        <f t="shared" si="0"/>
        <v>16950.78</v>
      </c>
      <c r="H21" s="189">
        <f t="shared" si="1"/>
        <v>9555</v>
      </c>
      <c r="J21" s="37"/>
      <c r="K21" s="37"/>
      <c r="L21" s="190"/>
      <c r="M21" s="190"/>
      <c r="N21" s="190"/>
      <c r="Q21" s="190"/>
      <c r="T21" s="190"/>
      <c r="W21" s="191"/>
      <c r="Z21" s="179"/>
    </row>
    <row r="22" spans="1:26" x14ac:dyDescent="0.3">
      <c r="A22" s="184">
        <v>11</v>
      </c>
      <c r="B22" s="184" t="s">
        <v>774</v>
      </c>
      <c r="C22" s="185" t="s">
        <v>764</v>
      </c>
      <c r="D22" s="186">
        <v>43</v>
      </c>
      <c r="E22" s="185">
        <v>490</v>
      </c>
      <c r="F22" s="187">
        <v>866.6</v>
      </c>
      <c r="G22" s="188">
        <f t="shared" si="0"/>
        <v>37263.800000000003</v>
      </c>
      <c r="H22" s="189">
        <f t="shared" si="1"/>
        <v>21070</v>
      </c>
      <c r="J22" s="37"/>
      <c r="K22" s="37"/>
      <c r="L22" s="190"/>
      <c r="M22" s="190"/>
      <c r="N22" s="190"/>
      <c r="Q22" s="190"/>
      <c r="T22" s="190"/>
      <c r="W22" s="191"/>
      <c r="Z22" s="179"/>
    </row>
    <row r="23" spans="1:26" x14ac:dyDescent="0.3">
      <c r="A23" s="184">
        <v>12</v>
      </c>
      <c r="B23" s="184" t="s">
        <v>775</v>
      </c>
      <c r="C23" s="185" t="s">
        <v>764</v>
      </c>
      <c r="D23" s="186">
        <v>21</v>
      </c>
      <c r="E23" s="185">
        <v>630</v>
      </c>
      <c r="F23" s="187">
        <v>1114.2</v>
      </c>
      <c r="G23" s="188">
        <f t="shared" si="0"/>
        <v>23398.2</v>
      </c>
      <c r="H23" s="189">
        <f t="shared" si="1"/>
        <v>13230</v>
      </c>
      <c r="J23" s="37"/>
      <c r="K23" s="37"/>
      <c r="L23" s="190"/>
      <c r="M23" s="190"/>
      <c r="N23" s="190"/>
      <c r="Q23" s="190"/>
      <c r="T23" s="190"/>
      <c r="W23" s="191"/>
      <c r="Z23" s="179"/>
    </row>
    <row r="24" spans="1:26" x14ac:dyDescent="0.3">
      <c r="A24" s="184">
        <v>13</v>
      </c>
      <c r="B24" s="184" t="s">
        <v>776</v>
      </c>
      <c r="C24" s="185" t="s">
        <v>764</v>
      </c>
      <c r="D24" s="186">
        <v>111</v>
      </c>
      <c r="E24" s="185">
        <v>560</v>
      </c>
      <c r="F24" s="187">
        <v>990.4</v>
      </c>
      <c r="G24" s="188">
        <f t="shared" si="0"/>
        <v>109934.39999999999</v>
      </c>
      <c r="H24" s="189">
        <f t="shared" si="1"/>
        <v>62160</v>
      </c>
      <c r="J24" s="37"/>
      <c r="K24" s="37"/>
      <c r="L24" s="190"/>
      <c r="M24" s="190"/>
      <c r="N24" s="190"/>
      <c r="Q24" s="190"/>
      <c r="T24" s="190"/>
      <c r="W24" s="191"/>
      <c r="Z24" s="179"/>
    </row>
    <row r="25" spans="1:26" x14ac:dyDescent="0.3">
      <c r="A25" s="184">
        <v>14</v>
      </c>
      <c r="B25" s="184" t="s">
        <v>777</v>
      </c>
      <c r="C25" s="185" t="s">
        <v>764</v>
      </c>
      <c r="D25" s="186">
        <v>192</v>
      </c>
      <c r="E25" s="185">
        <v>595</v>
      </c>
      <c r="F25" s="187">
        <v>1114.2</v>
      </c>
      <c r="G25" s="188">
        <f t="shared" si="0"/>
        <v>213926.40000000002</v>
      </c>
      <c r="H25" s="189">
        <f t="shared" si="1"/>
        <v>114240</v>
      </c>
      <c r="J25" s="37"/>
      <c r="K25" s="37"/>
      <c r="L25" s="190"/>
      <c r="M25" s="190"/>
      <c r="N25" s="190"/>
      <c r="Q25" s="190"/>
      <c r="T25" s="190"/>
      <c r="W25" s="191"/>
      <c r="Z25" s="179"/>
    </row>
    <row r="26" spans="1:26" x14ac:dyDescent="0.3">
      <c r="A26" s="184">
        <v>15</v>
      </c>
      <c r="B26" s="184" t="s">
        <v>778</v>
      </c>
      <c r="C26" s="185" t="s">
        <v>764</v>
      </c>
      <c r="D26" s="186">
        <v>233</v>
      </c>
      <c r="E26" s="185">
        <v>560</v>
      </c>
      <c r="F26" s="187">
        <v>979.4</v>
      </c>
      <c r="G26" s="188">
        <f t="shared" si="0"/>
        <v>228200.19999999998</v>
      </c>
      <c r="H26" s="189">
        <f t="shared" si="1"/>
        <v>130480</v>
      </c>
      <c r="J26" s="37"/>
      <c r="K26" s="37"/>
      <c r="L26" s="190"/>
      <c r="M26" s="190"/>
      <c r="N26" s="190"/>
      <c r="Q26" s="190"/>
      <c r="T26" s="190"/>
      <c r="W26" s="191"/>
      <c r="Z26" s="179"/>
    </row>
    <row r="27" spans="1:26" x14ac:dyDescent="0.3">
      <c r="A27" s="184">
        <v>16</v>
      </c>
      <c r="B27" s="184" t="s">
        <v>779</v>
      </c>
      <c r="C27" s="185" t="s">
        <v>764</v>
      </c>
      <c r="D27" s="186">
        <v>21</v>
      </c>
      <c r="E27" s="185">
        <v>630</v>
      </c>
      <c r="F27" s="187">
        <v>1114.2</v>
      </c>
      <c r="G27" s="188">
        <f t="shared" si="0"/>
        <v>23398.2</v>
      </c>
      <c r="H27" s="189">
        <f t="shared" si="1"/>
        <v>13230</v>
      </c>
      <c r="J27" s="37"/>
      <c r="K27" s="37"/>
      <c r="L27" s="190"/>
      <c r="M27" s="190"/>
      <c r="N27" s="190"/>
      <c r="Q27" s="190"/>
      <c r="T27" s="190"/>
      <c r="W27" s="191"/>
      <c r="Z27" s="179"/>
    </row>
    <row r="28" spans="1:26" x14ac:dyDescent="0.3">
      <c r="A28" s="184">
        <v>17</v>
      </c>
      <c r="B28" s="184" t="s">
        <v>780</v>
      </c>
      <c r="C28" s="185" t="s">
        <v>764</v>
      </c>
      <c r="D28" s="186">
        <v>42</v>
      </c>
      <c r="E28" s="185">
        <v>665</v>
      </c>
      <c r="F28" s="187">
        <v>1170.5999999999999</v>
      </c>
      <c r="G28" s="188">
        <f t="shared" si="0"/>
        <v>49165.2</v>
      </c>
      <c r="H28" s="189">
        <f t="shared" si="1"/>
        <v>27930</v>
      </c>
      <c r="J28" s="37"/>
      <c r="K28" s="37"/>
      <c r="L28" s="190"/>
      <c r="M28" s="190"/>
      <c r="N28" s="190"/>
      <c r="Q28" s="190"/>
      <c r="T28" s="190"/>
      <c r="W28" s="191"/>
      <c r="Z28" s="179"/>
    </row>
    <row r="29" spans="1:26" x14ac:dyDescent="0.3">
      <c r="A29" s="184">
        <v>18</v>
      </c>
      <c r="B29" s="184" t="s">
        <v>781</v>
      </c>
      <c r="C29" s="185" t="s">
        <v>764</v>
      </c>
      <c r="D29" s="186">
        <v>3</v>
      </c>
      <c r="E29" s="185">
        <v>450</v>
      </c>
      <c r="F29" s="187">
        <v>608</v>
      </c>
      <c r="G29" s="188">
        <f t="shared" si="0"/>
        <v>1824</v>
      </c>
      <c r="H29" s="189">
        <f t="shared" si="1"/>
        <v>1350</v>
      </c>
      <c r="J29" s="37"/>
      <c r="K29" s="37"/>
      <c r="L29" s="190"/>
      <c r="M29" s="190"/>
      <c r="N29" s="190"/>
      <c r="Q29" s="190"/>
      <c r="T29" s="190"/>
      <c r="W29" s="191"/>
      <c r="Z29" s="179"/>
    </row>
    <row r="30" spans="1:26" x14ac:dyDescent="0.3">
      <c r="A30" s="184">
        <v>19</v>
      </c>
      <c r="B30" s="184" t="s">
        <v>777</v>
      </c>
      <c r="C30" s="185" t="s">
        <v>764</v>
      </c>
      <c r="D30" s="186">
        <v>250</v>
      </c>
      <c r="E30" s="185">
        <v>810</v>
      </c>
      <c r="F30" s="187">
        <v>1114.2</v>
      </c>
      <c r="G30" s="188">
        <f t="shared" si="0"/>
        <v>278550</v>
      </c>
      <c r="H30" s="189">
        <f t="shared" si="1"/>
        <v>202500</v>
      </c>
      <c r="J30" s="37"/>
      <c r="K30" s="37"/>
      <c r="L30" s="190"/>
      <c r="M30" s="190"/>
      <c r="N30" s="190"/>
      <c r="Q30" s="190"/>
      <c r="T30" s="190"/>
      <c r="W30" s="191"/>
      <c r="Z30" s="179"/>
    </row>
    <row r="31" spans="1:26" x14ac:dyDescent="0.3">
      <c r="A31" s="184">
        <v>20</v>
      </c>
      <c r="B31" s="184" t="s">
        <v>782</v>
      </c>
      <c r="C31" s="185" t="s">
        <v>764</v>
      </c>
      <c r="D31" s="186">
        <v>10</v>
      </c>
      <c r="E31" s="185">
        <v>990</v>
      </c>
      <c r="F31" s="187">
        <v>1372.8</v>
      </c>
      <c r="G31" s="188">
        <f t="shared" si="0"/>
        <v>13728</v>
      </c>
      <c r="H31" s="189">
        <f t="shared" si="1"/>
        <v>9900</v>
      </c>
      <c r="J31" s="37"/>
      <c r="K31" s="37"/>
      <c r="L31" s="190"/>
      <c r="M31" s="190"/>
      <c r="N31" s="190"/>
      <c r="Q31" s="190"/>
      <c r="T31" s="190"/>
      <c r="W31" s="191"/>
      <c r="Z31" s="179"/>
    </row>
    <row r="32" spans="1:26" x14ac:dyDescent="0.3">
      <c r="A32" s="184">
        <v>21</v>
      </c>
      <c r="B32" s="184" t="s">
        <v>783</v>
      </c>
      <c r="C32" s="185" t="s">
        <v>764</v>
      </c>
      <c r="D32" s="186">
        <v>6</v>
      </c>
      <c r="E32" s="185">
        <v>1530</v>
      </c>
      <c r="F32" s="187">
        <v>2272.6</v>
      </c>
      <c r="G32" s="188">
        <f t="shared" si="0"/>
        <v>13635.599999999999</v>
      </c>
      <c r="H32" s="189">
        <f t="shared" si="1"/>
        <v>9180</v>
      </c>
      <c r="J32" s="37"/>
      <c r="K32" s="37"/>
      <c r="L32" s="190"/>
      <c r="M32" s="190"/>
      <c r="N32" s="190"/>
      <c r="Q32" s="190"/>
      <c r="T32" s="190"/>
      <c r="W32" s="191"/>
      <c r="Z32" s="179"/>
    </row>
    <row r="33" spans="1:26" x14ac:dyDescent="0.3">
      <c r="A33" s="184">
        <v>22</v>
      </c>
      <c r="B33" s="184" t="s">
        <v>784</v>
      </c>
      <c r="C33" s="185" t="s">
        <v>764</v>
      </c>
      <c r="D33" s="186">
        <v>86</v>
      </c>
      <c r="E33" s="185">
        <v>1080</v>
      </c>
      <c r="F33" s="187">
        <v>1485.6</v>
      </c>
      <c r="G33" s="188">
        <f t="shared" si="0"/>
        <v>127761.59999999999</v>
      </c>
      <c r="H33" s="189">
        <f t="shared" si="1"/>
        <v>92880</v>
      </c>
      <c r="J33" s="37"/>
      <c r="K33" s="37"/>
      <c r="L33" s="190"/>
      <c r="M33" s="190"/>
      <c r="N33" s="190"/>
      <c r="Q33" s="190"/>
      <c r="T33" s="190"/>
      <c r="W33" s="191"/>
      <c r="Z33" s="179"/>
    </row>
    <row r="34" spans="1:26" x14ac:dyDescent="0.3">
      <c r="A34" s="184">
        <v>24</v>
      </c>
      <c r="B34" s="184" t="s">
        <v>785</v>
      </c>
      <c r="C34" s="185" t="s">
        <v>764</v>
      </c>
      <c r="D34" s="186">
        <v>2</v>
      </c>
      <c r="E34" s="185">
        <v>1620</v>
      </c>
      <c r="F34" s="187">
        <v>2340</v>
      </c>
      <c r="G34" s="188">
        <f t="shared" si="0"/>
        <v>4680</v>
      </c>
      <c r="H34" s="189">
        <f t="shared" si="1"/>
        <v>3240</v>
      </c>
      <c r="J34" s="37"/>
      <c r="K34" s="37"/>
      <c r="L34" s="190"/>
      <c r="M34" s="190"/>
      <c r="N34" s="190"/>
      <c r="Q34" s="190"/>
      <c r="T34" s="190"/>
      <c r="W34" s="191"/>
      <c r="Z34" s="179"/>
    </row>
    <row r="35" spans="1:26" x14ac:dyDescent="0.3">
      <c r="A35" s="192">
        <v>24.1</v>
      </c>
      <c r="B35" s="184" t="s">
        <v>786</v>
      </c>
      <c r="C35" s="185" t="s">
        <v>74</v>
      </c>
      <c r="D35" s="186">
        <v>585.6</v>
      </c>
      <c r="E35" s="185">
        <v>350</v>
      </c>
      <c r="F35" s="187">
        <v>1500</v>
      </c>
      <c r="G35" s="188">
        <f t="shared" si="0"/>
        <v>878400</v>
      </c>
      <c r="H35" s="189">
        <f t="shared" si="1"/>
        <v>204960</v>
      </c>
      <c r="J35" s="37"/>
      <c r="K35" s="37"/>
      <c r="L35" s="190"/>
      <c r="M35" s="190"/>
      <c r="N35" s="190"/>
      <c r="Q35" s="190"/>
      <c r="T35" s="190"/>
      <c r="W35" s="191"/>
      <c r="Z35" s="179"/>
    </row>
    <row r="36" spans="1:26" x14ac:dyDescent="0.3">
      <c r="A36" s="184">
        <v>25</v>
      </c>
      <c r="B36" s="184" t="s">
        <v>787</v>
      </c>
      <c r="C36" s="185" t="s">
        <v>764</v>
      </c>
      <c r="D36" s="185">
        <v>0.5</v>
      </c>
      <c r="E36" s="185">
        <v>283.5</v>
      </c>
      <c r="F36" s="187">
        <f>650/100*110</f>
        <v>715</v>
      </c>
      <c r="G36" s="188">
        <f t="shared" si="0"/>
        <v>357.5</v>
      </c>
      <c r="H36" s="189">
        <f t="shared" si="1"/>
        <v>141.75</v>
      </c>
      <c r="J36" s="37"/>
      <c r="K36" s="37"/>
      <c r="L36" s="190"/>
      <c r="M36" s="190"/>
      <c r="N36" s="190"/>
      <c r="Q36" s="190"/>
      <c r="T36" s="190"/>
      <c r="W36" s="191"/>
      <c r="Z36" s="179"/>
    </row>
    <row r="37" spans="1:26" x14ac:dyDescent="0.3">
      <c r="A37" s="184">
        <v>26</v>
      </c>
      <c r="B37" s="184" t="s">
        <v>788</v>
      </c>
      <c r="C37" s="185" t="s">
        <v>789</v>
      </c>
      <c r="D37" s="185">
        <v>4612.3</v>
      </c>
      <c r="E37" s="185">
        <v>50</v>
      </c>
      <c r="F37" s="193">
        <v>167.5</v>
      </c>
      <c r="G37" s="188">
        <f t="shared" si="0"/>
        <v>772560.25</v>
      </c>
      <c r="H37" s="189">
        <f t="shared" si="1"/>
        <v>230615</v>
      </c>
      <c r="J37" s="37"/>
      <c r="K37" s="37"/>
      <c r="L37" s="190"/>
      <c r="M37" s="190"/>
      <c r="N37" s="190"/>
      <c r="Q37" s="190"/>
      <c r="W37" s="179"/>
      <c r="Z37" s="179"/>
    </row>
    <row r="38" spans="1:26" x14ac:dyDescent="0.3">
      <c r="A38" s="179">
        <v>27</v>
      </c>
      <c r="B38" s="194" t="s">
        <v>790</v>
      </c>
      <c r="C38" s="195" t="s">
        <v>789</v>
      </c>
      <c r="D38" s="185">
        <v>8</v>
      </c>
      <c r="E38" s="185">
        <v>150</v>
      </c>
      <c r="F38" s="193">
        <v>286.5</v>
      </c>
      <c r="G38" s="191">
        <f t="shared" si="0"/>
        <v>2292</v>
      </c>
      <c r="H38" s="196">
        <f t="shared" si="1"/>
        <v>1200</v>
      </c>
      <c r="J38" s="37"/>
      <c r="K38" s="37"/>
      <c r="L38" s="190"/>
      <c r="M38" s="190"/>
      <c r="N38" s="190"/>
      <c r="Q38" s="190"/>
      <c r="T38" s="190"/>
      <c r="W38" s="191"/>
      <c r="Y38" s="190"/>
      <c r="Z38" s="179"/>
    </row>
    <row r="39" spans="1:26" x14ac:dyDescent="0.3">
      <c r="A39" s="179">
        <v>29</v>
      </c>
      <c r="B39" s="197" t="s">
        <v>791</v>
      </c>
      <c r="C39" s="195" t="s">
        <v>96</v>
      </c>
      <c r="D39" s="185">
        <v>23</v>
      </c>
      <c r="E39" s="185">
        <v>100</v>
      </c>
      <c r="F39" s="193">
        <v>365.4</v>
      </c>
      <c r="G39" s="191">
        <f t="shared" si="0"/>
        <v>8404.1999999999989</v>
      </c>
      <c r="H39" s="196">
        <f t="shared" si="1"/>
        <v>2300</v>
      </c>
      <c r="I39" s="166"/>
      <c r="J39" s="37"/>
      <c r="K39" s="37"/>
      <c r="L39" s="190"/>
      <c r="M39" s="190"/>
      <c r="N39" s="190"/>
      <c r="W39" s="184"/>
      <c r="Z39" s="191"/>
    </row>
    <row r="40" spans="1:26" x14ac:dyDescent="0.3">
      <c r="A40" s="179">
        <v>30</v>
      </c>
      <c r="B40" s="197" t="s">
        <v>792</v>
      </c>
      <c r="C40" s="195" t="s">
        <v>96</v>
      </c>
      <c r="D40" s="185">
        <v>4</v>
      </c>
      <c r="E40" s="185">
        <v>100</v>
      </c>
      <c r="F40" s="193">
        <v>239.4</v>
      </c>
      <c r="G40" s="191">
        <f t="shared" si="0"/>
        <v>957.6</v>
      </c>
      <c r="H40" s="196">
        <f t="shared" si="1"/>
        <v>400</v>
      </c>
      <c r="I40" s="166"/>
      <c r="J40" s="37"/>
      <c r="K40" s="37"/>
      <c r="L40" s="190"/>
      <c r="M40" s="190"/>
      <c r="N40" s="190"/>
      <c r="W40" s="184"/>
      <c r="Z40" s="191"/>
    </row>
    <row r="41" spans="1:26" x14ac:dyDescent="0.3">
      <c r="A41" s="179">
        <v>34</v>
      </c>
      <c r="B41" s="197" t="s">
        <v>793</v>
      </c>
      <c r="C41" s="195" t="s">
        <v>96</v>
      </c>
      <c r="D41" s="185">
        <v>1</v>
      </c>
      <c r="E41" s="185">
        <v>100</v>
      </c>
      <c r="F41" s="193">
        <v>643.79999999999995</v>
      </c>
      <c r="G41" s="191">
        <f t="shared" si="0"/>
        <v>643.79999999999995</v>
      </c>
      <c r="H41" s="196">
        <f t="shared" si="1"/>
        <v>100</v>
      </c>
      <c r="I41" s="166"/>
      <c r="J41" s="37"/>
      <c r="K41" s="37"/>
      <c r="L41" s="190"/>
      <c r="M41" s="190"/>
      <c r="N41" s="190"/>
      <c r="W41" s="184"/>
      <c r="Z41" s="191"/>
    </row>
    <row r="42" spans="1:26" x14ac:dyDescent="0.3">
      <c r="A42" s="179">
        <v>35</v>
      </c>
      <c r="B42" s="197" t="s">
        <v>794</v>
      </c>
      <c r="C42" s="195" t="s">
        <v>96</v>
      </c>
      <c r="D42" s="185">
        <v>273</v>
      </c>
      <c r="E42" s="185">
        <v>100</v>
      </c>
      <c r="F42" s="193">
        <v>483</v>
      </c>
      <c r="G42" s="191">
        <f t="shared" si="0"/>
        <v>131859</v>
      </c>
      <c r="H42" s="196">
        <f t="shared" si="1"/>
        <v>27300</v>
      </c>
      <c r="I42" s="166"/>
      <c r="J42" s="37"/>
      <c r="K42" s="37"/>
      <c r="L42" s="190"/>
      <c r="M42" s="190"/>
      <c r="N42" s="190"/>
      <c r="W42" s="184"/>
      <c r="Z42" s="191"/>
    </row>
    <row r="43" spans="1:26" x14ac:dyDescent="0.3">
      <c r="A43" s="179">
        <v>36</v>
      </c>
      <c r="B43" s="197" t="s">
        <v>795</v>
      </c>
      <c r="C43" s="195" t="s">
        <v>96</v>
      </c>
      <c r="D43" s="185">
        <v>296</v>
      </c>
      <c r="E43" s="185">
        <v>100</v>
      </c>
      <c r="F43" s="193">
        <v>420.6</v>
      </c>
      <c r="G43" s="191">
        <f t="shared" si="0"/>
        <v>124497.60000000001</v>
      </c>
      <c r="H43" s="196">
        <f t="shared" si="1"/>
        <v>29600</v>
      </c>
      <c r="I43" s="166"/>
      <c r="J43" s="37"/>
      <c r="K43" s="37"/>
      <c r="L43" s="190"/>
      <c r="M43" s="190"/>
      <c r="N43" s="190"/>
      <c r="W43" s="184"/>
      <c r="Z43" s="191"/>
    </row>
    <row r="44" spans="1:26" x14ac:dyDescent="0.3">
      <c r="A44" s="179">
        <v>37</v>
      </c>
      <c r="B44" s="197" t="s">
        <v>796</v>
      </c>
      <c r="C44" s="195" t="s">
        <v>96</v>
      </c>
      <c r="D44" s="185">
        <v>24</v>
      </c>
      <c r="E44" s="185">
        <v>150</v>
      </c>
      <c r="F44" s="193">
        <v>939.25</v>
      </c>
      <c r="G44" s="191">
        <f t="shared" si="0"/>
        <v>22542</v>
      </c>
      <c r="H44" s="196">
        <f t="shared" si="1"/>
        <v>3600</v>
      </c>
      <c r="I44" s="166"/>
      <c r="J44" s="37"/>
      <c r="K44" s="37"/>
      <c r="L44" s="190"/>
      <c r="M44" s="190"/>
      <c r="N44" s="190"/>
      <c r="W44" s="184"/>
      <c r="Z44" s="191"/>
    </row>
    <row r="45" spans="1:26" x14ac:dyDescent="0.3">
      <c r="A45" s="179">
        <v>38</v>
      </c>
      <c r="B45" s="197" t="s">
        <v>797</v>
      </c>
      <c r="C45" s="195" t="s">
        <v>96</v>
      </c>
      <c r="D45" s="185">
        <v>48</v>
      </c>
      <c r="E45" s="185">
        <v>150</v>
      </c>
      <c r="F45" s="193">
        <v>939.25</v>
      </c>
      <c r="G45" s="191">
        <f t="shared" si="0"/>
        <v>45084</v>
      </c>
      <c r="H45" s="196">
        <f t="shared" si="1"/>
        <v>7200</v>
      </c>
      <c r="I45" s="166"/>
      <c r="J45" s="37"/>
      <c r="K45" s="37"/>
      <c r="L45" s="190"/>
      <c r="M45" s="190"/>
      <c r="N45" s="190"/>
      <c r="W45" s="184"/>
      <c r="Z45" s="191"/>
    </row>
    <row r="46" spans="1:26" x14ac:dyDescent="0.3">
      <c r="A46" s="179">
        <v>39</v>
      </c>
      <c r="B46" s="197" t="s">
        <v>798</v>
      </c>
      <c r="C46" s="195" t="s">
        <v>96</v>
      </c>
      <c r="D46" s="185">
        <v>23</v>
      </c>
      <c r="E46" s="185">
        <v>150</v>
      </c>
      <c r="F46" s="193">
        <v>939.25</v>
      </c>
      <c r="G46" s="191">
        <f t="shared" si="0"/>
        <v>21602.75</v>
      </c>
      <c r="H46" s="196">
        <f t="shared" si="1"/>
        <v>3450</v>
      </c>
      <c r="I46" s="166"/>
      <c r="J46" s="37"/>
      <c r="K46" s="37"/>
      <c r="L46" s="190"/>
      <c r="M46" s="190"/>
      <c r="N46" s="190"/>
      <c r="W46" s="184"/>
      <c r="Z46" s="191"/>
    </row>
    <row r="47" spans="1:26" x14ac:dyDescent="0.3">
      <c r="A47" s="179">
        <v>40</v>
      </c>
      <c r="B47" s="180" t="s">
        <v>799</v>
      </c>
      <c r="C47" s="195" t="s">
        <v>96</v>
      </c>
      <c r="D47" s="185">
        <v>14</v>
      </c>
      <c r="E47" s="185">
        <v>150</v>
      </c>
      <c r="F47" s="193">
        <v>5136.41</v>
      </c>
      <c r="G47" s="191">
        <f t="shared" si="0"/>
        <v>71909.739999999991</v>
      </c>
      <c r="H47" s="196">
        <f t="shared" si="1"/>
        <v>2100</v>
      </c>
      <c r="I47" s="166"/>
      <c r="J47" s="37"/>
      <c r="K47" s="37"/>
      <c r="L47" s="190"/>
      <c r="M47" s="190"/>
      <c r="N47" s="190"/>
      <c r="Q47" s="190"/>
      <c r="W47" s="184"/>
      <c r="Z47" s="179"/>
    </row>
    <row r="48" spans="1:26" ht="29.3" customHeight="1" x14ac:dyDescent="0.3">
      <c r="A48" s="179">
        <v>42</v>
      </c>
      <c r="B48" s="179" t="s">
        <v>800</v>
      </c>
      <c r="C48" s="195" t="s">
        <v>96</v>
      </c>
      <c r="D48" s="185">
        <v>1</v>
      </c>
      <c r="E48" s="185">
        <v>200</v>
      </c>
      <c r="F48" s="193">
        <v>964.25</v>
      </c>
      <c r="G48" s="191">
        <f t="shared" si="0"/>
        <v>964.25</v>
      </c>
      <c r="H48" s="196">
        <f t="shared" si="1"/>
        <v>200</v>
      </c>
      <c r="I48" s="183"/>
      <c r="J48" s="37"/>
      <c r="K48" s="37"/>
      <c r="L48" s="190"/>
      <c r="M48" s="190"/>
      <c r="N48" s="190"/>
      <c r="W48" s="184"/>
      <c r="Z48" s="191"/>
    </row>
    <row r="49" spans="1:26" x14ac:dyDescent="0.3">
      <c r="A49" s="179">
        <v>43</v>
      </c>
      <c r="B49" s="179" t="s">
        <v>801</v>
      </c>
      <c r="C49" s="195" t="s">
        <v>96</v>
      </c>
      <c r="D49" s="185">
        <v>1</v>
      </c>
      <c r="E49" s="185">
        <v>350</v>
      </c>
      <c r="F49" s="193">
        <v>2555.5</v>
      </c>
      <c r="G49" s="191">
        <f t="shared" si="0"/>
        <v>2555.5</v>
      </c>
      <c r="H49" s="196">
        <f t="shared" si="1"/>
        <v>350</v>
      </c>
      <c r="J49" s="37"/>
      <c r="K49" s="37"/>
      <c r="L49" s="190"/>
      <c r="M49" s="190"/>
      <c r="N49" s="190"/>
      <c r="W49" s="184"/>
      <c r="Z49" s="191"/>
    </row>
    <row r="50" spans="1:26" x14ac:dyDescent="0.3">
      <c r="A50" s="179">
        <v>44</v>
      </c>
      <c r="B50" s="179" t="s">
        <v>802</v>
      </c>
      <c r="C50" s="195" t="s">
        <v>96</v>
      </c>
      <c r="D50" s="185">
        <v>2</v>
      </c>
      <c r="E50" s="185">
        <v>500</v>
      </c>
      <c r="F50" s="193">
        <v>3418.35</v>
      </c>
      <c r="G50" s="191">
        <f t="shared" si="0"/>
        <v>6836.7</v>
      </c>
      <c r="H50" s="196">
        <f t="shared" si="1"/>
        <v>1000</v>
      </c>
      <c r="J50" s="37"/>
      <c r="K50" s="37"/>
      <c r="L50" s="190"/>
      <c r="M50" s="190"/>
      <c r="N50" s="190"/>
      <c r="W50" s="184"/>
      <c r="Z50" s="191"/>
    </row>
    <row r="51" spans="1:26" x14ac:dyDescent="0.3">
      <c r="A51" s="179">
        <v>45</v>
      </c>
      <c r="B51" s="180" t="s">
        <v>803</v>
      </c>
      <c r="C51" s="195" t="s">
        <v>96</v>
      </c>
      <c r="D51" s="185">
        <v>25</v>
      </c>
      <c r="E51" s="185">
        <v>500</v>
      </c>
      <c r="F51" s="193">
        <v>799</v>
      </c>
      <c r="G51" s="191">
        <f t="shared" si="0"/>
        <v>19975</v>
      </c>
      <c r="H51" s="196">
        <f t="shared" si="1"/>
        <v>12500</v>
      </c>
      <c r="J51" s="37"/>
      <c r="K51" s="37"/>
      <c r="L51" s="190"/>
      <c r="M51" s="190"/>
      <c r="N51" s="190"/>
      <c r="W51" s="188"/>
      <c r="Z51" s="179"/>
    </row>
    <row r="52" spans="1:26" x14ac:dyDescent="0.3">
      <c r="A52" s="179">
        <v>46</v>
      </c>
      <c r="B52" s="180" t="s">
        <v>804</v>
      </c>
      <c r="C52" s="195" t="s">
        <v>96</v>
      </c>
      <c r="D52" s="185">
        <v>2</v>
      </c>
      <c r="E52" s="185">
        <v>5000</v>
      </c>
      <c r="F52" s="193">
        <v>60179.26</v>
      </c>
      <c r="G52" s="191">
        <f t="shared" si="0"/>
        <v>120358.52</v>
      </c>
      <c r="H52" s="196">
        <f t="shared" si="1"/>
        <v>10000</v>
      </c>
      <c r="J52" s="37"/>
      <c r="K52" s="37"/>
      <c r="L52" s="190"/>
      <c r="M52" s="190"/>
      <c r="N52" s="190"/>
      <c r="W52" s="184"/>
      <c r="Z52" s="191"/>
    </row>
    <row r="53" spans="1:26" ht="33.049999999999997" customHeight="1" x14ac:dyDescent="0.3">
      <c r="A53" s="179">
        <v>47</v>
      </c>
      <c r="B53" s="179" t="s">
        <v>805</v>
      </c>
      <c r="C53" s="195" t="s">
        <v>96</v>
      </c>
      <c r="D53" s="185">
        <v>2</v>
      </c>
      <c r="E53" s="185">
        <v>500</v>
      </c>
      <c r="F53" s="193">
        <v>11197.83</v>
      </c>
      <c r="G53" s="191">
        <f t="shared" si="0"/>
        <v>22395.66</v>
      </c>
      <c r="H53" s="196">
        <f t="shared" si="1"/>
        <v>1000</v>
      </c>
      <c r="I53" s="183"/>
      <c r="J53" s="37"/>
      <c r="K53" s="37"/>
      <c r="L53" s="190"/>
      <c r="M53" s="190"/>
      <c r="N53" s="190"/>
      <c r="W53" s="184"/>
      <c r="Z53" s="191"/>
    </row>
    <row r="54" spans="1:26" ht="27.7" customHeight="1" x14ac:dyDescent="0.3">
      <c r="A54" s="179">
        <v>48</v>
      </c>
      <c r="B54" s="180" t="s">
        <v>806</v>
      </c>
      <c r="C54" s="195" t="s">
        <v>96</v>
      </c>
      <c r="D54" s="185">
        <v>1</v>
      </c>
      <c r="E54" s="185">
        <v>5000</v>
      </c>
      <c r="F54" s="193">
        <v>94468.92</v>
      </c>
      <c r="G54" s="191">
        <f t="shared" si="0"/>
        <v>94468.92</v>
      </c>
      <c r="H54" s="196">
        <f t="shared" si="1"/>
        <v>5000</v>
      </c>
      <c r="I54" s="183"/>
      <c r="J54" s="37"/>
      <c r="K54" s="37"/>
      <c r="L54" s="190"/>
      <c r="M54" s="190"/>
      <c r="N54" s="190"/>
      <c r="W54" s="184"/>
      <c r="Z54" s="191"/>
    </row>
    <row r="55" spans="1:26" x14ac:dyDescent="0.3">
      <c r="A55" s="179">
        <v>49</v>
      </c>
      <c r="B55" s="180" t="s">
        <v>807</v>
      </c>
      <c r="C55" s="195" t="s">
        <v>96</v>
      </c>
      <c r="D55" s="185">
        <v>2</v>
      </c>
      <c r="E55" s="185">
        <v>5000</v>
      </c>
      <c r="F55" s="193">
        <v>68151.72</v>
      </c>
      <c r="G55" s="191">
        <f t="shared" si="0"/>
        <v>136303.44</v>
      </c>
      <c r="H55" s="196">
        <f t="shared" si="1"/>
        <v>10000</v>
      </c>
      <c r="J55" s="37"/>
      <c r="K55" s="37"/>
      <c r="L55" s="190"/>
      <c r="M55" s="190"/>
      <c r="N55" s="190"/>
      <c r="W55" s="184"/>
      <c r="Z55" s="191"/>
    </row>
    <row r="56" spans="1:26" ht="30.7" customHeight="1" x14ac:dyDescent="0.3">
      <c r="A56" s="179">
        <v>50</v>
      </c>
      <c r="B56" s="180" t="s">
        <v>808</v>
      </c>
      <c r="C56" s="195" t="s">
        <v>96</v>
      </c>
      <c r="D56" s="185">
        <v>1</v>
      </c>
      <c r="E56" s="185">
        <v>5000</v>
      </c>
      <c r="F56" s="193">
        <v>53313.78</v>
      </c>
      <c r="G56" s="191">
        <f t="shared" si="0"/>
        <v>53313.78</v>
      </c>
      <c r="H56" s="196">
        <f t="shared" si="1"/>
        <v>5000</v>
      </c>
      <c r="I56" s="183"/>
      <c r="J56" s="37"/>
      <c r="K56" s="37"/>
      <c r="L56" s="190"/>
      <c r="M56" s="190"/>
      <c r="N56" s="190"/>
      <c r="W56" s="184"/>
      <c r="Z56" s="191"/>
    </row>
    <row r="57" spans="1:26" ht="31.5" customHeight="1" x14ac:dyDescent="0.3">
      <c r="A57" s="179">
        <v>51</v>
      </c>
      <c r="B57" s="180" t="s">
        <v>809</v>
      </c>
      <c r="C57" s="195" t="s">
        <v>96</v>
      </c>
      <c r="D57" s="185">
        <v>1</v>
      </c>
      <c r="E57" s="185">
        <v>8000</v>
      </c>
      <c r="F57" s="193">
        <v>134624</v>
      </c>
      <c r="G57" s="191">
        <f t="shared" si="0"/>
        <v>134624</v>
      </c>
      <c r="H57" s="196">
        <f t="shared" si="1"/>
        <v>8000</v>
      </c>
      <c r="I57" s="183"/>
      <c r="J57" s="37"/>
      <c r="K57" s="37"/>
      <c r="L57" s="190"/>
      <c r="M57" s="190"/>
      <c r="N57" s="190"/>
      <c r="W57" s="184"/>
      <c r="Z57" s="191"/>
    </row>
    <row r="58" spans="1:26" ht="30.7" customHeight="1" x14ac:dyDescent="0.3">
      <c r="A58" s="179">
        <v>52</v>
      </c>
      <c r="B58" s="180" t="s">
        <v>810</v>
      </c>
      <c r="C58" s="195" t="s">
        <v>96</v>
      </c>
      <c r="D58" s="185">
        <v>2</v>
      </c>
      <c r="E58" s="185">
        <v>500</v>
      </c>
      <c r="F58" s="193">
        <v>11197.83</v>
      </c>
      <c r="G58" s="191">
        <f t="shared" si="0"/>
        <v>22395.66</v>
      </c>
      <c r="H58" s="196">
        <f t="shared" si="1"/>
        <v>1000</v>
      </c>
      <c r="I58" s="183"/>
      <c r="J58" s="37"/>
      <c r="K58" s="37"/>
      <c r="L58" s="190"/>
      <c r="M58" s="190"/>
      <c r="N58" s="190"/>
      <c r="W58" s="184"/>
      <c r="Z58" s="191"/>
    </row>
    <row r="59" spans="1:26" ht="21.8" customHeight="1" x14ac:dyDescent="0.3">
      <c r="A59" s="179">
        <v>53</v>
      </c>
      <c r="B59" s="180" t="s">
        <v>811</v>
      </c>
      <c r="C59" s="195" t="s">
        <v>96</v>
      </c>
      <c r="D59" s="185">
        <v>2</v>
      </c>
      <c r="E59" s="185">
        <v>500</v>
      </c>
      <c r="F59" s="193">
        <v>11197.83</v>
      </c>
      <c r="G59" s="191">
        <f t="shared" si="0"/>
        <v>22395.66</v>
      </c>
      <c r="H59" s="196">
        <f t="shared" si="1"/>
        <v>1000</v>
      </c>
      <c r="I59" s="183"/>
      <c r="J59" s="37"/>
      <c r="K59" s="37"/>
      <c r="L59" s="190"/>
      <c r="M59" s="190"/>
      <c r="N59" s="190"/>
      <c r="W59" s="184"/>
      <c r="Z59" s="191"/>
    </row>
    <row r="60" spans="1:26" ht="20.2" customHeight="1" x14ac:dyDescent="0.3">
      <c r="A60" s="179">
        <v>54</v>
      </c>
      <c r="B60" s="180" t="s">
        <v>811</v>
      </c>
      <c r="C60" s="195" t="s">
        <v>96</v>
      </c>
      <c r="D60" s="185">
        <v>3</v>
      </c>
      <c r="E60" s="185">
        <v>500</v>
      </c>
      <c r="F60" s="193">
        <v>11197.83</v>
      </c>
      <c r="G60" s="191">
        <f t="shared" si="0"/>
        <v>33593.49</v>
      </c>
      <c r="H60" s="196">
        <f t="shared" si="1"/>
        <v>1500</v>
      </c>
      <c r="I60" s="183"/>
      <c r="J60" s="37"/>
      <c r="K60" s="37"/>
      <c r="L60" s="190"/>
      <c r="M60" s="190"/>
      <c r="N60" s="190"/>
      <c r="W60" s="184"/>
      <c r="Z60" s="191"/>
    </row>
    <row r="61" spans="1:26" ht="20.2" customHeight="1" x14ac:dyDescent="0.3">
      <c r="A61" s="179">
        <v>55</v>
      </c>
      <c r="B61" s="198" t="s">
        <v>812</v>
      </c>
      <c r="C61" s="195" t="s">
        <v>96</v>
      </c>
      <c r="D61" s="185">
        <v>1</v>
      </c>
      <c r="E61" s="185">
        <v>500</v>
      </c>
      <c r="F61" s="199">
        <v>4091.1</v>
      </c>
      <c r="G61" s="191">
        <f t="shared" si="0"/>
        <v>4091.1</v>
      </c>
      <c r="H61" s="196">
        <f t="shared" si="1"/>
        <v>500</v>
      </c>
      <c r="I61" s="183"/>
      <c r="J61" s="37"/>
      <c r="K61" s="37"/>
      <c r="L61" s="190"/>
      <c r="M61" s="190"/>
      <c r="N61" s="190"/>
      <c r="W61" s="184"/>
      <c r="Z61" s="191"/>
    </row>
    <row r="62" spans="1:26" ht="19.600000000000001" customHeight="1" x14ac:dyDescent="0.3">
      <c r="A62" s="179">
        <v>56</v>
      </c>
      <c r="B62" s="198" t="s">
        <v>813</v>
      </c>
      <c r="C62" s="195" t="s">
        <v>96</v>
      </c>
      <c r="D62" s="185">
        <v>1</v>
      </c>
      <c r="E62" s="185">
        <v>500</v>
      </c>
      <c r="F62" s="199">
        <v>1916.2</v>
      </c>
      <c r="G62" s="191">
        <f t="shared" si="0"/>
        <v>1916.2</v>
      </c>
      <c r="H62" s="196">
        <f t="shared" si="1"/>
        <v>500</v>
      </c>
      <c r="I62" s="183"/>
      <c r="J62" s="37"/>
      <c r="K62" s="37"/>
      <c r="L62" s="190"/>
      <c r="M62" s="190"/>
      <c r="N62" s="190"/>
      <c r="W62" s="184"/>
      <c r="Z62" s="191"/>
    </row>
    <row r="63" spans="1:26" ht="29.3" customHeight="1" x14ac:dyDescent="0.3">
      <c r="A63" s="179">
        <v>57</v>
      </c>
      <c r="B63" s="198" t="s">
        <v>814</v>
      </c>
      <c r="C63" s="195" t="s">
        <v>96</v>
      </c>
      <c r="D63" s="185">
        <v>2</v>
      </c>
      <c r="E63" s="185">
        <v>700</v>
      </c>
      <c r="F63" s="199">
        <v>13484.9</v>
      </c>
      <c r="G63" s="191">
        <f t="shared" si="0"/>
        <v>26969.8</v>
      </c>
      <c r="H63" s="196">
        <f t="shared" si="1"/>
        <v>1400</v>
      </c>
      <c r="I63" s="200"/>
      <c r="J63" s="37"/>
      <c r="K63" s="37"/>
      <c r="L63" s="190"/>
      <c r="M63" s="190"/>
      <c r="N63" s="190"/>
      <c r="W63" s="188"/>
      <c r="Z63" s="179"/>
    </row>
    <row r="64" spans="1:26" ht="29.3" customHeight="1" x14ac:dyDescent="0.3">
      <c r="A64" s="179">
        <v>58</v>
      </c>
      <c r="B64" s="198" t="s">
        <v>815</v>
      </c>
      <c r="C64" s="195" t="s">
        <v>96</v>
      </c>
      <c r="D64" s="185">
        <v>1</v>
      </c>
      <c r="E64" s="185">
        <v>700</v>
      </c>
      <c r="F64" s="199">
        <v>14294.8</v>
      </c>
      <c r="G64" s="191">
        <f t="shared" si="0"/>
        <v>14294.8</v>
      </c>
      <c r="H64" s="196">
        <f t="shared" si="1"/>
        <v>700</v>
      </c>
      <c r="I64" s="200"/>
      <c r="J64" s="37"/>
      <c r="K64" s="37"/>
      <c r="L64" s="190"/>
      <c r="M64" s="190"/>
      <c r="N64" s="190"/>
      <c r="W64" s="184"/>
      <c r="Z64" s="179"/>
    </row>
    <row r="65" spans="1:26" ht="33.85" customHeight="1" x14ac:dyDescent="0.3">
      <c r="A65" s="179">
        <v>59</v>
      </c>
      <c r="B65" s="198" t="s">
        <v>816</v>
      </c>
      <c r="C65" s="195" t="s">
        <v>96</v>
      </c>
      <c r="D65" s="185">
        <v>1</v>
      </c>
      <c r="E65" s="185">
        <v>700</v>
      </c>
      <c r="F65" s="199">
        <v>10045.1</v>
      </c>
      <c r="G65" s="191">
        <f t="shared" si="0"/>
        <v>10045.1</v>
      </c>
      <c r="H65" s="196">
        <f t="shared" si="1"/>
        <v>700</v>
      </c>
      <c r="I65" s="200"/>
      <c r="J65" s="37"/>
      <c r="K65" s="37"/>
      <c r="L65" s="190"/>
      <c r="M65" s="190"/>
      <c r="N65" s="190"/>
      <c r="W65" s="184"/>
      <c r="Z65" s="179"/>
    </row>
    <row r="66" spans="1:26" ht="28.5" customHeight="1" x14ac:dyDescent="0.3">
      <c r="A66" s="179">
        <v>60</v>
      </c>
      <c r="B66" s="198" t="s">
        <v>817</v>
      </c>
      <c r="C66" s="195" t="s">
        <v>96</v>
      </c>
      <c r="D66" s="185">
        <v>1</v>
      </c>
      <c r="E66" s="185">
        <v>700</v>
      </c>
      <c r="F66" s="199">
        <v>9582.2999999999993</v>
      </c>
      <c r="G66" s="191">
        <f t="shared" si="0"/>
        <v>9582.2999999999993</v>
      </c>
      <c r="H66" s="196">
        <f t="shared" si="1"/>
        <v>700</v>
      </c>
      <c r="I66" s="200"/>
      <c r="J66" s="37"/>
      <c r="K66" s="37"/>
      <c r="L66" s="190"/>
      <c r="M66" s="190"/>
      <c r="N66" s="190"/>
      <c r="W66" s="184"/>
      <c r="Z66" s="179"/>
    </row>
    <row r="67" spans="1:26" ht="28.5" customHeight="1" x14ac:dyDescent="0.3">
      <c r="A67" s="179">
        <v>61</v>
      </c>
      <c r="B67" s="198" t="s">
        <v>818</v>
      </c>
      <c r="C67" s="195" t="s">
        <v>96</v>
      </c>
      <c r="D67" s="185">
        <v>24</v>
      </c>
      <c r="E67" s="185">
        <v>700</v>
      </c>
      <c r="F67" s="199">
        <v>9864.4</v>
      </c>
      <c r="G67" s="191">
        <f t="shared" si="0"/>
        <v>236745.59999999998</v>
      </c>
      <c r="H67" s="196">
        <f t="shared" si="1"/>
        <v>16800</v>
      </c>
      <c r="I67" s="200"/>
      <c r="J67" s="37"/>
      <c r="K67" s="37"/>
      <c r="L67" s="190"/>
      <c r="M67" s="190"/>
      <c r="N67" s="190"/>
      <c r="W67" s="184"/>
      <c r="Z67" s="191"/>
    </row>
    <row r="68" spans="1:26" ht="31.5" customHeight="1" x14ac:dyDescent="0.3">
      <c r="A68" s="179">
        <v>62</v>
      </c>
      <c r="B68" s="198" t="s">
        <v>819</v>
      </c>
      <c r="C68" s="195" t="s">
        <v>96</v>
      </c>
      <c r="D68" s="185">
        <v>1</v>
      </c>
      <c r="E68" s="185">
        <v>700</v>
      </c>
      <c r="F68" s="199">
        <v>7183.8</v>
      </c>
      <c r="G68" s="191">
        <f t="shared" si="0"/>
        <v>7183.8</v>
      </c>
      <c r="H68" s="196">
        <f t="shared" si="1"/>
        <v>700</v>
      </c>
      <c r="I68" s="200"/>
      <c r="J68" s="37"/>
      <c r="K68" s="37"/>
      <c r="L68" s="190"/>
      <c r="M68" s="190"/>
      <c r="N68" s="190"/>
      <c r="W68" s="184"/>
      <c r="Z68" s="179"/>
    </row>
    <row r="69" spans="1:26" ht="34.450000000000003" customHeight="1" x14ac:dyDescent="0.3">
      <c r="A69" s="179">
        <v>63</v>
      </c>
      <c r="B69" s="198" t="s">
        <v>820</v>
      </c>
      <c r="C69" s="195" t="s">
        <v>96</v>
      </c>
      <c r="D69" s="185">
        <v>1</v>
      </c>
      <c r="E69" s="185">
        <v>700</v>
      </c>
      <c r="F69" s="199">
        <v>6990.35</v>
      </c>
      <c r="G69" s="191">
        <f t="shared" si="0"/>
        <v>6990.35</v>
      </c>
      <c r="H69" s="196">
        <f t="shared" si="1"/>
        <v>700</v>
      </c>
      <c r="I69" s="200"/>
      <c r="J69" s="37"/>
      <c r="K69" s="37"/>
      <c r="L69" s="190"/>
      <c r="M69" s="190"/>
      <c r="N69" s="190"/>
      <c r="W69" s="184"/>
      <c r="Z69" s="179"/>
    </row>
    <row r="70" spans="1:26" ht="32.25" customHeight="1" x14ac:dyDescent="0.3">
      <c r="A70" s="179">
        <v>64</v>
      </c>
      <c r="B70" s="198" t="s">
        <v>817</v>
      </c>
      <c r="C70" s="195" t="s">
        <v>96</v>
      </c>
      <c r="D70" s="185">
        <v>48</v>
      </c>
      <c r="E70" s="185">
        <v>700</v>
      </c>
      <c r="F70" s="199">
        <v>7645.95</v>
      </c>
      <c r="G70" s="191">
        <f t="shared" si="0"/>
        <v>367005.6</v>
      </c>
      <c r="H70" s="196">
        <f t="shared" si="1"/>
        <v>33600</v>
      </c>
      <c r="I70" s="200"/>
      <c r="J70" s="37"/>
      <c r="K70" s="37"/>
      <c r="L70" s="190"/>
      <c r="M70" s="190"/>
      <c r="N70" s="190"/>
      <c r="W70" s="184"/>
      <c r="Z70" s="191"/>
    </row>
    <row r="71" spans="1:26" ht="34.450000000000003" customHeight="1" x14ac:dyDescent="0.3">
      <c r="A71" s="179">
        <v>65</v>
      </c>
      <c r="B71" s="198" t="s">
        <v>821</v>
      </c>
      <c r="C71" s="195" t="s">
        <v>96</v>
      </c>
      <c r="D71" s="185">
        <v>23</v>
      </c>
      <c r="E71" s="185">
        <v>700</v>
      </c>
      <c r="F71" s="199">
        <v>10045.1</v>
      </c>
      <c r="G71" s="191">
        <f t="shared" si="0"/>
        <v>231037.30000000002</v>
      </c>
      <c r="H71" s="196">
        <f t="shared" si="1"/>
        <v>16100</v>
      </c>
      <c r="I71" s="200"/>
      <c r="J71" s="37"/>
      <c r="K71" s="37"/>
      <c r="L71" s="190"/>
      <c r="M71" s="190"/>
      <c r="N71" s="190"/>
      <c r="W71" s="184"/>
      <c r="Z71" s="191"/>
    </row>
    <row r="72" spans="1:26" ht="40.549999999999997" customHeight="1" x14ac:dyDescent="0.3">
      <c r="A72" s="179">
        <v>66</v>
      </c>
      <c r="B72" s="197" t="s">
        <v>822</v>
      </c>
      <c r="C72" s="195" t="s">
        <v>96</v>
      </c>
      <c r="D72" s="185">
        <v>3</v>
      </c>
      <c r="E72" s="185">
        <v>500</v>
      </c>
      <c r="F72" s="193">
        <v>11618.12</v>
      </c>
      <c r="G72" s="191">
        <f t="shared" si="0"/>
        <v>34854.36</v>
      </c>
      <c r="H72" s="196">
        <f t="shared" si="1"/>
        <v>1500</v>
      </c>
      <c r="I72" s="200"/>
      <c r="J72" s="37"/>
      <c r="K72" s="37"/>
      <c r="L72" s="190"/>
      <c r="M72" s="190"/>
      <c r="N72" s="190"/>
      <c r="W72" s="184"/>
      <c r="Z72" s="191"/>
    </row>
    <row r="73" spans="1:26" ht="30.7" customHeight="1" x14ac:dyDescent="0.3">
      <c r="A73" s="179">
        <v>67</v>
      </c>
      <c r="B73" s="197" t="s">
        <v>823</v>
      </c>
      <c r="C73" s="195" t="s">
        <v>96</v>
      </c>
      <c r="D73" s="185">
        <v>1</v>
      </c>
      <c r="E73" s="185">
        <v>500</v>
      </c>
      <c r="F73" s="193">
        <v>9538.9699999999993</v>
      </c>
      <c r="G73" s="191">
        <f t="shared" si="0"/>
        <v>9538.9699999999993</v>
      </c>
      <c r="H73" s="196">
        <f t="shared" si="1"/>
        <v>500</v>
      </c>
      <c r="I73" s="200"/>
      <c r="J73" s="37"/>
      <c r="K73" s="37"/>
      <c r="M73" s="190"/>
      <c r="N73" s="190"/>
      <c r="W73" s="184"/>
      <c r="Z73" s="191"/>
    </row>
    <row r="74" spans="1:26" x14ac:dyDescent="0.3">
      <c r="A74" s="179">
        <v>68</v>
      </c>
      <c r="B74" s="197" t="s">
        <v>824</v>
      </c>
      <c r="C74" s="195" t="s">
        <v>96</v>
      </c>
      <c r="D74" s="185">
        <v>1</v>
      </c>
      <c r="E74" s="185">
        <v>500</v>
      </c>
      <c r="F74" s="193">
        <v>7990.94</v>
      </c>
      <c r="G74" s="191">
        <f t="shared" si="0"/>
        <v>7990.94</v>
      </c>
      <c r="H74" s="196">
        <f t="shared" si="1"/>
        <v>500</v>
      </c>
      <c r="I74" s="166"/>
      <c r="J74" s="37"/>
      <c r="K74" s="37"/>
      <c r="M74" s="190"/>
      <c r="N74" s="190"/>
      <c r="W74" s="184"/>
      <c r="Z74" s="191"/>
    </row>
    <row r="75" spans="1:26" x14ac:dyDescent="0.3">
      <c r="A75" s="179">
        <v>69</v>
      </c>
      <c r="B75" s="179" t="s">
        <v>825</v>
      </c>
      <c r="C75" s="195" t="s">
        <v>79</v>
      </c>
      <c r="D75" s="195">
        <v>180</v>
      </c>
      <c r="E75" s="195"/>
      <c r="F75" s="193">
        <v>125</v>
      </c>
      <c r="G75" s="191">
        <f t="shared" si="0"/>
        <v>22500</v>
      </c>
      <c r="H75" s="196"/>
      <c r="I75" s="166"/>
      <c r="J75" s="37"/>
      <c r="K75" s="37"/>
      <c r="M75" s="190"/>
      <c r="N75" s="190"/>
      <c r="Q75" s="190"/>
      <c r="W75" s="184"/>
      <c r="Z75" s="179"/>
    </row>
    <row r="76" spans="1:26" x14ac:dyDescent="0.3">
      <c r="A76" s="179">
        <v>70</v>
      </c>
      <c r="B76" s="179" t="s">
        <v>826</v>
      </c>
      <c r="C76" s="195" t="s">
        <v>79</v>
      </c>
      <c r="D76" s="195">
        <v>60</v>
      </c>
      <c r="E76" s="195"/>
      <c r="F76" s="193">
        <v>125</v>
      </c>
      <c r="G76" s="191">
        <f t="shared" si="0"/>
        <v>7500</v>
      </c>
      <c r="H76" s="196"/>
      <c r="I76" s="166"/>
      <c r="J76" s="37"/>
      <c r="K76" s="37"/>
      <c r="M76" s="190"/>
      <c r="N76" s="190"/>
      <c r="Q76" s="190"/>
      <c r="W76" s="184"/>
      <c r="Z76" s="179"/>
    </row>
    <row r="77" spans="1:26" x14ac:dyDescent="0.3">
      <c r="A77" s="179">
        <v>71</v>
      </c>
      <c r="B77" s="179" t="s">
        <v>827</v>
      </c>
      <c r="C77" s="195" t="s">
        <v>79</v>
      </c>
      <c r="D77" s="195">
        <v>150</v>
      </c>
      <c r="E77" s="195"/>
      <c r="F77" s="193">
        <v>205</v>
      </c>
      <c r="G77" s="191">
        <f t="shared" ref="G77:G87" si="2">D77*F77</f>
        <v>30750</v>
      </c>
      <c r="H77" s="196"/>
      <c r="J77" s="37"/>
      <c r="K77" s="37"/>
      <c r="M77" s="190"/>
      <c r="N77" s="190"/>
      <c r="Q77" s="190"/>
      <c r="W77" s="184"/>
      <c r="Z77" s="179"/>
    </row>
    <row r="78" spans="1:26" x14ac:dyDescent="0.3">
      <c r="A78" s="179">
        <v>72</v>
      </c>
      <c r="B78" s="179" t="s">
        <v>828</v>
      </c>
      <c r="C78" s="195" t="s">
        <v>764</v>
      </c>
      <c r="D78" s="195">
        <v>450</v>
      </c>
      <c r="E78" s="195"/>
      <c r="F78" s="193">
        <v>27</v>
      </c>
      <c r="G78" s="191">
        <f t="shared" si="2"/>
        <v>12150</v>
      </c>
      <c r="H78" s="196"/>
      <c r="J78" s="37"/>
      <c r="K78" s="37"/>
      <c r="M78" s="190"/>
      <c r="N78" s="190"/>
      <c r="Q78" s="190"/>
      <c r="W78" s="184"/>
      <c r="Z78" s="179"/>
    </row>
    <row r="79" spans="1:26" x14ac:dyDescent="0.3">
      <c r="A79" s="179">
        <v>73</v>
      </c>
      <c r="B79" s="197" t="s">
        <v>829</v>
      </c>
      <c r="C79" s="195" t="s">
        <v>764</v>
      </c>
      <c r="D79" s="195">
        <v>1000</v>
      </c>
      <c r="E79" s="195"/>
      <c r="F79" s="193">
        <v>27</v>
      </c>
      <c r="G79" s="191">
        <f t="shared" si="2"/>
        <v>27000</v>
      </c>
      <c r="H79" s="196"/>
      <c r="J79" s="37"/>
      <c r="K79" s="37"/>
      <c r="M79" s="190"/>
      <c r="N79" s="190"/>
      <c r="Q79" s="190"/>
      <c r="W79" s="184"/>
      <c r="Z79" s="179"/>
    </row>
    <row r="80" spans="1:26" x14ac:dyDescent="0.3">
      <c r="A80" s="179">
        <v>74</v>
      </c>
      <c r="B80" s="179" t="s">
        <v>830</v>
      </c>
      <c r="C80" s="195" t="s">
        <v>764</v>
      </c>
      <c r="D80" s="195">
        <v>1000</v>
      </c>
      <c r="E80" s="195"/>
      <c r="F80" s="193">
        <v>33</v>
      </c>
      <c r="G80" s="191">
        <f t="shared" si="2"/>
        <v>33000</v>
      </c>
      <c r="H80" s="196"/>
      <c r="J80" s="37"/>
      <c r="K80" s="37"/>
      <c r="M80" s="190"/>
      <c r="N80" s="190"/>
      <c r="Q80" s="190"/>
      <c r="W80" s="184"/>
      <c r="Z80" s="179"/>
    </row>
    <row r="81" spans="1:26" x14ac:dyDescent="0.3">
      <c r="A81" s="179">
        <v>75</v>
      </c>
      <c r="B81" s="179" t="s">
        <v>831</v>
      </c>
      <c r="C81" s="195" t="s">
        <v>764</v>
      </c>
      <c r="D81" s="195">
        <v>300</v>
      </c>
      <c r="E81" s="195"/>
      <c r="F81" s="193">
        <v>79</v>
      </c>
      <c r="G81" s="191">
        <f t="shared" si="2"/>
        <v>23700</v>
      </c>
      <c r="H81" s="196"/>
      <c r="I81" s="166"/>
      <c r="J81" s="37"/>
      <c r="K81" s="37"/>
      <c r="M81" s="190"/>
      <c r="N81" s="190"/>
      <c r="Q81" s="190"/>
      <c r="W81" s="184"/>
      <c r="Z81" s="179"/>
    </row>
    <row r="82" spans="1:26" x14ac:dyDescent="0.3">
      <c r="A82" s="179">
        <v>76</v>
      </c>
      <c r="B82" s="179" t="s">
        <v>832</v>
      </c>
      <c r="C82" s="195" t="s">
        <v>833</v>
      </c>
      <c r="D82" s="195">
        <v>500</v>
      </c>
      <c r="E82" s="195"/>
      <c r="F82" s="193">
        <v>110</v>
      </c>
      <c r="G82" s="191">
        <f t="shared" si="2"/>
        <v>55000</v>
      </c>
      <c r="H82" s="196"/>
      <c r="J82" s="37"/>
      <c r="K82" s="37"/>
      <c r="M82" s="190"/>
      <c r="N82" s="190"/>
      <c r="Q82" s="190"/>
      <c r="W82" s="184"/>
      <c r="Z82" s="179"/>
    </row>
    <row r="83" spans="1:26" x14ac:dyDescent="0.3">
      <c r="A83" s="179">
        <v>77</v>
      </c>
      <c r="B83" s="179" t="s">
        <v>834</v>
      </c>
      <c r="C83" s="195" t="s">
        <v>96</v>
      </c>
      <c r="D83" s="195">
        <v>500</v>
      </c>
      <c r="E83" s="195"/>
      <c r="F83" s="193">
        <v>4.5</v>
      </c>
      <c r="G83" s="191">
        <f t="shared" si="2"/>
        <v>2250</v>
      </c>
      <c r="H83" s="196"/>
      <c r="J83" s="37"/>
      <c r="K83" s="37"/>
      <c r="M83" s="190"/>
      <c r="N83" s="190"/>
      <c r="Q83" s="190"/>
      <c r="W83" s="184"/>
      <c r="Z83" s="179"/>
    </row>
    <row r="84" spans="1:26" x14ac:dyDescent="0.3">
      <c r="A84" s="179">
        <v>78</v>
      </c>
      <c r="B84" s="179" t="s">
        <v>835</v>
      </c>
      <c r="C84" s="195" t="s">
        <v>96</v>
      </c>
      <c r="D84" s="195">
        <v>20</v>
      </c>
      <c r="E84" s="195"/>
      <c r="F84" s="193">
        <v>400</v>
      </c>
      <c r="G84" s="191">
        <f t="shared" si="2"/>
        <v>8000</v>
      </c>
      <c r="H84" s="196"/>
      <c r="J84" s="37"/>
      <c r="K84" s="37"/>
      <c r="M84" s="190"/>
      <c r="N84" s="190"/>
      <c r="Q84" s="190"/>
      <c r="W84" s="184"/>
      <c r="Z84" s="179"/>
    </row>
    <row r="85" spans="1:26" x14ac:dyDescent="0.3">
      <c r="A85" s="179">
        <v>79</v>
      </c>
      <c r="B85" s="179" t="s">
        <v>836</v>
      </c>
      <c r="C85" s="195" t="s">
        <v>764</v>
      </c>
      <c r="D85" s="26">
        <v>150</v>
      </c>
      <c r="E85" s="26"/>
      <c r="F85" s="193">
        <v>23</v>
      </c>
      <c r="G85" s="191">
        <f t="shared" si="2"/>
        <v>3450</v>
      </c>
      <c r="H85" s="196"/>
      <c r="J85" s="37"/>
      <c r="K85" s="37"/>
      <c r="M85" s="190"/>
      <c r="N85" s="190"/>
      <c r="Q85" s="190"/>
      <c r="W85" s="184"/>
      <c r="Z85" s="179"/>
    </row>
    <row r="86" spans="1:26" x14ac:dyDescent="0.3">
      <c r="A86" s="179">
        <v>80</v>
      </c>
      <c r="B86" s="179" t="s">
        <v>837</v>
      </c>
      <c r="C86" s="195" t="s">
        <v>96</v>
      </c>
      <c r="D86" s="26">
        <v>600</v>
      </c>
      <c r="E86" s="26"/>
      <c r="F86" s="193">
        <v>4</v>
      </c>
      <c r="G86" s="191">
        <f t="shared" si="2"/>
        <v>2400</v>
      </c>
      <c r="H86" s="196"/>
      <c r="J86" s="37"/>
      <c r="K86" s="37"/>
      <c r="M86" s="190"/>
      <c r="N86" s="190"/>
      <c r="Q86" s="190"/>
      <c r="W86" s="184"/>
      <c r="Z86" s="179"/>
    </row>
    <row r="87" spans="1:26" x14ac:dyDescent="0.3">
      <c r="A87" s="179">
        <v>81</v>
      </c>
      <c r="B87" s="179" t="s">
        <v>838</v>
      </c>
      <c r="C87" s="195" t="s">
        <v>96</v>
      </c>
      <c r="D87" s="195">
        <v>150</v>
      </c>
      <c r="E87" s="195"/>
      <c r="F87" s="193">
        <v>24</v>
      </c>
      <c r="G87" s="191">
        <f t="shared" si="2"/>
        <v>3600</v>
      </c>
      <c r="H87" s="196"/>
      <c r="J87" s="37"/>
      <c r="K87" s="36"/>
      <c r="M87" s="190"/>
      <c r="N87" s="190"/>
      <c r="Q87" s="190"/>
      <c r="W87" s="184"/>
      <c r="Z87" s="179"/>
    </row>
    <row r="88" spans="1:26" ht="12.7" customHeight="1" x14ac:dyDescent="0.3">
      <c r="A88" s="179">
        <v>82</v>
      </c>
      <c r="B88" s="194"/>
      <c r="C88" s="195"/>
      <c r="D88" s="195"/>
      <c r="E88" s="195"/>
      <c r="F88" s="188"/>
      <c r="G88" s="191"/>
      <c r="H88" s="196"/>
      <c r="J88" s="37"/>
      <c r="K88" s="36"/>
      <c r="M88" s="190"/>
      <c r="N88" s="190"/>
      <c r="W88" s="184"/>
      <c r="Z88" s="179"/>
    </row>
    <row r="89" spans="1:26" ht="1.6" hidden="1" customHeight="1" x14ac:dyDescent="0.3">
      <c r="A89" s="179">
        <v>83</v>
      </c>
      <c r="B89" s="194"/>
      <c r="C89" s="195"/>
      <c r="D89" s="195"/>
      <c r="E89" s="195"/>
      <c r="F89" s="188"/>
      <c r="G89" s="191"/>
      <c r="H89" s="196"/>
      <c r="J89" s="37"/>
      <c r="K89" s="37"/>
      <c r="M89" s="190"/>
      <c r="N89" s="190"/>
      <c r="W89" s="184"/>
      <c r="Z89" s="179"/>
    </row>
    <row r="90" spans="1:26" hidden="1" x14ac:dyDescent="0.3">
      <c r="A90" s="179">
        <v>84</v>
      </c>
      <c r="B90" s="194"/>
      <c r="C90" s="195"/>
      <c r="D90" s="195"/>
      <c r="E90" s="195"/>
      <c r="F90" s="188"/>
      <c r="G90" s="191"/>
      <c r="H90" s="196"/>
      <c r="I90" s="120"/>
      <c r="J90" s="37"/>
      <c r="K90" s="37"/>
      <c r="M90" s="190"/>
      <c r="N90" s="190"/>
      <c r="W90" s="184"/>
      <c r="Z90" s="179"/>
    </row>
    <row r="91" spans="1:26" ht="4.55" hidden="1" customHeight="1" x14ac:dyDescent="0.3">
      <c r="A91" s="179">
        <v>85</v>
      </c>
      <c r="B91" s="179"/>
      <c r="C91" s="195"/>
      <c r="D91" s="195"/>
      <c r="E91" s="195"/>
      <c r="F91" s="188"/>
      <c r="G91" s="191"/>
      <c r="H91" s="196"/>
      <c r="I91" s="120"/>
      <c r="J91" s="37"/>
      <c r="K91" s="37"/>
      <c r="M91" s="190"/>
      <c r="N91" s="190"/>
      <c r="W91" s="184"/>
      <c r="Z91" s="179"/>
    </row>
    <row r="92" spans="1:26" hidden="1" x14ac:dyDescent="0.3">
      <c r="A92" s="179">
        <v>86</v>
      </c>
      <c r="B92" s="179"/>
      <c r="C92" s="195"/>
      <c r="D92" s="195"/>
      <c r="E92" s="195"/>
      <c r="F92" s="188"/>
      <c r="G92" s="191"/>
      <c r="H92" s="196"/>
      <c r="I92" s="120"/>
      <c r="J92" s="37"/>
      <c r="K92" s="37"/>
      <c r="M92" s="190"/>
      <c r="N92" s="190"/>
      <c r="W92" s="184"/>
      <c r="Z92" s="179"/>
    </row>
    <row r="93" spans="1:26" hidden="1" x14ac:dyDescent="0.3">
      <c r="A93" s="179">
        <v>87</v>
      </c>
      <c r="B93" s="179"/>
      <c r="C93" s="195"/>
      <c r="D93" s="195"/>
      <c r="E93" s="195"/>
      <c r="F93" s="188"/>
      <c r="G93" s="191"/>
      <c r="H93" s="196"/>
      <c r="J93" s="37"/>
      <c r="K93" s="37"/>
      <c r="M93" s="190"/>
      <c r="N93" s="190"/>
      <c r="W93" s="184"/>
      <c r="Z93" s="179"/>
    </row>
    <row r="94" spans="1:26" hidden="1" x14ac:dyDescent="0.3">
      <c r="A94" s="179">
        <v>88</v>
      </c>
      <c r="B94" s="179"/>
      <c r="C94" s="195"/>
      <c r="D94" s="195"/>
      <c r="E94" s="195"/>
      <c r="F94" s="188"/>
      <c r="G94" s="191"/>
      <c r="H94" s="196"/>
      <c r="J94" s="37"/>
      <c r="K94" s="37"/>
      <c r="M94" s="190"/>
      <c r="N94" s="190"/>
      <c r="W94" s="184"/>
      <c r="Z94" s="179"/>
    </row>
    <row r="95" spans="1:26" hidden="1" x14ac:dyDescent="0.3">
      <c r="A95" s="179">
        <v>89</v>
      </c>
      <c r="B95" s="197"/>
      <c r="C95" s="195"/>
      <c r="D95" s="195"/>
      <c r="E95" s="195"/>
      <c r="F95" s="188"/>
      <c r="G95" s="191"/>
      <c r="H95" s="196"/>
      <c r="J95" s="37"/>
      <c r="K95" s="37"/>
      <c r="M95" s="190"/>
      <c r="N95" s="190"/>
      <c r="W95" s="184"/>
      <c r="Z95" s="179"/>
    </row>
    <row r="96" spans="1:26" hidden="1" x14ac:dyDescent="0.3">
      <c r="A96" s="179">
        <v>90</v>
      </c>
      <c r="B96" s="179"/>
      <c r="C96" s="195"/>
      <c r="D96" s="195"/>
      <c r="E96" s="195"/>
      <c r="F96" s="188"/>
      <c r="G96" s="191"/>
      <c r="H96" s="196"/>
      <c r="J96" s="37"/>
      <c r="K96" s="37"/>
      <c r="M96" s="190"/>
      <c r="N96" s="190"/>
      <c r="W96" s="184"/>
      <c r="Z96" s="179"/>
    </row>
    <row r="97" spans="1:26" hidden="1" x14ac:dyDescent="0.3">
      <c r="A97" s="179">
        <v>91</v>
      </c>
      <c r="B97" s="179"/>
      <c r="C97" s="195"/>
      <c r="D97" s="195"/>
      <c r="E97" s="195"/>
      <c r="F97" s="188"/>
      <c r="G97" s="191"/>
      <c r="H97" s="196"/>
      <c r="I97" s="166"/>
      <c r="J97" s="37"/>
      <c r="K97" s="37"/>
      <c r="M97" s="190"/>
      <c r="N97" s="190"/>
      <c r="W97" s="184"/>
      <c r="Z97" s="179"/>
    </row>
    <row r="98" spans="1:26" hidden="1" x14ac:dyDescent="0.3">
      <c r="A98" s="179">
        <v>92</v>
      </c>
      <c r="B98" s="179"/>
      <c r="C98" s="195"/>
      <c r="D98" s="195"/>
      <c r="E98" s="195"/>
      <c r="F98" s="188"/>
      <c r="G98" s="191"/>
      <c r="H98" s="196"/>
      <c r="J98" s="37"/>
      <c r="K98" s="37"/>
      <c r="M98" s="190"/>
      <c r="N98" s="190"/>
      <c r="W98" s="184"/>
      <c r="Z98" s="179"/>
    </row>
    <row r="99" spans="1:26" hidden="1" x14ac:dyDescent="0.3">
      <c r="A99" s="179">
        <v>93</v>
      </c>
      <c r="B99" s="179"/>
      <c r="C99" s="195"/>
      <c r="D99" s="195"/>
      <c r="E99" s="195"/>
      <c r="F99" s="188"/>
      <c r="G99" s="191"/>
      <c r="H99" s="196"/>
      <c r="J99" s="37"/>
      <c r="K99" s="37"/>
      <c r="M99" s="190"/>
      <c r="N99" s="190"/>
      <c r="W99" s="184"/>
      <c r="Z99" s="179"/>
    </row>
    <row r="100" spans="1:26" hidden="1" x14ac:dyDescent="0.3">
      <c r="A100" s="179">
        <v>94</v>
      </c>
      <c r="B100" s="179"/>
      <c r="C100" s="195"/>
      <c r="D100" s="195"/>
      <c r="E100" s="195"/>
      <c r="F100" s="188"/>
      <c r="G100" s="191"/>
      <c r="H100" s="196"/>
      <c r="J100" s="37"/>
      <c r="K100" s="37"/>
      <c r="M100" s="190"/>
      <c r="N100" s="190"/>
      <c r="W100" s="184"/>
      <c r="Z100" s="179"/>
    </row>
    <row r="101" spans="1:26" hidden="1" x14ac:dyDescent="0.3">
      <c r="A101" s="179">
        <v>95</v>
      </c>
      <c r="B101" s="179"/>
      <c r="C101" s="195"/>
      <c r="D101" s="26"/>
      <c r="E101" s="26"/>
      <c r="F101" s="188"/>
      <c r="G101" s="191"/>
      <c r="H101" s="196"/>
      <c r="J101" s="37"/>
      <c r="K101" s="37"/>
      <c r="M101" s="190"/>
      <c r="N101" s="190"/>
      <c r="W101" s="184"/>
      <c r="Z101" s="179"/>
    </row>
    <row r="102" spans="1:26" hidden="1" x14ac:dyDescent="0.3">
      <c r="A102" s="179">
        <v>96</v>
      </c>
      <c r="B102" s="179"/>
      <c r="C102" s="195"/>
      <c r="D102" s="26"/>
      <c r="E102" s="26"/>
      <c r="F102" s="188"/>
      <c r="G102" s="191"/>
      <c r="H102" s="196"/>
      <c r="J102" s="37"/>
      <c r="K102" s="37"/>
      <c r="M102" s="190"/>
      <c r="N102" s="190"/>
      <c r="W102" s="184"/>
      <c r="Z102" s="179"/>
    </row>
    <row r="103" spans="1:26" hidden="1" x14ac:dyDescent="0.3">
      <c r="A103" s="179">
        <v>97</v>
      </c>
      <c r="B103" s="179"/>
      <c r="C103" s="195"/>
      <c r="D103" s="195"/>
      <c r="E103" s="195"/>
      <c r="F103" s="188"/>
      <c r="G103" s="191"/>
      <c r="H103" s="196"/>
      <c r="J103" s="37"/>
      <c r="K103" s="36"/>
      <c r="M103" s="190"/>
      <c r="N103" s="190"/>
      <c r="W103" s="184"/>
      <c r="Z103" s="179"/>
    </row>
    <row r="104" spans="1:26" x14ac:dyDescent="0.3">
      <c r="A104" s="179"/>
      <c r="B104" s="179"/>
      <c r="C104" s="179"/>
      <c r="D104" s="179"/>
      <c r="E104" s="179"/>
      <c r="F104" s="191"/>
      <c r="G104" s="179"/>
      <c r="H104" s="201"/>
      <c r="J104" s="37"/>
      <c r="K104" s="36"/>
      <c r="M104" s="190"/>
      <c r="N104" s="190"/>
      <c r="W104" s="184"/>
      <c r="Z104" s="179"/>
    </row>
    <row r="105" spans="1:26" x14ac:dyDescent="0.3">
      <c r="A105" s="179"/>
      <c r="B105" s="179"/>
      <c r="C105" s="179"/>
      <c r="D105" s="179"/>
      <c r="E105" s="179"/>
      <c r="F105" s="191"/>
      <c r="G105" s="202">
        <f>SUM(G12:G104)</f>
        <v>6477888.459999999</v>
      </c>
      <c r="H105" s="203">
        <f>SUM(H12:H104)</f>
        <v>2140621.75</v>
      </c>
      <c r="J105" s="37"/>
      <c r="K105" s="37"/>
      <c r="M105" s="190"/>
      <c r="N105" s="190"/>
      <c r="Q105" s="190"/>
      <c r="T105" s="190"/>
      <c r="W105" s="188"/>
      <c r="Z105" s="191"/>
    </row>
    <row r="106" spans="1:26" x14ac:dyDescent="0.3">
      <c r="A106" s="179"/>
      <c r="B106" s="179"/>
      <c r="C106" s="179"/>
      <c r="D106" s="179"/>
      <c r="E106" s="179"/>
      <c r="F106" s="191"/>
      <c r="G106" s="204"/>
      <c r="H106" s="203"/>
      <c r="L106" s="190"/>
      <c r="W106" s="184"/>
      <c r="Z106" s="179"/>
    </row>
    <row r="107" spans="1:26" x14ac:dyDescent="0.3">
      <c r="A107" s="179"/>
      <c r="B107" s="179"/>
      <c r="C107" s="179"/>
      <c r="D107" s="191"/>
      <c r="E107" s="191"/>
      <c r="F107" s="191"/>
      <c r="G107" s="204"/>
      <c r="H107" s="203"/>
      <c r="L107" s="190"/>
      <c r="M107" s="205"/>
      <c r="N107" s="205"/>
      <c r="W107" s="184"/>
      <c r="Z107" s="179"/>
    </row>
    <row r="108" spans="1:26" x14ac:dyDescent="0.3">
      <c r="A108" s="179"/>
      <c r="B108" s="179"/>
      <c r="C108" s="179"/>
      <c r="D108" s="202"/>
      <c r="E108" s="202"/>
      <c r="F108" s="179"/>
      <c r="G108" s="204"/>
      <c r="H108" s="203">
        <f>H105+H107</f>
        <v>2140621.75</v>
      </c>
      <c r="L108" s="190"/>
      <c r="M108" s="22"/>
      <c r="N108" s="205"/>
      <c r="W108" s="184"/>
      <c r="Z108" s="179"/>
    </row>
    <row r="109" spans="1:26" ht="28.5" customHeight="1" x14ac:dyDescent="0.35">
      <c r="A109" s="179"/>
      <c r="B109" s="1430" t="s">
        <v>839</v>
      </c>
      <c r="C109" s="1431"/>
      <c r="D109" s="1431"/>
      <c r="E109" s="1431"/>
      <c r="F109" s="1432"/>
      <c r="G109" s="204" t="s">
        <v>840</v>
      </c>
      <c r="H109" s="206">
        <f>G105+H108</f>
        <v>8618510.209999999</v>
      </c>
      <c r="K109" s="190"/>
      <c r="L109" s="190"/>
      <c r="M109" s="22"/>
      <c r="N109" s="205"/>
      <c r="W109" s="184"/>
      <c r="Z109" s="179"/>
    </row>
    <row r="110" spans="1:26" ht="31.5" customHeight="1" x14ac:dyDescent="0.3">
      <c r="K110" s="205"/>
      <c r="M110" s="22"/>
      <c r="N110" s="205"/>
      <c r="W110" s="184"/>
    </row>
    <row r="111" spans="1:26" hidden="1" x14ac:dyDescent="0.3">
      <c r="W111" s="179"/>
    </row>
    <row r="112" spans="1:26" x14ac:dyDescent="0.3">
      <c r="B112" s="1419" t="s">
        <v>880</v>
      </c>
      <c r="C112" s="1419"/>
      <c r="D112" s="1419"/>
      <c r="E112" s="1419"/>
      <c r="F112" s="1419"/>
      <c r="G112" s="1419"/>
      <c r="H112" s="1419"/>
      <c r="I112" s="1419"/>
      <c r="J112" s="1419"/>
      <c r="W112" s="179"/>
    </row>
    <row r="114" spans="1:8" x14ac:dyDescent="0.3">
      <c r="A114" s="1420" t="s">
        <v>841</v>
      </c>
      <c r="B114" s="1420"/>
      <c r="C114" s="1420"/>
      <c r="D114" s="1420"/>
      <c r="E114" s="1420"/>
      <c r="F114" s="1420"/>
      <c r="G114" s="179"/>
      <c r="H114" s="179"/>
    </row>
    <row r="115" spans="1:8" x14ac:dyDescent="0.3">
      <c r="A115" s="207" t="s">
        <v>32</v>
      </c>
      <c r="B115" s="208" t="s">
        <v>842</v>
      </c>
      <c r="C115" s="207" t="s">
        <v>318</v>
      </c>
      <c r="D115" s="207" t="s">
        <v>843</v>
      </c>
      <c r="E115" s="209">
        <v>175</v>
      </c>
      <c r="F115" s="210">
        <v>311.98</v>
      </c>
      <c r="G115" s="209">
        <f>D115*F115</f>
        <v>54908.480000000003</v>
      </c>
      <c r="H115" s="211">
        <f>D115*E115</f>
        <v>30800</v>
      </c>
    </row>
    <row r="116" spans="1:8" x14ac:dyDescent="0.3">
      <c r="A116" s="207" t="s">
        <v>41</v>
      </c>
      <c r="B116" s="208" t="s">
        <v>844</v>
      </c>
      <c r="C116" s="207" t="s">
        <v>318</v>
      </c>
      <c r="D116" s="207" t="s">
        <v>49</v>
      </c>
      <c r="E116" s="209">
        <v>210</v>
      </c>
      <c r="F116" s="210">
        <v>360</v>
      </c>
      <c r="G116" s="209">
        <f t="shared" ref="G116:G129" si="3">D116*F116</f>
        <v>1080</v>
      </c>
      <c r="H116" s="211">
        <f t="shared" ref="H116:H129" si="4">D116*E116</f>
        <v>630</v>
      </c>
    </row>
    <row r="117" spans="1:8" x14ac:dyDescent="0.3">
      <c r="A117" s="207" t="s">
        <v>49</v>
      </c>
      <c r="B117" s="208" t="s">
        <v>844</v>
      </c>
      <c r="C117" s="207" t="s">
        <v>318</v>
      </c>
      <c r="D117" s="207" t="s">
        <v>845</v>
      </c>
      <c r="E117" s="209">
        <v>210</v>
      </c>
      <c r="F117" s="210">
        <v>371.4</v>
      </c>
      <c r="G117" s="209">
        <f t="shared" si="3"/>
        <v>30826.199999999997</v>
      </c>
      <c r="H117" s="211">
        <f t="shared" si="4"/>
        <v>17430</v>
      </c>
    </row>
    <row r="118" spans="1:8" x14ac:dyDescent="0.3">
      <c r="A118" s="207" t="s">
        <v>296</v>
      </c>
      <c r="B118" s="208" t="s">
        <v>846</v>
      </c>
      <c r="C118" s="207" t="s">
        <v>318</v>
      </c>
      <c r="D118" s="207" t="s">
        <v>847</v>
      </c>
      <c r="E118" s="209">
        <v>245</v>
      </c>
      <c r="F118" s="210">
        <v>422.4</v>
      </c>
      <c r="G118" s="209">
        <f t="shared" si="3"/>
        <v>7180.7999999999993</v>
      </c>
      <c r="H118" s="211">
        <f t="shared" si="4"/>
        <v>4165</v>
      </c>
    </row>
    <row r="119" spans="1:8" x14ac:dyDescent="0.3">
      <c r="A119" s="207" t="s">
        <v>249</v>
      </c>
      <c r="B119" s="208" t="s">
        <v>846</v>
      </c>
      <c r="C119" s="207" t="s">
        <v>318</v>
      </c>
      <c r="D119" s="207" t="s">
        <v>848</v>
      </c>
      <c r="E119" s="209">
        <v>245</v>
      </c>
      <c r="F119" s="210">
        <v>435.78</v>
      </c>
      <c r="G119" s="209">
        <f t="shared" si="3"/>
        <v>108509.21999999999</v>
      </c>
      <c r="H119" s="211">
        <f t="shared" si="4"/>
        <v>61005</v>
      </c>
    </row>
    <row r="120" spans="1:8" x14ac:dyDescent="0.3">
      <c r="A120" s="207" t="s">
        <v>849</v>
      </c>
      <c r="B120" s="208" t="s">
        <v>850</v>
      </c>
      <c r="C120" s="207" t="s">
        <v>318</v>
      </c>
      <c r="D120" s="207" t="s">
        <v>32</v>
      </c>
      <c r="E120" s="209">
        <v>280</v>
      </c>
      <c r="F120" s="210">
        <v>480</v>
      </c>
      <c r="G120" s="209">
        <f t="shared" si="3"/>
        <v>480</v>
      </c>
      <c r="H120" s="211">
        <f t="shared" si="4"/>
        <v>280</v>
      </c>
    </row>
    <row r="121" spans="1:8" x14ac:dyDescent="0.3">
      <c r="A121" s="207" t="s">
        <v>851</v>
      </c>
      <c r="B121" s="208" t="s">
        <v>850</v>
      </c>
      <c r="C121" s="207" t="s">
        <v>318</v>
      </c>
      <c r="D121" s="207" t="s">
        <v>845</v>
      </c>
      <c r="E121" s="209">
        <v>280</v>
      </c>
      <c r="F121" s="210">
        <v>495.2</v>
      </c>
      <c r="G121" s="209">
        <f t="shared" si="3"/>
        <v>41101.599999999999</v>
      </c>
      <c r="H121" s="211">
        <f t="shared" si="4"/>
        <v>23240</v>
      </c>
    </row>
    <row r="122" spans="1:8" ht="27.7" customHeight="1" x14ac:dyDescent="0.3">
      <c r="A122" s="207" t="s">
        <v>555</v>
      </c>
      <c r="B122" s="208" t="s">
        <v>852</v>
      </c>
      <c r="C122" s="207" t="s">
        <v>318</v>
      </c>
      <c r="D122" s="207" t="s">
        <v>849</v>
      </c>
      <c r="E122" s="209">
        <v>350</v>
      </c>
      <c r="F122" s="210">
        <v>600</v>
      </c>
      <c r="G122" s="209">
        <f t="shared" si="3"/>
        <v>3600</v>
      </c>
      <c r="H122" s="211">
        <f t="shared" si="4"/>
        <v>2100</v>
      </c>
    </row>
    <row r="123" spans="1:8" x14ac:dyDescent="0.3">
      <c r="A123" s="207" t="s">
        <v>730</v>
      </c>
      <c r="B123" s="208" t="s">
        <v>853</v>
      </c>
      <c r="C123" s="207" t="s">
        <v>318</v>
      </c>
      <c r="D123" s="207" t="s">
        <v>854</v>
      </c>
      <c r="E123" s="209">
        <v>350</v>
      </c>
      <c r="F123" s="210">
        <v>608</v>
      </c>
      <c r="G123" s="209">
        <f t="shared" si="3"/>
        <v>107616</v>
      </c>
      <c r="H123" s="211">
        <f t="shared" si="4"/>
        <v>61950</v>
      </c>
    </row>
    <row r="124" spans="1:8" x14ac:dyDescent="0.3">
      <c r="A124" s="207" t="s">
        <v>736</v>
      </c>
      <c r="B124" s="208" t="s">
        <v>855</v>
      </c>
      <c r="C124" s="212" t="s">
        <v>74</v>
      </c>
      <c r="D124" s="207" t="s">
        <v>856</v>
      </c>
      <c r="E124" s="209">
        <v>70</v>
      </c>
      <c r="F124" s="213">
        <v>167.5</v>
      </c>
      <c r="G124" s="209">
        <f t="shared" si="3"/>
        <v>98155</v>
      </c>
      <c r="H124" s="211">
        <f t="shared" si="4"/>
        <v>41020</v>
      </c>
    </row>
    <row r="125" spans="1:8" x14ac:dyDescent="0.3">
      <c r="A125" s="207" t="s">
        <v>857</v>
      </c>
      <c r="B125" s="208" t="s">
        <v>858</v>
      </c>
      <c r="C125" s="207" t="s">
        <v>79</v>
      </c>
      <c r="D125" s="207" t="s">
        <v>859</v>
      </c>
      <c r="E125" s="209">
        <v>21</v>
      </c>
      <c r="F125" s="213">
        <v>92</v>
      </c>
      <c r="G125" s="209">
        <f t="shared" si="3"/>
        <v>61640</v>
      </c>
      <c r="H125" s="211">
        <f t="shared" si="4"/>
        <v>14070</v>
      </c>
    </row>
    <row r="126" spans="1:8" x14ac:dyDescent="0.3">
      <c r="A126" s="207" t="s">
        <v>860</v>
      </c>
      <c r="B126" s="208" t="s">
        <v>861</v>
      </c>
      <c r="C126" s="207" t="s">
        <v>96</v>
      </c>
      <c r="D126" s="207" t="s">
        <v>41</v>
      </c>
      <c r="E126" s="209">
        <v>150</v>
      </c>
      <c r="F126" s="193">
        <v>365.4</v>
      </c>
      <c r="G126" s="209">
        <f t="shared" si="3"/>
        <v>730.8</v>
      </c>
      <c r="H126" s="211">
        <f t="shared" si="4"/>
        <v>300</v>
      </c>
    </row>
    <row r="127" spans="1:8" x14ac:dyDescent="0.3">
      <c r="A127" s="207" t="s">
        <v>862</v>
      </c>
      <c r="B127" s="208" t="s">
        <v>863</v>
      </c>
      <c r="C127" s="207" t="s">
        <v>96</v>
      </c>
      <c r="D127" s="207" t="s">
        <v>296</v>
      </c>
      <c r="E127" s="209">
        <v>150</v>
      </c>
      <c r="F127" s="193">
        <v>483</v>
      </c>
      <c r="G127" s="209">
        <f t="shared" si="3"/>
        <v>1932</v>
      </c>
      <c r="H127" s="211">
        <f t="shared" si="4"/>
        <v>600</v>
      </c>
    </row>
    <row r="128" spans="1:8" x14ac:dyDescent="0.3">
      <c r="A128" s="207" t="s">
        <v>864</v>
      </c>
      <c r="B128" s="208" t="s">
        <v>865</v>
      </c>
      <c r="C128" s="207" t="s">
        <v>96</v>
      </c>
      <c r="D128" s="207" t="s">
        <v>32</v>
      </c>
      <c r="E128" s="209">
        <v>150</v>
      </c>
      <c r="F128" s="213">
        <v>523.20000000000005</v>
      </c>
      <c r="G128" s="209">
        <f t="shared" si="3"/>
        <v>523.20000000000005</v>
      </c>
      <c r="H128" s="211">
        <f t="shared" si="4"/>
        <v>150</v>
      </c>
    </row>
    <row r="129" spans="1:8" x14ac:dyDescent="0.3">
      <c r="A129" s="207" t="s">
        <v>866</v>
      </c>
      <c r="B129" s="208" t="s">
        <v>867</v>
      </c>
      <c r="C129" s="207" t="s">
        <v>96</v>
      </c>
      <c r="D129" s="207" t="s">
        <v>296</v>
      </c>
      <c r="E129" s="209">
        <v>150</v>
      </c>
      <c r="F129" s="213">
        <v>567.79999999999995</v>
      </c>
      <c r="G129" s="209">
        <f t="shared" si="3"/>
        <v>2271.1999999999998</v>
      </c>
      <c r="H129" s="211">
        <f t="shared" si="4"/>
        <v>600</v>
      </c>
    </row>
    <row r="130" spans="1:8" ht="15.65" x14ac:dyDescent="0.3">
      <c r="A130" s="179"/>
      <c r="B130" s="179"/>
      <c r="C130" s="179"/>
      <c r="D130" s="179"/>
      <c r="E130" s="191"/>
      <c r="F130" s="191"/>
      <c r="G130" s="214">
        <f>SUM(G115:G129)</f>
        <v>520554.5</v>
      </c>
      <c r="H130" s="214">
        <f>SUM(H115:H129)</f>
        <v>258340</v>
      </c>
    </row>
    <row r="131" spans="1:8" x14ac:dyDescent="0.3">
      <c r="A131" s="179"/>
      <c r="B131" s="179"/>
      <c r="C131" s="179"/>
      <c r="D131" s="179"/>
      <c r="E131" s="179"/>
      <c r="F131" s="179"/>
      <c r="G131" s="179"/>
      <c r="H131" s="179"/>
    </row>
    <row r="132" spans="1:8" ht="18.2" x14ac:dyDescent="0.35">
      <c r="A132" s="179"/>
      <c r="B132" s="215" t="s">
        <v>868</v>
      </c>
      <c r="C132" s="179"/>
      <c r="D132" s="179"/>
      <c r="E132" s="179"/>
      <c r="F132" s="179"/>
      <c r="G132" s="179"/>
      <c r="H132" s="216">
        <f>G130+H130</f>
        <v>778894.5</v>
      </c>
    </row>
    <row r="133" spans="1:8" ht="18.2" x14ac:dyDescent="0.35">
      <c r="A133" s="179"/>
      <c r="B133" s="215" t="s">
        <v>869</v>
      </c>
      <c r="C133" s="179"/>
      <c r="D133" s="179"/>
      <c r="E133" s="179"/>
      <c r="F133" s="179"/>
      <c r="G133" s="179"/>
      <c r="H133" s="216">
        <f>H109+H132</f>
        <v>9397404.709999999</v>
      </c>
    </row>
    <row r="134" spans="1:8" ht="18.2" x14ac:dyDescent="0.3">
      <c r="B134" s="226" t="s">
        <v>839</v>
      </c>
      <c r="C134" s="227"/>
      <c r="D134" s="227"/>
      <c r="E134" s="227"/>
      <c r="F134" s="228"/>
    </row>
    <row r="135" spans="1:8" x14ac:dyDescent="0.3">
      <c r="B135" s="183"/>
      <c r="C135" s="37"/>
      <c r="D135" s="37"/>
      <c r="E135" s="37"/>
    </row>
    <row r="136" spans="1:8" x14ac:dyDescent="0.3">
      <c r="C136" s="37"/>
      <c r="D136" s="37"/>
      <c r="E136" s="37"/>
    </row>
    <row r="137" spans="1:8" x14ac:dyDescent="0.3">
      <c r="C137" s="37"/>
      <c r="D137" s="37"/>
      <c r="E137" s="37"/>
    </row>
    <row r="138" spans="1:8" x14ac:dyDescent="0.3">
      <c r="C138" s="37"/>
      <c r="D138" s="37"/>
      <c r="E138" s="37"/>
    </row>
    <row r="139" spans="1:8" x14ac:dyDescent="0.3">
      <c r="C139" s="37"/>
      <c r="D139" s="37"/>
      <c r="E139" s="37"/>
    </row>
    <row r="140" spans="1:8" x14ac:dyDescent="0.3">
      <c r="C140" s="37"/>
      <c r="D140" s="37"/>
      <c r="E140" s="37"/>
    </row>
    <row r="141" spans="1:8" x14ac:dyDescent="0.3">
      <c r="B141" s="183"/>
      <c r="C141" s="37"/>
      <c r="D141" s="37"/>
      <c r="E141" s="37"/>
    </row>
    <row r="142" spans="1:8" x14ac:dyDescent="0.3">
      <c r="B142" s="183"/>
      <c r="C142" s="37"/>
      <c r="D142" s="37"/>
      <c r="E142" s="37"/>
    </row>
    <row r="143" spans="1:8" x14ac:dyDescent="0.3">
      <c r="B143" s="183"/>
      <c r="C143" s="37"/>
      <c r="D143" s="37"/>
      <c r="E143" s="37"/>
    </row>
    <row r="144" spans="1:8" x14ac:dyDescent="0.3">
      <c r="C144" s="37"/>
      <c r="D144" s="37"/>
      <c r="E144" s="37"/>
    </row>
    <row r="145" spans="3:5" x14ac:dyDescent="0.3">
      <c r="C145" s="37"/>
      <c r="D145" s="37"/>
      <c r="E145" s="37"/>
    </row>
    <row r="146" spans="3:5" x14ac:dyDescent="0.3">
      <c r="C146" s="37"/>
      <c r="D146" s="37"/>
      <c r="E146" s="37"/>
    </row>
    <row r="147" spans="3:5" x14ac:dyDescent="0.3">
      <c r="C147" s="37"/>
      <c r="D147" s="37"/>
      <c r="E147" s="37"/>
    </row>
    <row r="175" spans="3:5" x14ac:dyDescent="0.3">
      <c r="D175" s="183"/>
      <c r="E175" s="183"/>
    </row>
    <row r="176" spans="3:5" x14ac:dyDescent="0.3">
      <c r="C176" s="37"/>
      <c r="D176" s="37"/>
      <c r="E176" s="37"/>
    </row>
    <row r="177" spans="3:5" x14ac:dyDescent="0.3">
      <c r="C177" s="37"/>
      <c r="D177" s="37"/>
      <c r="E177" s="37"/>
    </row>
    <row r="178" spans="3:5" x14ac:dyDescent="0.3">
      <c r="C178" s="37"/>
      <c r="D178" s="37"/>
      <c r="E178" s="37"/>
    </row>
    <row r="179" spans="3:5" x14ac:dyDescent="0.3">
      <c r="C179" s="37"/>
      <c r="D179" s="37"/>
      <c r="E179" s="37"/>
    </row>
    <row r="180" spans="3:5" x14ac:dyDescent="0.3">
      <c r="C180" s="37"/>
      <c r="D180" s="37"/>
      <c r="E180" s="37"/>
    </row>
    <row r="181" spans="3:5" x14ac:dyDescent="0.3">
      <c r="C181" s="37"/>
      <c r="D181" s="37"/>
      <c r="E181" s="37"/>
    </row>
    <row r="182" spans="3:5" x14ac:dyDescent="0.3">
      <c r="C182" s="37"/>
      <c r="D182" s="37"/>
      <c r="E182" s="37"/>
    </row>
    <row r="183" spans="3:5" x14ac:dyDescent="0.3">
      <c r="C183" s="37"/>
      <c r="D183" s="37"/>
      <c r="E183" s="37"/>
    </row>
    <row r="184" spans="3:5" x14ac:dyDescent="0.3">
      <c r="C184" s="37"/>
      <c r="D184" s="37"/>
      <c r="E184" s="37"/>
    </row>
    <row r="185" spans="3:5" x14ac:dyDescent="0.3">
      <c r="C185" s="37"/>
      <c r="D185" s="37"/>
      <c r="E185" s="37"/>
    </row>
    <row r="186" spans="3:5" x14ac:dyDescent="0.3">
      <c r="C186" s="37"/>
      <c r="D186" s="37"/>
      <c r="E186" s="37"/>
    </row>
    <row r="187" spans="3:5" x14ac:dyDescent="0.3">
      <c r="C187" s="37"/>
      <c r="D187" s="37"/>
      <c r="E187" s="37"/>
    </row>
    <row r="188" spans="3:5" x14ac:dyDescent="0.3">
      <c r="C188" s="37"/>
      <c r="D188" s="37"/>
      <c r="E188" s="37"/>
    </row>
    <row r="189" spans="3:5" x14ac:dyDescent="0.3">
      <c r="C189" s="37"/>
      <c r="D189" s="37"/>
      <c r="E189" s="37"/>
    </row>
    <row r="190" spans="3:5" x14ac:dyDescent="0.3">
      <c r="C190" s="37"/>
      <c r="D190" s="37"/>
      <c r="E190" s="37"/>
    </row>
    <row r="191" spans="3:5" x14ac:dyDescent="0.3">
      <c r="C191" s="37"/>
      <c r="D191" s="37"/>
      <c r="E191" s="37"/>
    </row>
    <row r="192" spans="3:5" x14ac:dyDescent="0.3">
      <c r="C192" s="37"/>
      <c r="D192" s="37"/>
      <c r="E192" s="37"/>
    </row>
    <row r="193" spans="3:5" x14ac:dyDescent="0.3">
      <c r="C193" s="37"/>
      <c r="D193" s="37"/>
      <c r="E193" s="37"/>
    </row>
    <row r="194" spans="3:5" x14ac:dyDescent="0.3">
      <c r="C194" s="37"/>
      <c r="D194" s="37"/>
      <c r="E194" s="37"/>
    </row>
    <row r="195" spans="3:5" x14ac:dyDescent="0.3">
      <c r="C195" s="37"/>
      <c r="D195" s="37"/>
      <c r="E195" s="37"/>
    </row>
    <row r="196" spans="3:5" x14ac:dyDescent="0.3">
      <c r="C196" s="37"/>
      <c r="D196" s="37"/>
      <c r="E196" s="37"/>
    </row>
    <row r="197" spans="3:5" x14ac:dyDescent="0.3">
      <c r="C197" s="37"/>
      <c r="D197" s="37"/>
      <c r="E197" s="37"/>
    </row>
    <row r="198" spans="3:5" x14ac:dyDescent="0.3">
      <c r="C198" s="37"/>
      <c r="D198" s="37"/>
      <c r="E198" s="37"/>
    </row>
    <row r="199" spans="3:5" x14ac:dyDescent="0.3">
      <c r="C199" s="37"/>
      <c r="D199" s="37"/>
      <c r="E199" s="37"/>
    </row>
    <row r="200" spans="3:5" x14ac:dyDescent="0.3">
      <c r="C200" s="37"/>
      <c r="D200" s="37"/>
      <c r="E200" s="37"/>
    </row>
    <row r="201" spans="3:5" x14ac:dyDescent="0.3">
      <c r="C201" s="37"/>
      <c r="D201" s="37"/>
      <c r="E201" s="37"/>
    </row>
    <row r="202" spans="3:5" x14ac:dyDescent="0.3">
      <c r="C202" s="37"/>
      <c r="D202" s="37"/>
      <c r="E202" s="37"/>
    </row>
    <row r="203" spans="3:5" x14ac:dyDescent="0.3">
      <c r="C203" s="37"/>
      <c r="D203" s="37"/>
      <c r="E203" s="37"/>
    </row>
    <row r="204" spans="3:5" x14ac:dyDescent="0.3">
      <c r="C204" s="37"/>
      <c r="D204" s="37"/>
      <c r="E204" s="37"/>
    </row>
    <row r="205" spans="3:5" x14ac:dyDescent="0.3">
      <c r="C205" s="37"/>
      <c r="D205" s="37"/>
      <c r="E205" s="37"/>
    </row>
    <row r="206" spans="3:5" x14ac:dyDescent="0.3">
      <c r="C206" s="37"/>
      <c r="D206" s="37"/>
      <c r="E206" s="37"/>
    </row>
    <row r="207" spans="3:5" x14ac:dyDescent="0.3">
      <c r="C207" s="37"/>
      <c r="D207" s="37"/>
      <c r="E207" s="37"/>
    </row>
    <row r="208" spans="3:5" x14ac:dyDescent="0.3">
      <c r="C208" s="37"/>
      <c r="D208" s="37"/>
      <c r="E208" s="37"/>
    </row>
    <row r="209" spans="3:5" x14ac:dyDescent="0.3">
      <c r="C209" s="37"/>
      <c r="D209" s="37"/>
      <c r="E209" s="37"/>
    </row>
    <row r="210" spans="3:5" x14ac:dyDescent="0.3">
      <c r="C210" s="37"/>
      <c r="D210" s="37"/>
      <c r="E210" s="37"/>
    </row>
    <row r="211" spans="3:5" x14ac:dyDescent="0.3">
      <c r="C211" s="37"/>
      <c r="D211" s="37"/>
      <c r="E211" s="37"/>
    </row>
    <row r="212" spans="3:5" x14ac:dyDescent="0.3">
      <c r="C212" s="37"/>
      <c r="D212" s="37"/>
      <c r="E212" s="37"/>
    </row>
    <row r="213" spans="3:5" x14ac:dyDescent="0.3">
      <c r="C213" s="37"/>
      <c r="D213" s="37"/>
      <c r="E213" s="37"/>
    </row>
    <row r="214" spans="3:5" x14ac:dyDescent="0.3">
      <c r="C214" s="37"/>
      <c r="D214" s="37"/>
      <c r="E214" s="37"/>
    </row>
    <row r="215" spans="3:5" x14ac:dyDescent="0.3">
      <c r="C215" s="37"/>
      <c r="D215" s="37"/>
      <c r="E215" s="37"/>
    </row>
    <row r="216" spans="3:5" x14ac:dyDescent="0.3">
      <c r="C216" s="37"/>
      <c r="D216" s="37"/>
      <c r="E216" s="37"/>
    </row>
  </sheetData>
  <mergeCells count="12">
    <mergeCell ref="A6:G6"/>
    <mergeCell ref="A7:I7"/>
    <mergeCell ref="A1:B1"/>
    <mergeCell ref="A3:B3"/>
    <mergeCell ref="E3:I3"/>
    <mergeCell ref="A4:B4"/>
    <mergeCell ref="E4:I4"/>
    <mergeCell ref="A8:I8"/>
    <mergeCell ref="A9:I9"/>
    <mergeCell ref="B112:J112"/>
    <mergeCell ref="B109:F109"/>
    <mergeCell ref="A114:F114"/>
  </mergeCells>
  <pageMargins left="0.23622047244094491" right="0.23622047244094491" top="0.74803149606299213" bottom="0.74803149606299213" header="0.31496062992125984" footer="0.31496062992125984"/>
  <pageSetup scale="8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29" sqref="H29"/>
    </sheetView>
  </sheetViews>
  <sheetFormatPr defaultRowHeight="15.05" x14ac:dyDescent="0.3"/>
  <cols>
    <col min="1" max="1" width="2" bestFit="1" customWidth="1"/>
    <col min="2" max="2" width="44" bestFit="1" customWidth="1"/>
    <col min="3" max="3" width="13.44140625" bestFit="1" customWidth="1"/>
    <col min="4" max="4" width="4.33203125" bestFit="1" customWidth="1"/>
    <col min="5" max="5" width="13.44140625" bestFit="1" customWidth="1"/>
    <col min="6" max="6" width="14.44140625" bestFit="1" customWidth="1"/>
    <col min="7" max="7" width="14.109375" bestFit="1" customWidth="1"/>
  </cols>
  <sheetData>
    <row r="1" spans="1:7" x14ac:dyDescent="0.3">
      <c r="A1" s="1496" t="s">
        <v>1023</v>
      </c>
      <c r="B1" s="1496"/>
      <c r="C1" s="1496"/>
      <c r="D1" s="1496"/>
      <c r="E1" s="1496"/>
      <c r="F1" s="1496"/>
    </row>
    <row r="2" spans="1:7" x14ac:dyDescent="0.3">
      <c r="A2" s="1497" t="s">
        <v>1024</v>
      </c>
      <c r="B2" s="1497"/>
      <c r="C2" s="1497"/>
      <c r="D2" s="1497"/>
      <c r="E2" s="1497"/>
      <c r="F2" s="1497"/>
    </row>
    <row r="3" spans="1:7" x14ac:dyDescent="0.3">
      <c r="A3" s="234">
        <v>1</v>
      </c>
      <c r="B3" s="1498" t="s">
        <v>1025</v>
      </c>
      <c r="C3" s="1499"/>
      <c r="D3" s="1499"/>
      <c r="E3" s="1499"/>
      <c r="F3" s="1500"/>
    </row>
    <row r="4" spans="1:7" x14ac:dyDescent="0.3">
      <c r="A4" s="234">
        <v>2</v>
      </c>
      <c r="B4" s="233" t="s">
        <v>1026</v>
      </c>
      <c r="C4" s="234">
        <v>9</v>
      </c>
      <c r="D4" s="234" t="s">
        <v>1027</v>
      </c>
      <c r="E4" s="247">
        <v>210000</v>
      </c>
      <c r="F4" s="247">
        <f>E4*C4</f>
        <v>1890000</v>
      </c>
    </row>
    <row r="5" spans="1:7" x14ac:dyDescent="0.3">
      <c r="A5" s="234">
        <v>3</v>
      </c>
      <c r="B5" s="233" t="s">
        <v>1028</v>
      </c>
      <c r="C5" s="234">
        <v>9</v>
      </c>
      <c r="D5" s="234" t="s">
        <v>1027</v>
      </c>
      <c r="E5" s="247">
        <v>65000</v>
      </c>
      <c r="F5" s="247">
        <f t="shared" ref="F5:F7" si="0">E5*C5</f>
        <v>585000</v>
      </c>
    </row>
    <row r="6" spans="1:7" x14ac:dyDescent="0.3">
      <c r="A6" s="234">
        <v>4</v>
      </c>
      <c r="B6" s="233" t="s">
        <v>1029</v>
      </c>
      <c r="C6" s="234">
        <v>9</v>
      </c>
      <c r="D6" s="234" t="s">
        <v>1027</v>
      </c>
      <c r="E6" s="247">
        <v>10000</v>
      </c>
      <c r="F6" s="247">
        <f t="shared" si="0"/>
        <v>90000</v>
      </c>
    </row>
    <row r="7" spans="1:7" x14ac:dyDescent="0.3">
      <c r="A7" s="234">
        <v>5</v>
      </c>
      <c r="B7" s="233" t="s">
        <v>1030</v>
      </c>
      <c r="C7" s="234">
        <v>9</v>
      </c>
      <c r="D7" s="234" t="s">
        <v>1027</v>
      </c>
      <c r="E7" s="247">
        <v>26525</v>
      </c>
      <c r="F7" s="247">
        <f t="shared" si="0"/>
        <v>238725</v>
      </c>
    </row>
    <row r="8" spans="1:7" x14ac:dyDescent="0.3">
      <c r="A8" s="234">
        <v>6</v>
      </c>
      <c r="B8" s="233" t="s">
        <v>1031</v>
      </c>
      <c r="C8" s="234">
        <v>9</v>
      </c>
      <c r="D8" s="234" t="s">
        <v>1027</v>
      </c>
      <c r="E8" s="247">
        <v>24245.7</v>
      </c>
      <c r="F8" s="247">
        <f>E8*C8</f>
        <v>218211.30000000002</v>
      </c>
    </row>
    <row r="9" spans="1:7" x14ac:dyDescent="0.3">
      <c r="A9" s="234">
        <v>7</v>
      </c>
      <c r="B9" s="233" t="s">
        <v>1032</v>
      </c>
      <c r="C9" s="234">
        <v>1</v>
      </c>
      <c r="D9" s="234" t="s">
        <v>44</v>
      </c>
      <c r="E9" s="247">
        <v>40000</v>
      </c>
      <c r="F9" s="247">
        <f>E9*C9</f>
        <v>40000</v>
      </c>
    </row>
    <row r="10" spans="1:7" x14ac:dyDescent="0.3">
      <c r="A10" s="234"/>
      <c r="B10" s="1501" t="s">
        <v>941</v>
      </c>
      <c r="C10" s="1501"/>
      <c r="D10" s="1501"/>
      <c r="E10" s="1501"/>
      <c r="F10" s="248">
        <f>SUM(F4:F9)</f>
        <v>3061936.3</v>
      </c>
    </row>
    <row r="11" spans="1:7" x14ac:dyDescent="0.3">
      <c r="A11" s="249"/>
      <c r="B11" s="250"/>
      <c r="C11" s="250"/>
      <c r="D11" s="250"/>
      <c r="E11" s="250"/>
      <c r="F11" s="250"/>
    </row>
    <row r="12" spans="1:7" x14ac:dyDescent="0.3">
      <c r="A12" s="234"/>
      <c r="B12" s="234" t="s">
        <v>1042</v>
      </c>
      <c r="C12" s="234" t="s">
        <v>759</v>
      </c>
      <c r="D12" s="234"/>
      <c r="E12" s="234" t="s">
        <v>1033</v>
      </c>
      <c r="F12" s="234" t="s">
        <v>1034</v>
      </c>
    </row>
    <row r="13" spans="1:7" x14ac:dyDescent="0.3">
      <c r="A13" s="234">
        <v>1</v>
      </c>
      <c r="B13" s="234" t="s">
        <v>881</v>
      </c>
      <c r="C13" s="1502">
        <f>F10</f>
        <v>3061936.3</v>
      </c>
      <c r="D13" s="247"/>
      <c r="E13" s="247">
        <v>7142414</v>
      </c>
      <c r="F13" s="247">
        <v>10204350.300000001</v>
      </c>
      <c r="G13" s="331"/>
    </row>
    <row r="14" spans="1:7" x14ac:dyDescent="0.3">
      <c r="A14" s="234">
        <v>2</v>
      </c>
      <c r="B14" s="234" t="s">
        <v>1035</v>
      </c>
      <c r="C14" s="1503"/>
      <c r="D14" s="247"/>
      <c r="E14" s="247">
        <v>1042174.89</v>
      </c>
      <c r="F14" s="247">
        <v>1042174.89</v>
      </c>
    </row>
    <row r="15" spans="1:7" x14ac:dyDescent="0.3">
      <c r="A15" s="234">
        <v>3</v>
      </c>
      <c r="B15" s="234" t="s">
        <v>1036</v>
      </c>
      <c r="C15" s="1503"/>
      <c r="D15" s="247"/>
      <c r="E15" s="1018">
        <v>399985</v>
      </c>
      <c r="F15" s="247">
        <v>399985</v>
      </c>
    </row>
    <row r="16" spans="1:7" x14ac:dyDescent="0.3">
      <c r="A16" s="234">
        <v>4</v>
      </c>
      <c r="B16" s="234" t="s">
        <v>1037</v>
      </c>
      <c r="C16" s="1504"/>
      <c r="D16" s="247"/>
      <c r="E16" s="247">
        <v>1302848.25</v>
      </c>
      <c r="F16" s="247">
        <v>1302848.25</v>
      </c>
    </row>
    <row r="17" spans="1:7" x14ac:dyDescent="0.3">
      <c r="A17" s="234">
        <v>5</v>
      </c>
      <c r="B17" s="233" t="s">
        <v>1038</v>
      </c>
      <c r="C17" s="247"/>
      <c r="D17" s="247"/>
      <c r="E17" s="247"/>
      <c r="F17" s="247">
        <v>110000</v>
      </c>
    </row>
    <row r="18" spans="1:7" x14ac:dyDescent="0.3">
      <c r="A18" s="234">
        <v>6</v>
      </c>
      <c r="B18" s="233" t="s">
        <v>1039</v>
      </c>
      <c r="C18" s="247"/>
      <c r="D18" s="247"/>
      <c r="E18" s="247"/>
      <c r="F18" s="247">
        <v>120000</v>
      </c>
    </row>
    <row r="19" spans="1:7" x14ac:dyDescent="0.3">
      <c r="A19" s="234">
        <v>7</v>
      </c>
      <c r="B19" s="233" t="s">
        <v>1040</v>
      </c>
      <c r="C19" s="247"/>
      <c r="D19" s="247"/>
      <c r="E19" s="247"/>
      <c r="F19" s="247">
        <v>20000</v>
      </c>
    </row>
    <row r="20" spans="1:7" x14ac:dyDescent="0.3">
      <c r="A20" s="234"/>
      <c r="B20" s="251" t="s">
        <v>1041</v>
      </c>
      <c r="C20" s="247">
        <f>SUM(C13:C16)</f>
        <v>3061936.3</v>
      </c>
      <c r="D20" s="247"/>
      <c r="E20" s="247">
        <v>9887422.1400000006</v>
      </c>
      <c r="F20" s="247">
        <v>13199358.440000001</v>
      </c>
      <c r="G20" s="331"/>
    </row>
  </sheetData>
  <mergeCells count="5">
    <mergeCell ref="A1:F1"/>
    <mergeCell ref="A2:F2"/>
    <mergeCell ref="B3:F3"/>
    <mergeCell ref="B10:E10"/>
    <mergeCell ref="C13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zoomScale="70" zoomScaleNormal="70" workbookViewId="0">
      <selection activeCell="A3" sqref="A3:XFD140"/>
    </sheetView>
  </sheetViews>
  <sheetFormatPr defaultRowHeight="15.05" x14ac:dyDescent="0.3"/>
  <cols>
    <col min="1" max="1" width="9.109375" style="596"/>
    <col min="2" max="2" width="63.109375" style="555" customWidth="1"/>
    <col min="3" max="3" width="9.109375" style="597"/>
    <col min="4" max="4" width="14.109375" style="597" customWidth="1"/>
    <col min="5" max="5" width="13.88671875" style="598" customWidth="1"/>
    <col min="6" max="6" width="11.5546875" style="598" customWidth="1"/>
    <col min="7" max="7" width="15.88671875" style="555" customWidth="1"/>
    <col min="8" max="8" width="18.6640625" style="555" customWidth="1"/>
    <col min="9" max="9" width="18.88671875" style="555" customWidth="1"/>
    <col min="10" max="257" width="9.109375" style="555"/>
    <col min="258" max="258" width="63.109375" style="555" customWidth="1"/>
    <col min="259" max="259" width="9.109375" style="555"/>
    <col min="260" max="260" width="14.109375" style="555" customWidth="1"/>
    <col min="261" max="261" width="11.44140625" style="555" customWidth="1"/>
    <col min="262" max="262" width="11.5546875" style="555" customWidth="1"/>
    <col min="263" max="263" width="15.88671875" style="555" customWidth="1"/>
    <col min="264" max="264" width="18.6640625" style="555" customWidth="1"/>
    <col min="265" max="265" width="18.88671875" style="555" customWidth="1"/>
    <col min="266" max="513" width="9.109375" style="555"/>
    <col min="514" max="514" width="63.109375" style="555" customWidth="1"/>
    <col min="515" max="515" width="9.109375" style="555"/>
    <col min="516" max="516" width="14.109375" style="555" customWidth="1"/>
    <col min="517" max="517" width="11.44140625" style="555" customWidth="1"/>
    <col min="518" max="518" width="11.5546875" style="555" customWidth="1"/>
    <col min="519" max="519" width="15.88671875" style="555" customWidth="1"/>
    <col min="520" max="520" width="18.6640625" style="555" customWidth="1"/>
    <col min="521" max="521" width="18.88671875" style="555" customWidth="1"/>
    <col min="522" max="769" width="9.109375" style="555"/>
    <col min="770" max="770" width="63.109375" style="555" customWidth="1"/>
    <col min="771" max="771" width="9.109375" style="555"/>
    <col min="772" max="772" width="14.109375" style="555" customWidth="1"/>
    <col min="773" max="773" width="11.44140625" style="555" customWidth="1"/>
    <col min="774" max="774" width="11.5546875" style="555" customWidth="1"/>
    <col min="775" max="775" width="15.88671875" style="555" customWidth="1"/>
    <col min="776" max="776" width="18.6640625" style="555" customWidth="1"/>
    <col min="777" max="777" width="18.88671875" style="555" customWidth="1"/>
    <col min="778" max="1025" width="9.109375" style="555"/>
    <col min="1026" max="1026" width="63.109375" style="555" customWidth="1"/>
    <col min="1027" max="1027" width="9.109375" style="555"/>
    <col min="1028" max="1028" width="14.109375" style="555" customWidth="1"/>
    <col min="1029" max="1029" width="11.44140625" style="555" customWidth="1"/>
    <col min="1030" max="1030" width="11.5546875" style="555" customWidth="1"/>
    <col min="1031" max="1031" width="15.88671875" style="555" customWidth="1"/>
    <col min="1032" max="1032" width="18.6640625" style="555" customWidth="1"/>
    <col min="1033" max="1033" width="18.88671875" style="555" customWidth="1"/>
    <col min="1034" max="1281" width="9.109375" style="555"/>
    <col min="1282" max="1282" width="63.109375" style="555" customWidth="1"/>
    <col min="1283" max="1283" width="9.109375" style="555"/>
    <col min="1284" max="1284" width="14.109375" style="555" customWidth="1"/>
    <col min="1285" max="1285" width="11.44140625" style="555" customWidth="1"/>
    <col min="1286" max="1286" width="11.5546875" style="555" customWidth="1"/>
    <col min="1287" max="1287" width="15.88671875" style="555" customWidth="1"/>
    <col min="1288" max="1288" width="18.6640625" style="555" customWidth="1"/>
    <col min="1289" max="1289" width="18.88671875" style="555" customWidth="1"/>
    <col min="1290" max="1537" width="9.109375" style="555"/>
    <col min="1538" max="1538" width="63.109375" style="555" customWidth="1"/>
    <col min="1539" max="1539" width="9.109375" style="555"/>
    <col min="1540" max="1540" width="14.109375" style="555" customWidth="1"/>
    <col min="1541" max="1541" width="11.44140625" style="555" customWidth="1"/>
    <col min="1542" max="1542" width="11.5546875" style="555" customWidth="1"/>
    <col min="1543" max="1543" width="15.88671875" style="555" customWidth="1"/>
    <col min="1544" max="1544" width="18.6640625" style="555" customWidth="1"/>
    <col min="1545" max="1545" width="18.88671875" style="555" customWidth="1"/>
    <col min="1546" max="1793" width="9.109375" style="555"/>
    <col min="1794" max="1794" width="63.109375" style="555" customWidth="1"/>
    <col min="1795" max="1795" width="9.109375" style="555"/>
    <col min="1796" max="1796" width="14.109375" style="555" customWidth="1"/>
    <col min="1797" max="1797" width="11.44140625" style="555" customWidth="1"/>
    <col min="1798" max="1798" width="11.5546875" style="555" customWidth="1"/>
    <col min="1799" max="1799" width="15.88671875" style="555" customWidth="1"/>
    <col min="1800" max="1800" width="18.6640625" style="555" customWidth="1"/>
    <col min="1801" max="1801" width="18.88671875" style="555" customWidth="1"/>
    <col min="1802" max="2049" width="9.109375" style="555"/>
    <col min="2050" max="2050" width="63.109375" style="555" customWidth="1"/>
    <col min="2051" max="2051" width="9.109375" style="555"/>
    <col min="2052" max="2052" width="14.109375" style="555" customWidth="1"/>
    <col min="2053" max="2053" width="11.44140625" style="555" customWidth="1"/>
    <col min="2054" max="2054" width="11.5546875" style="555" customWidth="1"/>
    <col min="2055" max="2055" width="15.88671875" style="555" customWidth="1"/>
    <col min="2056" max="2056" width="18.6640625" style="555" customWidth="1"/>
    <col min="2057" max="2057" width="18.88671875" style="555" customWidth="1"/>
    <col min="2058" max="2305" width="9.109375" style="555"/>
    <col min="2306" max="2306" width="63.109375" style="555" customWidth="1"/>
    <col min="2307" max="2307" width="9.109375" style="555"/>
    <col min="2308" max="2308" width="14.109375" style="555" customWidth="1"/>
    <col min="2309" max="2309" width="11.44140625" style="555" customWidth="1"/>
    <col min="2310" max="2310" width="11.5546875" style="555" customWidth="1"/>
    <col min="2311" max="2311" width="15.88671875" style="555" customWidth="1"/>
    <col min="2312" max="2312" width="18.6640625" style="555" customWidth="1"/>
    <col min="2313" max="2313" width="18.88671875" style="555" customWidth="1"/>
    <col min="2314" max="2561" width="9.109375" style="555"/>
    <col min="2562" max="2562" width="63.109375" style="555" customWidth="1"/>
    <col min="2563" max="2563" width="9.109375" style="555"/>
    <col min="2564" max="2564" width="14.109375" style="555" customWidth="1"/>
    <col min="2565" max="2565" width="11.44140625" style="555" customWidth="1"/>
    <col min="2566" max="2566" width="11.5546875" style="555" customWidth="1"/>
    <col min="2567" max="2567" width="15.88671875" style="555" customWidth="1"/>
    <col min="2568" max="2568" width="18.6640625" style="555" customWidth="1"/>
    <col min="2569" max="2569" width="18.88671875" style="555" customWidth="1"/>
    <col min="2570" max="2817" width="9.109375" style="555"/>
    <col min="2818" max="2818" width="63.109375" style="555" customWidth="1"/>
    <col min="2819" max="2819" width="9.109375" style="555"/>
    <col min="2820" max="2820" width="14.109375" style="555" customWidth="1"/>
    <col min="2821" max="2821" width="11.44140625" style="555" customWidth="1"/>
    <col min="2822" max="2822" width="11.5546875" style="555" customWidth="1"/>
    <col min="2823" max="2823" width="15.88671875" style="555" customWidth="1"/>
    <col min="2824" max="2824" width="18.6640625" style="555" customWidth="1"/>
    <col min="2825" max="2825" width="18.88671875" style="555" customWidth="1"/>
    <col min="2826" max="3073" width="9.109375" style="555"/>
    <col min="3074" max="3074" width="63.109375" style="555" customWidth="1"/>
    <col min="3075" max="3075" width="9.109375" style="555"/>
    <col min="3076" max="3076" width="14.109375" style="555" customWidth="1"/>
    <col min="3077" max="3077" width="11.44140625" style="555" customWidth="1"/>
    <col min="3078" max="3078" width="11.5546875" style="555" customWidth="1"/>
    <col min="3079" max="3079" width="15.88671875" style="555" customWidth="1"/>
    <col min="3080" max="3080" width="18.6640625" style="555" customWidth="1"/>
    <col min="3081" max="3081" width="18.88671875" style="555" customWidth="1"/>
    <col min="3082" max="3329" width="9.109375" style="555"/>
    <col min="3330" max="3330" width="63.109375" style="555" customWidth="1"/>
    <col min="3331" max="3331" width="9.109375" style="555"/>
    <col min="3332" max="3332" width="14.109375" style="555" customWidth="1"/>
    <col min="3333" max="3333" width="11.44140625" style="555" customWidth="1"/>
    <col min="3334" max="3334" width="11.5546875" style="555" customWidth="1"/>
    <col min="3335" max="3335" width="15.88671875" style="555" customWidth="1"/>
    <col min="3336" max="3336" width="18.6640625" style="555" customWidth="1"/>
    <col min="3337" max="3337" width="18.88671875" style="555" customWidth="1"/>
    <col min="3338" max="3585" width="9.109375" style="555"/>
    <col min="3586" max="3586" width="63.109375" style="555" customWidth="1"/>
    <col min="3587" max="3587" width="9.109375" style="555"/>
    <col min="3588" max="3588" width="14.109375" style="555" customWidth="1"/>
    <col min="3589" max="3589" width="11.44140625" style="555" customWidth="1"/>
    <col min="3590" max="3590" width="11.5546875" style="555" customWidth="1"/>
    <col min="3591" max="3591" width="15.88671875" style="555" customWidth="1"/>
    <col min="3592" max="3592" width="18.6640625" style="555" customWidth="1"/>
    <col min="3593" max="3593" width="18.88671875" style="555" customWidth="1"/>
    <col min="3594" max="3841" width="9.109375" style="555"/>
    <col min="3842" max="3842" width="63.109375" style="555" customWidth="1"/>
    <col min="3843" max="3843" width="9.109375" style="555"/>
    <col min="3844" max="3844" width="14.109375" style="555" customWidth="1"/>
    <col min="3845" max="3845" width="11.44140625" style="555" customWidth="1"/>
    <col min="3846" max="3846" width="11.5546875" style="555" customWidth="1"/>
    <col min="3847" max="3847" width="15.88671875" style="555" customWidth="1"/>
    <col min="3848" max="3848" width="18.6640625" style="555" customWidth="1"/>
    <col min="3849" max="3849" width="18.88671875" style="555" customWidth="1"/>
    <col min="3850" max="4097" width="9.109375" style="555"/>
    <col min="4098" max="4098" width="63.109375" style="555" customWidth="1"/>
    <col min="4099" max="4099" width="9.109375" style="555"/>
    <col min="4100" max="4100" width="14.109375" style="555" customWidth="1"/>
    <col min="4101" max="4101" width="11.44140625" style="555" customWidth="1"/>
    <col min="4102" max="4102" width="11.5546875" style="555" customWidth="1"/>
    <col min="4103" max="4103" width="15.88671875" style="555" customWidth="1"/>
    <col min="4104" max="4104" width="18.6640625" style="555" customWidth="1"/>
    <col min="4105" max="4105" width="18.88671875" style="555" customWidth="1"/>
    <col min="4106" max="4353" width="9.109375" style="555"/>
    <col min="4354" max="4354" width="63.109375" style="555" customWidth="1"/>
    <col min="4355" max="4355" width="9.109375" style="555"/>
    <col min="4356" max="4356" width="14.109375" style="555" customWidth="1"/>
    <col min="4357" max="4357" width="11.44140625" style="555" customWidth="1"/>
    <col min="4358" max="4358" width="11.5546875" style="555" customWidth="1"/>
    <col min="4359" max="4359" width="15.88671875" style="555" customWidth="1"/>
    <col min="4360" max="4360" width="18.6640625" style="555" customWidth="1"/>
    <col min="4361" max="4361" width="18.88671875" style="555" customWidth="1"/>
    <col min="4362" max="4609" width="9.109375" style="555"/>
    <col min="4610" max="4610" width="63.109375" style="555" customWidth="1"/>
    <col min="4611" max="4611" width="9.109375" style="555"/>
    <col min="4612" max="4612" width="14.109375" style="555" customWidth="1"/>
    <col min="4613" max="4613" width="11.44140625" style="555" customWidth="1"/>
    <col min="4614" max="4614" width="11.5546875" style="555" customWidth="1"/>
    <col min="4615" max="4615" width="15.88671875" style="555" customWidth="1"/>
    <col min="4616" max="4616" width="18.6640625" style="555" customWidth="1"/>
    <col min="4617" max="4617" width="18.88671875" style="555" customWidth="1"/>
    <col min="4618" max="4865" width="9.109375" style="555"/>
    <col min="4866" max="4866" width="63.109375" style="555" customWidth="1"/>
    <col min="4867" max="4867" width="9.109375" style="555"/>
    <col min="4868" max="4868" width="14.109375" style="555" customWidth="1"/>
    <col min="4869" max="4869" width="11.44140625" style="555" customWidth="1"/>
    <col min="4870" max="4870" width="11.5546875" style="555" customWidth="1"/>
    <col min="4871" max="4871" width="15.88671875" style="555" customWidth="1"/>
    <col min="4872" max="4872" width="18.6640625" style="555" customWidth="1"/>
    <col min="4873" max="4873" width="18.88671875" style="555" customWidth="1"/>
    <col min="4874" max="5121" width="9.109375" style="555"/>
    <col min="5122" max="5122" width="63.109375" style="555" customWidth="1"/>
    <col min="5123" max="5123" width="9.109375" style="555"/>
    <col min="5124" max="5124" width="14.109375" style="555" customWidth="1"/>
    <col min="5125" max="5125" width="11.44140625" style="555" customWidth="1"/>
    <col min="5126" max="5126" width="11.5546875" style="555" customWidth="1"/>
    <col min="5127" max="5127" width="15.88671875" style="555" customWidth="1"/>
    <col min="5128" max="5128" width="18.6640625" style="555" customWidth="1"/>
    <col min="5129" max="5129" width="18.88671875" style="555" customWidth="1"/>
    <col min="5130" max="5377" width="9.109375" style="555"/>
    <col min="5378" max="5378" width="63.109375" style="555" customWidth="1"/>
    <col min="5379" max="5379" width="9.109375" style="555"/>
    <col min="5380" max="5380" width="14.109375" style="555" customWidth="1"/>
    <col min="5381" max="5381" width="11.44140625" style="555" customWidth="1"/>
    <col min="5382" max="5382" width="11.5546875" style="555" customWidth="1"/>
    <col min="5383" max="5383" width="15.88671875" style="555" customWidth="1"/>
    <col min="5384" max="5384" width="18.6640625" style="555" customWidth="1"/>
    <col min="5385" max="5385" width="18.88671875" style="555" customWidth="1"/>
    <col min="5386" max="5633" width="9.109375" style="555"/>
    <col min="5634" max="5634" width="63.109375" style="555" customWidth="1"/>
    <col min="5635" max="5635" width="9.109375" style="555"/>
    <col min="5636" max="5636" width="14.109375" style="555" customWidth="1"/>
    <col min="5637" max="5637" width="11.44140625" style="555" customWidth="1"/>
    <col min="5638" max="5638" width="11.5546875" style="555" customWidth="1"/>
    <col min="5639" max="5639" width="15.88671875" style="555" customWidth="1"/>
    <col min="5640" max="5640" width="18.6640625" style="555" customWidth="1"/>
    <col min="5641" max="5641" width="18.88671875" style="555" customWidth="1"/>
    <col min="5642" max="5889" width="9.109375" style="555"/>
    <col min="5890" max="5890" width="63.109375" style="555" customWidth="1"/>
    <col min="5891" max="5891" width="9.109375" style="555"/>
    <col min="5892" max="5892" width="14.109375" style="555" customWidth="1"/>
    <col min="5893" max="5893" width="11.44140625" style="555" customWidth="1"/>
    <col min="5894" max="5894" width="11.5546875" style="555" customWidth="1"/>
    <col min="5895" max="5895" width="15.88671875" style="555" customWidth="1"/>
    <col min="5896" max="5896" width="18.6640625" style="555" customWidth="1"/>
    <col min="5897" max="5897" width="18.88671875" style="555" customWidth="1"/>
    <col min="5898" max="6145" width="9.109375" style="555"/>
    <col min="6146" max="6146" width="63.109375" style="555" customWidth="1"/>
    <col min="6147" max="6147" width="9.109375" style="555"/>
    <col min="6148" max="6148" width="14.109375" style="555" customWidth="1"/>
    <col min="6149" max="6149" width="11.44140625" style="555" customWidth="1"/>
    <col min="6150" max="6150" width="11.5546875" style="555" customWidth="1"/>
    <col min="6151" max="6151" width="15.88671875" style="555" customWidth="1"/>
    <col min="6152" max="6152" width="18.6640625" style="555" customWidth="1"/>
    <col min="6153" max="6153" width="18.88671875" style="555" customWidth="1"/>
    <col min="6154" max="6401" width="9.109375" style="555"/>
    <col min="6402" max="6402" width="63.109375" style="555" customWidth="1"/>
    <col min="6403" max="6403" width="9.109375" style="555"/>
    <col min="6404" max="6404" width="14.109375" style="555" customWidth="1"/>
    <col min="6405" max="6405" width="11.44140625" style="555" customWidth="1"/>
    <col min="6406" max="6406" width="11.5546875" style="555" customWidth="1"/>
    <col min="6407" max="6407" width="15.88671875" style="555" customWidth="1"/>
    <col min="6408" max="6408" width="18.6640625" style="555" customWidth="1"/>
    <col min="6409" max="6409" width="18.88671875" style="555" customWidth="1"/>
    <col min="6410" max="6657" width="9.109375" style="555"/>
    <col min="6658" max="6658" width="63.109375" style="555" customWidth="1"/>
    <col min="6659" max="6659" width="9.109375" style="555"/>
    <col min="6660" max="6660" width="14.109375" style="555" customWidth="1"/>
    <col min="6661" max="6661" width="11.44140625" style="555" customWidth="1"/>
    <col min="6662" max="6662" width="11.5546875" style="555" customWidth="1"/>
    <col min="6663" max="6663" width="15.88671875" style="555" customWidth="1"/>
    <col min="6664" max="6664" width="18.6640625" style="555" customWidth="1"/>
    <col min="6665" max="6665" width="18.88671875" style="555" customWidth="1"/>
    <col min="6666" max="6913" width="9.109375" style="555"/>
    <col min="6914" max="6914" width="63.109375" style="555" customWidth="1"/>
    <col min="6915" max="6915" width="9.109375" style="555"/>
    <col min="6916" max="6916" width="14.109375" style="555" customWidth="1"/>
    <col min="6917" max="6917" width="11.44140625" style="555" customWidth="1"/>
    <col min="6918" max="6918" width="11.5546875" style="555" customWidth="1"/>
    <col min="6919" max="6919" width="15.88671875" style="555" customWidth="1"/>
    <col min="6920" max="6920" width="18.6640625" style="555" customWidth="1"/>
    <col min="6921" max="6921" width="18.88671875" style="555" customWidth="1"/>
    <col min="6922" max="7169" width="9.109375" style="555"/>
    <col min="7170" max="7170" width="63.109375" style="555" customWidth="1"/>
    <col min="7171" max="7171" width="9.109375" style="555"/>
    <col min="7172" max="7172" width="14.109375" style="555" customWidth="1"/>
    <col min="7173" max="7173" width="11.44140625" style="555" customWidth="1"/>
    <col min="7174" max="7174" width="11.5546875" style="555" customWidth="1"/>
    <col min="7175" max="7175" width="15.88671875" style="555" customWidth="1"/>
    <col min="7176" max="7176" width="18.6640625" style="555" customWidth="1"/>
    <col min="7177" max="7177" width="18.88671875" style="555" customWidth="1"/>
    <col min="7178" max="7425" width="9.109375" style="555"/>
    <col min="7426" max="7426" width="63.109375" style="555" customWidth="1"/>
    <col min="7427" max="7427" width="9.109375" style="555"/>
    <col min="7428" max="7428" width="14.109375" style="555" customWidth="1"/>
    <col min="7429" max="7429" width="11.44140625" style="555" customWidth="1"/>
    <col min="7430" max="7430" width="11.5546875" style="555" customWidth="1"/>
    <col min="7431" max="7431" width="15.88671875" style="555" customWidth="1"/>
    <col min="7432" max="7432" width="18.6640625" style="555" customWidth="1"/>
    <col min="7433" max="7433" width="18.88671875" style="555" customWidth="1"/>
    <col min="7434" max="7681" width="9.109375" style="555"/>
    <col min="7682" max="7682" width="63.109375" style="555" customWidth="1"/>
    <col min="7683" max="7683" width="9.109375" style="555"/>
    <col min="7684" max="7684" width="14.109375" style="555" customWidth="1"/>
    <col min="7685" max="7685" width="11.44140625" style="555" customWidth="1"/>
    <col min="7686" max="7686" width="11.5546875" style="555" customWidth="1"/>
    <col min="7687" max="7687" width="15.88671875" style="555" customWidth="1"/>
    <col min="7688" max="7688" width="18.6640625" style="555" customWidth="1"/>
    <col min="7689" max="7689" width="18.88671875" style="555" customWidth="1"/>
    <col min="7690" max="7937" width="9.109375" style="555"/>
    <col min="7938" max="7938" width="63.109375" style="555" customWidth="1"/>
    <col min="7939" max="7939" width="9.109375" style="555"/>
    <col min="7940" max="7940" width="14.109375" style="555" customWidth="1"/>
    <col min="7941" max="7941" width="11.44140625" style="555" customWidth="1"/>
    <col min="7942" max="7942" width="11.5546875" style="555" customWidth="1"/>
    <col min="7943" max="7943" width="15.88671875" style="555" customWidth="1"/>
    <col min="7944" max="7944" width="18.6640625" style="555" customWidth="1"/>
    <col min="7945" max="7945" width="18.88671875" style="555" customWidth="1"/>
    <col min="7946" max="8193" width="9.109375" style="555"/>
    <col min="8194" max="8194" width="63.109375" style="555" customWidth="1"/>
    <col min="8195" max="8195" width="9.109375" style="555"/>
    <col min="8196" max="8196" width="14.109375" style="555" customWidth="1"/>
    <col min="8197" max="8197" width="11.44140625" style="555" customWidth="1"/>
    <col min="8198" max="8198" width="11.5546875" style="555" customWidth="1"/>
    <col min="8199" max="8199" width="15.88671875" style="555" customWidth="1"/>
    <col min="8200" max="8200" width="18.6640625" style="555" customWidth="1"/>
    <col min="8201" max="8201" width="18.88671875" style="555" customWidth="1"/>
    <col min="8202" max="8449" width="9.109375" style="555"/>
    <col min="8450" max="8450" width="63.109375" style="555" customWidth="1"/>
    <col min="8451" max="8451" width="9.109375" style="555"/>
    <col min="8452" max="8452" width="14.109375" style="555" customWidth="1"/>
    <col min="8453" max="8453" width="11.44140625" style="555" customWidth="1"/>
    <col min="8454" max="8454" width="11.5546875" style="555" customWidth="1"/>
    <col min="8455" max="8455" width="15.88671875" style="555" customWidth="1"/>
    <col min="8456" max="8456" width="18.6640625" style="555" customWidth="1"/>
    <col min="8457" max="8457" width="18.88671875" style="555" customWidth="1"/>
    <col min="8458" max="8705" width="9.109375" style="555"/>
    <col min="8706" max="8706" width="63.109375" style="555" customWidth="1"/>
    <col min="8707" max="8707" width="9.109375" style="555"/>
    <col min="8708" max="8708" width="14.109375" style="555" customWidth="1"/>
    <col min="8709" max="8709" width="11.44140625" style="555" customWidth="1"/>
    <col min="8710" max="8710" width="11.5546875" style="555" customWidth="1"/>
    <col min="8711" max="8711" width="15.88671875" style="555" customWidth="1"/>
    <col min="8712" max="8712" width="18.6640625" style="555" customWidth="1"/>
    <col min="8713" max="8713" width="18.88671875" style="555" customWidth="1"/>
    <col min="8714" max="8961" width="9.109375" style="555"/>
    <col min="8962" max="8962" width="63.109375" style="555" customWidth="1"/>
    <col min="8963" max="8963" width="9.109375" style="555"/>
    <col min="8964" max="8964" width="14.109375" style="555" customWidth="1"/>
    <col min="8965" max="8965" width="11.44140625" style="555" customWidth="1"/>
    <col min="8966" max="8966" width="11.5546875" style="555" customWidth="1"/>
    <col min="8967" max="8967" width="15.88671875" style="555" customWidth="1"/>
    <col min="8968" max="8968" width="18.6640625" style="555" customWidth="1"/>
    <col min="8969" max="8969" width="18.88671875" style="555" customWidth="1"/>
    <col min="8970" max="9217" width="9.109375" style="555"/>
    <col min="9218" max="9218" width="63.109375" style="555" customWidth="1"/>
    <col min="9219" max="9219" width="9.109375" style="555"/>
    <col min="9220" max="9220" width="14.109375" style="555" customWidth="1"/>
    <col min="9221" max="9221" width="11.44140625" style="555" customWidth="1"/>
    <col min="9222" max="9222" width="11.5546875" style="555" customWidth="1"/>
    <col min="9223" max="9223" width="15.88671875" style="555" customWidth="1"/>
    <col min="9224" max="9224" width="18.6640625" style="555" customWidth="1"/>
    <col min="9225" max="9225" width="18.88671875" style="555" customWidth="1"/>
    <col min="9226" max="9473" width="9.109375" style="555"/>
    <col min="9474" max="9474" width="63.109375" style="555" customWidth="1"/>
    <col min="9475" max="9475" width="9.109375" style="555"/>
    <col min="9476" max="9476" width="14.109375" style="555" customWidth="1"/>
    <col min="9477" max="9477" width="11.44140625" style="555" customWidth="1"/>
    <col min="9478" max="9478" width="11.5546875" style="555" customWidth="1"/>
    <col min="9479" max="9479" width="15.88671875" style="555" customWidth="1"/>
    <col min="9480" max="9480" width="18.6640625" style="555" customWidth="1"/>
    <col min="9481" max="9481" width="18.88671875" style="555" customWidth="1"/>
    <col min="9482" max="9729" width="9.109375" style="555"/>
    <col min="9730" max="9730" width="63.109375" style="555" customWidth="1"/>
    <col min="9731" max="9731" width="9.109375" style="555"/>
    <col min="9732" max="9732" width="14.109375" style="555" customWidth="1"/>
    <col min="9733" max="9733" width="11.44140625" style="555" customWidth="1"/>
    <col min="9734" max="9734" width="11.5546875" style="555" customWidth="1"/>
    <col min="9735" max="9735" width="15.88671875" style="555" customWidth="1"/>
    <col min="9736" max="9736" width="18.6640625" style="555" customWidth="1"/>
    <col min="9737" max="9737" width="18.88671875" style="555" customWidth="1"/>
    <col min="9738" max="9985" width="9.109375" style="555"/>
    <col min="9986" max="9986" width="63.109375" style="555" customWidth="1"/>
    <col min="9987" max="9987" width="9.109375" style="555"/>
    <col min="9988" max="9988" width="14.109375" style="555" customWidth="1"/>
    <col min="9989" max="9989" width="11.44140625" style="555" customWidth="1"/>
    <col min="9990" max="9990" width="11.5546875" style="555" customWidth="1"/>
    <col min="9991" max="9991" width="15.88671875" style="555" customWidth="1"/>
    <col min="9992" max="9992" width="18.6640625" style="555" customWidth="1"/>
    <col min="9993" max="9993" width="18.88671875" style="555" customWidth="1"/>
    <col min="9994" max="10241" width="9.109375" style="555"/>
    <col min="10242" max="10242" width="63.109375" style="555" customWidth="1"/>
    <col min="10243" max="10243" width="9.109375" style="555"/>
    <col min="10244" max="10244" width="14.109375" style="555" customWidth="1"/>
    <col min="10245" max="10245" width="11.44140625" style="555" customWidth="1"/>
    <col min="10246" max="10246" width="11.5546875" style="555" customWidth="1"/>
    <col min="10247" max="10247" width="15.88671875" style="555" customWidth="1"/>
    <col min="10248" max="10248" width="18.6640625" style="555" customWidth="1"/>
    <col min="10249" max="10249" width="18.88671875" style="555" customWidth="1"/>
    <col min="10250" max="10497" width="9.109375" style="555"/>
    <col min="10498" max="10498" width="63.109375" style="555" customWidth="1"/>
    <col min="10499" max="10499" width="9.109375" style="555"/>
    <col min="10500" max="10500" width="14.109375" style="555" customWidth="1"/>
    <col min="10501" max="10501" width="11.44140625" style="555" customWidth="1"/>
    <col min="10502" max="10502" width="11.5546875" style="555" customWidth="1"/>
    <col min="10503" max="10503" width="15.88671875" style="555" customWidth="1"/>
    <col min="10504" max="10504" width="18.6640625" style="555" customWidth="1"/>
    <col min="10505" max="10505" width="18.88671875" style="555" customWidth="1"/>
    <col min="10506" max="10753" width="9.109375" style="555"/>
    <col min="10754" max="10754" width="63.109375" style="555" customWidth="1"/>
    <col min="10755" max="10755" width="9.109375" style="555"/>
    <col min="10756" max="10756" width="14.109375" style="555" customWidth="1"/>
    <col min="10757" max="10757" width="11.44140625" style="555" customWidth="1"/>
    <col min="10758" max="10758" width="11.5546875" style="555" customWidth="1"/>
    <col min="10759" max="10759" width="15.88671875" style="555" customWidth="1"/>
    <col min="10760" max="10760" width="18.6640625" style="555" customWidth="1"/>
    <col min="10761" max="10761" width="18.88671875" style="555" customWidth="1"/>
    <col min="10762" max="11009" width="9.109375" style="555"/>
    <col min="11010" max="11010" width="63.109375" style="555" customWidth="1"/>
    <col min="11011" max="11011" width="9.109375" style="555"/>
    <col min="11012" max="11012" width="14.109375" style="555" customWidth="1"/>
    <col min="11013" max="11013" width="11.44140625" style="555" customWidth="1"/>
    <col min="11014" max="11014" width="11.5546875" style="555" customWidth="1"/>
    <col min="11015" max="11015" width="15.88671875" style="555" customWidth="1"/>
    <col min="11016" max="11016" width="18.6640625" style="555" customWidth="1"/>
    <col min="11017" max="11017" width="18.88671875" style="555" customWidth="1"/>
    <col min="11018" max="11265" width="9.109375" style="555"/>
    <col min="11266" max="11266" width="63.109375" style="555" customWidth="1"/>
    <col min="11267" max="11267" width="9.109375" style="555"/>
    <col min="11268" max="11268" width="14.109375" style="555" customWidth="1"/>
    <col min="11269" max="11269" width="11.44140625" style="555" customWidth="1"/>
    <col min="11270" max="11270" width="11.5546875" style="555" customWidth="1"/>
    <col min="11271" max="11271" width="15.88671875" style="555" customWidth="1"/>
    <col min="11272" max="11272" width="18.6640625" style="555" customWidth="1"/>
    <col min="11273" max="11273" width="18.88671875" style="555" customWidth="1"/>
    <col min="11274" max="11521" width="9.109375" style="555"/>
    <col min="11522" max="11522" width="63.109375" style="555" customWidth="1"/>
    <col min="11523" max="11523" width="9.109375" style="555"/>
    <col min="11524" max="11524" width="14.109375" style="555" customWidth="1"/>
    <col min="11525" max="11525" width="11.44140625" style="555" customWidth="1"/>
    <col min="11526" max="11526" width="11.5546875" style="555" customWidth="1"/>
    <col min="11527" max="11527" width="15.88671875" style="555" customWidth="1"/>
    <col min="11528" max="11528" width="18.6640625" style="555" customWidth="1"/>
    <col min="11529" max="11529" width="18.88671875" style="555" customWidth="1"/>
    <col min="11530" max="11777" width="9.109375" style="555"/>
    <col min="11778" max="11778" width="63.109375" style="555" customWidth="1"/>
    <col min="11779" max="11779" width="9.109375" style="555"/>
    <col min="11780" max="11780" width="14.109375" style="555" customWidth="1"/>
    <col min="11781" max="11781" width="11.44140625" style="555" customWidth="1"/>
    <col min="11782" max="11782" width="11.5546875" style="555" customWidth="1"/>
    <col min="11783" max="11783" width="15.88671875" style="555" customWidth="1"/>
    <col min="11784" max="11784" width="18.6640625" style="555" customWidth="1"/>
    <col min="11785" max="11785" width="18.88671875" style="555" customWidth="1"/>
    <col min="11786" max="12033" width="9.109375" style="555"/>
    <col min="12034" max="12034" width="63.109375" style="555" customWidth="1"/>
    <col min="12035" max="12035" width="9.109375" style="555"/>
    <col min="12036" max="12036" width="14.109375" style="555" customWidth="1"/>
    <col min="12037" max="12037" width="11.44140625" style="555" customWidth="1"/>
    <col min="12038" max="12038" width="11.5546875" style="555" customWidth="1"/>
    <col min="12039" max="12039" width="15.88671875" style="555" customWidth="1"/>
    <col min="12040" max="12040" width="18.6640625" style="555" customWidth="1"/>
    <col min="12041" max="12041" width="18.88671875" style="555" customWidth="1"/>
    <col min="12042" max="12289" width="9.109375" style="555"/>
    <col min="12290" max="12290" width="63.109375" style="555" customWidth="1"/>
    <col min="12291" max="12291" width="9.109375" style="555"/>
    <col min="12292" max="12292" width="14.109375" style="555" customWidth="1"/>
    <col min="12293" max="12293" width="11.44140625" style="555" customWidth="1"/>
    <col min="12294" max="12294" width="11.5546875" style="555" customWidth="1"/>
    <col min="12295" max="12295" width="15.88671875" style="555" customWidth="1"/>
    <col min="12296" max="12296" width="18.6640625" style="555" customWidth="1"/>
    <col min="12297" max="12297" width="18.88671875" style="555" customWidth="1"/>
    <col min="12298" max="12545" width="9.109375" style="555"/>
    <col min="12546" max="12546" width="63.109375" style="555" customWidth="1"/>
    <col min="12547" max="12547" width="9.109375" style="555"/>
    <col min="12548" max="12548" width="14.109375" style="555" customWidth="1"/>
    <col min="12549" max="12549" width="11.44140625" style="555" customWidth="1"/>
    <col min="12550" max="12550" width="11.5546875" style="555" customWidth="1"/>
    <col min="12551" max="12551" width="15.88671875" style="555" customWidth="1"/>
    <col min="12552" max="12552" width="18.6640625" style="555" customWidth="1"/>
    <col min="12553" max="12553" width="18.88671875" style="555" customWidth="1"/>
    <col min="12554" max="12801" width="9.109375" style="555"/>
    <col min="12802" max="12802" width="63.109375" style="555" customWidth="1"/>
    <col min="12803" max="12803" width="9.109375" style="555"/>
    <col min="12804" max="12804" width="14.109375" style="555" customWidth="1"/>
    <col min="12805" max="12805" width="11.44140625" style="555" customWidth="1"/>
    <col min="12806" max="12806" width="11.5546875" style="555" customWidth="1"/>
    <col min="12807" max="12807" width="15.88671875" style="555" customWidth="1"/>
    <col min="12808" max="12808" width="18.6640625" style="555" customWidth="1"/>
    <col min="12809" max="12809" width="18.88671875" style="555" customWidth="1"/>
    <col min="12810" max="13057" width="9.109375" style="555"/>
    <col min="13058" max="13058" width="63.109375" style="555" customWidth="1"/>
    <col min="13059" max="13059" width="9.109375" style="555"/>
    <col min="13060" max="13060" width="14.109375" style="555" customWidth="1"/>
    <col min="13061" max="13061" width="11.44140625" style="555" customWidth="1"/>
    <col min="13062" max="13062" width="11.5546875" style="555" customWidth="1"/>
    <col min="13063" max="13063" width="15.88671875" style="555" customWidth="1"/>
    <col min="13064" max="13064" width="18.6640625" style="555" customWidth="1"/>
    <col min="13065" max="13065" width="18.88671875" style="555" customWidth="1"/>
    <col min="13066" max="13313" width="9.109375" style="555"/>
    <col min="13314" max="13314" width="63.109375" style="555" customWidth="1"/>
    <col min="13315" max="13315" width="9.109375" style="555"/>
    <col min="13316" max="13316" width="14.109375" style="555" customWidth="1"/>
    <col min="13317" max="13317" width="11.44140625" style="555" customWidth="1"/>
    <col min="13318" max="13318" width="11.5546875" style="555" customWidth="1"/>
    <col min="13319" max="13319" width="15.88671875" style="555" customWidth="1"/>
    <col min="13320" max="13320" width="18.6640625" style="555" customWidth="1"/>
    <col min="13321" max="13321" width="18.88671875" style="555" customWidth="1"/>
    <col min="13322" max="13569" width="9.109375" style="555"/>
    <col min="13570" max="13570" width="63.109375" style="555" customWidth="1"/>
    <col min="13571" max="13571" width="9.109375" style="555"/>
    <col min="13572" max="13572" width="14.109375" style="555" customWidth="1"/>
    <col min="13573" max="13573" width="11.44140625" style="555" customWidth="1"/>
    <col min="13574" max="13574" width="11.5546875" style="555" customWidth="1"/>
    <col min="13575" max="13575" width="15.88671875" style="555" customWidth="1"/>
    <col min="13576" max="13576" width="18.6640625" style="555" customWidth="1"/>
    <col min="13577" max="13577" width="18.88671875" style="555" customWidth="1"/>
    <col min="13578" max="13825" width="9.109375" style="555"/>
    <col min="13826" max="13826" width="63.109375" style="555" customWidth="1"/>
    <col min="13827" max="13827" width="9.109375" style="555"/>
    <col min="13828" max="13828" width="14.109375" style="555" customWidth="1"/>
    <col min="13829" max="13829" width="11.44140625" style="555" customWidth="1"/>
    <col min="13830" max="13830" width="11.5546875" style="555" customWidth="1"/>
    <col min="13831" max="13831" width="15.88671875" style="555" customWidth="1"/>
    <col min="13832" max="13832" width="18.6640625" style="555" customWidth="1"/>
    <col min="13833" max="13833" width="18.88671875" style="555" customWidth="1"/>
    <col min="13834" max="14081" width="9.109375" style="555"/>
    <col min="14082" max="14082" width="63.109375" style="555" customWidth="1"/>
    <col min="14083" max="14083" width="9.109375" style="555"/>
    <col min="14084" max="14084" width="14.109375" style="555" customWidth="1"/>
    <col min="14085" max="14085" width="11.44140625" style="555" customWidth="1"/>
    <col min="14086" max="14086" width="11.5546875" style="555" customWidth="1"/>
    <col min="14087" max="14087" width="15.88671875" style="555" customWidth="1"/>
    <col min="14088" max="14088" width="18.6640625" style="555" customWidth="1"/>
    <col min="14089" max="14089" width="18.88671875" style="555" customWidth="1"/>
    <col min="14090" max="14337" width="9.109375" style="555"/>
    <col min="14338" max="14338" width="63.109375" style="555" customWidth="1"/>
    <col min="14339" max="14339" width="9.109375" style="555"/>
    <col min="14340" max="14340" width="14.109375" style="555" customWidth="1"/>
    <col min="14341" max="14341" width="11.44140625" style="555" customWidth="1"/>
    <col min="14342" max="14342" width="11.5546875" style="555" customWidth="1"/>
    <col min="14343" max="14343" width="15.88671875" style="555" customWidth="1"/>
    <col min="14344" max="14344" width="18.6640625" style="555" customWidth="1"/>
    <col min="14345" max="14345" width="18.88671875" style="555" customWidth="1"/>
    <col min="14346" max="14593" width="9.109375" style="555"/>
    <col min="14594" max="14594" width="63.109375" style="555" customWidth="1"/>
    <col min="14595" max="14595" width="9.109375" style="555"/>
    <col min="14596" max="14596" width="14.109375" style="555" customWidth="1"/>
    <col min="14597" max="14597" width="11.44140625" style="555" customWidth="1"/>
    <col min="14598" max="14598" width="11.5546875" style="555" customWidth="1"/>
    <col min="14599" max="14599" width="15.88671875" style="555" customWidth="1"/>
    <col min="14600" max="14600" width="18.6640625" style="555" customWidth="1"/>
    <col min="14601" max="14601" width="18.88671875" style="555" customWidth="1"/>
    <col min="14602" max="14849" width="9.109375" style="555"/>
    <col min="14850" max="14850" width="63.109375" style="555" customWidth="1"/>
    <col min="14851" max="14851" width="9.109375" style="555"/>
    <col min="14852" max="14852" width="14.109375" style="555" customWidth="1"/>
    <col min="14853" max="14853" width="11.44140625" style="555" customWidth="1"/>
    <col min="14854" max="14854" width="11.5546875" style="555" customWidth="1"/>
    <col min="14855" max="14855" width="15.88671875" style="555" customWidth="1"/>
    <col min="14856" max="14856" width="18.6640625" style="555" customWidth="1"/>
    <col min="14857" max="14857" width="18.88671875" style="555" customWidth="1"/>
    <col min="14858" max="15105" width="9.109375" style="555"/>
    <col min="15106" max="15106" width="63.109375" style="555" customWidth="1"/>
    <col min="15107" max="15107" width="9.109375" style="555"/>
    <col min="15108" max="15108" width="14.109375" style="555" customWidth="1"/>
    <col min="15109" max="15109" width="11.44140625" style="555" customWidth="1"/>
    <col min="15110" max="15110" width="11.5546875" style="555" customWidth="1"/>
    <col min="15111" max="15111" width="15.88671875" style="555" customWidth="1"/>
    <col min="15112" max="15112" width="18.6640625" style="555" customWidth="1"/>
    <col min="15113" max="15113" width="18.88671875" style="555" customWidth="1"/>
    <col min="15114" max="15361" width="9.109375" style="555"/>
    <col min="15362" max="15362" width="63.109375" style="555" customWidth="1"/>
    <col min="15363" max="15363" width="9.109375" style="555"/>
    <col min="15364" max="15364" width="14.109375" style="555" customWidth="1"/>
    <col min="15365" max="15365" width="11.44140625" style="555" customWidth="1"/>
    <col min="15366" max="15366" width="11.5546875" style="555" customWidth="1"/>
    <col min="15367" max="15367" width="15.88671875" style="555" customWidth="1"/>
    <col min="15368" max="15368" width="18.6640625" style="555" customWidth="1"/>
    <col min="15369" max="15369" width="18.88671875" style="555" customWidth="1"/>
    <col min="15370" max="15617" width="9.109375" style="555"/>
    <col min="15618" max="15618" width="63.109375" style="555" customWidth="1"/>
    <col min="15619" max="15619" width="9.109375" style="555"/>
    <col min="15620" max="15620" width="14.109375" style="555" customWidth="1"/>
    <col min="15621" max="15621" width="11.44140625" style="555" customWidth="1"/>
    <col min="15622" max="15622" width="11.5546875" style="555" customWidth="1"/>
    <col min="15623" max="15623" width="15.88671875" style="555" customWidth="1"/>
    <col min="15624" max="15624" width="18.6640625" style="555" customWidth="1"/>
    <col min="15625" max="15625" width="18.88671875" style="555" customWidth="1"/>
    <col min="15626" max="15873" width="9.109375" style="555"/>
    <col min="15874" max="15874" width="63.109375" style="555" customWidth="1"/>
    <col min="15875" max="15875" width="9.109375" style="555"/>
    <col min="15876" max="15876" width="14.109375" style="555" customWidth="1"/>
    <col min="15877" max="15877" width="11.44140625" style="555" customWidth="1"/>
    <col min="15878" max="15878" width="11.5546875" style="555" customWidth="1"/>
    <col min="15879" max="15879" width="15.88671875" style="555" customWidth="1"/>
    <col min="15880" max="15880" width="18.6640625" style="555" customWidth="1"/>
    <col min="15881" max="15881" width="18.88671875" style="555" customWidth="1"/>
    <col min="15882" max="16129" width="9.109375" style="555"/>
    <col min="16130" max="16130" width="63.109375" style="555" customWidth="1"/>
    <col min="16131" max="16131" width="9.109375" style="555"/>
    <col min="16132" max="16132" width="14.109375" style="555" customWidth="1"/>
    <col min="16133" max="16133" width="11.44140625" style="555" customWidth="1"/>
    <col min="16134" max="16134" width="11.5546875" style="555" customWidth="1"/>
    <col min="16135" max="16135" width="15.88671875" style="555" customWidth="1"/>
    <col min="16136" max="16136" width="18.6640625" style="555" customWidth="1"/>
    <col min="16137" max="16137" width="18.88671875" style="555" customWidth="1"/>
    <col min="16138" max="16384" width="9.109375" style="555"/>
  </cols>
  <sheetData>
    <row r="1" spans="1:9" x14ac:dyDescent="0.3">
      <c r="A1" s="1506" t="s">
        <v>22</v>
      </c>
      <c r="B1" s="1507" t="s">
        <v>1</v>
      </c>
      <c r="C1" s="1508" t="s">
        <v>23</v>
      </c>
      <c r="D1" s="1509" t="s">
        <v>24</v>
      </c>
      <c r="E1" s="1505" t="s">
        <v>25</v>
      </c>
      <c r="F1" s="1505"/>
      <c r="G1" s="1505" t="s">
        <v>26</v>
      </c>
      <c r="H1" s="1505"/>
      <c r="I1" s="1505" t="s">
        <v>27</v>
      </c>
    </row>
    <row r="2" spans="1:9" x14ac:dyDescent="0.3">
      <c r="A2" s="1506"/>
      <c r="B2" s="1507"/>
      <c r="C2" s="1508"/>
      <c r="D2" s="1509"/>
      <c r="E2" s="556" t="s">
        <v>28</v>
      </c>
      <c r="F2" s="556" t="s">
        <v>29</v>
      </c>
      <c r="G2" s="556" t="s">
        <v>28</v>
      </c>
      <c r="H2" s="556" t="s">
        <v>30</v>
      </c>
      <c r="I2" s="1505"/>
    </row>
    <row r="3" spans="1:9" ht="15.65" thickBot="1" x14ac:dyDescent="0.35">
      <c r="A3" s="557" t="s">
        <v>32</v>
      </c>
      <c r="B3" s="558" t="s">
        <v>260</v>
      </c>
      <c r="C3" s="559"/>
      <c r="D3" s="560"/>
      <c r="E3" s="90"/>
      <c r="F3" s="90"/>
      <c r="G3" s="595">
        <f>SUM(G4,G16,G38,G59,G74,G103,G124:G140,G89)</f>
        <v>80959.623999999996</v>
      </c>
      <c r="H3" s="595">
        <f>SUM(H4,H16,H38,H59,H74,H103,H128:H140,H89,H124)</f>
        <v>474246.11409787199</v>
      </c>
      <c r="I3" s="595">
        <f>SUM(I4,I16,I38,I59,I74,I103,I127:I140,I124,I89)</f>
        <v>555205.73809787189</v>
      </c>
    </row>
    <row r="4" spans="1:9" s="565" customFormat="1" x14ac:dyDescent="0.3">
      <c r="A4" s="561" t="s">
        <v>282</v>
      </c>
      <c r="B4" s="562" t="s">
        <v>1628</v>
      </c>
      <c r="C4" s="563" t="s">
        <v>74</v>
      </c>
      <c r="D4" s="564">
        <f>D11</f>
        <v>4.0599999999999996</v>
      </c>
      <c r="E4" s="94"/>
      <c r="F4" s="94"/>
      <c r="G4" s="95">
        <f>SUM(G5:G15)</f>
        <v>1376.5440000000001</v>
      </c>
      <c r="H4" s="95">
        <f>SUM(H5:H15)</f>
        <v>13293.5956090688</v>
      </c>
      <c r="I4" s="95">
        <f>SUM(I5:I15)</f>
        <v>14670.139609068801</v>
      </c>
    </row>
    <row r="5" spans="1:9" x14ac:dyDescent="0.3">
      <c r="A5" s="566" t="s">
        <v>1629</v>
      </c>
      <c r="B5" s="567" t="s">
        <v>1630</v>
      </c>
      <c r="C5" s="568"/>
      <c r="D5" s="569"/>
      <c r="E5" s="98"/>
      <c r="F5" s="98"/>
      <c r="G5" s="99">
        <f t="shared" ref="G5:G15" si="0">D5*E5</f>
        <v>0</v>
      </c>
      <c r="H5" s="99">
        <f t="shared" ref="H5:H15" si="1">D5*F5</f>
        <v>0</v>
      </c>
      <c r="I5" s="99">
        <f t="shared" ref="I5:I15" si="2">G5+H5</f>
        <v>0</v>
      </c>
    </row>
    <row r="6" spans="1:9" x14ac:dyDescent="0.3">
      <c r="A6" s="570"/>
      <c r="B6" s="571" t="s">
        <v>1631</v>
      </c>
      <c r="C6" s="572" t="s">
        <v>62</v>
      </c>
      <c r="D6" s="569">
        <f>(2*4.19+2*2.03+2*1.9)*2/1000*1.04</f>
        <v>3.3779200000000002E-2</v>
      </c>
      <c r="E6" s="98">
        <v>15000</v>
      </c>
      <c r="F6" s="98">
        <v>45000</v>
      </c>
      <c r="G6" s="99">
        <f t="shared" si="0"/>
        <v>506.68800000000005</v>
      </c>
      <c r="H6" s="99">
        <f t="shared" si="1"/>
        <v>1520.0640000000001</v>
      </c>
      <c r="I6" s="99">
        <f t="shared" si="2"/>
        <v>2026.7520000000002</v>
      </c>
    </row>
    <row r="7" spans="1:9" x14ac:dyDescent="0.3">
      <c r="A7" s="570" t="s">
        <v>1632</v>
      </c>
      <c r="B7" s="573" t="s">
        <v>1633</v>
      </c>
      <c r="C7" s="572"/>
      <c r="D7" s="569"/>
      <c r="E7" s="98"/>
      <c r="F7" s="170"/>
      <c r="G7" s="99">
        <f t="shared" si="0"/>
        <v>0</v>
      </c>
      <c r="H7" s="99">
        <f t="shared" si="1"/>
        <v>0</v>
      </c>
      <c r="I7" s="99">
        <f t="shared" si="2"/>
        <v>0</v>
      </c>
    </row>
    <row r="8" spans="1:9" x14ac:dyDescent="0.3">
      <c r="A8" s="570"/>
      <c r="B8" s="571" t="s">
        <v>1631</v>
      </c>
      <c r="C8" s="572" t="s">
        <v>62</v>
      </c>
      <c r="D8" s="569">
        <f>(4*4.06+2*0.54+2*0.07)*2/1000*1.04</f>
        <v>3.6316800000000003E-2</v>
      </c>
      <c r="E8" s="98">
        <v>15000</v>
      </c>
      <c r="F8" s="170">
        <v>45000</v>
      </c>
      <c r="G8" s="99">
        <f t="shared" si="0"/>
        <v>544.75200000000007</v>
      </c>
      <c r="H8" s="99">
        <f t="shared" si="1"/>
        <v>1634.2560000000001</v>
      </c>
      <c r="I8" s="99">
        <f t="shared" si="2"/>
        <v>2179.0080000000003</v>
      </c>
    </row>
    <row r="9" spans="1:9" x14ac:dyDescent="0.3">
      <c r="A9" s="566" t="s">
        <v>1634</v>
      </c>
      <c r="B9" s="567" t="s">
        <v>1635</v>
      </c>
      <c r="C9" s="568" t="s">
        <v>44</v>
      </c>
      <c r="D9" s="569">
        <v>2</v>
      </c>
      <c r="E9" s="98"/>
      <c r="F9" s="170"/>
      <c r="G9" s="99">
        <f t="shared" si="0"/>
        <v>0</v>
      </c>
      <c r="H9" s="99">
        <f t="shared" si="1"/>
        <v>0</v>
      </c>
      <c r="I9" s="99">
        <f t="shared" si="2"/>
        <v>0</v>
      </c>
    </row>
    <row r="10" spans="1:9" x14ac:dyDescent="0.3">
      <c r="A10" s="570"/>
      <c r="B10" s="571" t="s">
        <v>1631</v>
      </c>
      <c r="C10" s="572" t="s">
        <v>62</v>
      </c>
      <c r="D10" s="569">
        <f>(1*2.03+1*1.97+1*0.69+1*0.32+1*0.2)*2*2/1000*1.04</f>
        <v>2.1673600000000001E-2</v>
      </c>
      <c r="E10" s="98">
        <v>15000</v>
      </c>
      <c r="F10" s="170">
        <v>45000</v>
      </c>
      <c r="G10" s="99">
        <f t="shared" si="0"/>
        <v>325.10400000000004</v>
      </c>
      <c r="H10" s="99">
        <f t="shared" si="1"/>
        <v>975.31200000000001</v>
      </c>
      <c r="I10" s="99">
        <f t="shared" si="2"/>
        <v>1300.4160000000002</v>
      </c>
    </row>
    <row r="11" spans="1:9" x14ac:dyDescent="0.3">
      <c r="A11" s="570" t="s">
        <v>1167</v>
      </c>
      <c r="B11" s="571" t="s">
        <v>1636</v>
      </c>
      <c r="C11" s="572" t="s">
        <v>74</v>
      </c>
      <c r="D11" s="569">
        <f>2.03*2</f>
        <v>4.0599999999999996</v>
      </c>
      <c r="E11" s="98"/>
      <c r="F11" s="170">
        <v>1567.45</v>
      </c>
      <c r="G11" s="99">
        <f t="shared" si="0"/>
        <v>0</v>
      </c>
      <c r="H11" s="99">
        <f t="shared" si="1"/>
        <v>6363.8469999999998</v>
      </c>
      <c r="I11" s="99">
        <f t="shared" si="2"/>
        <v>6363.8469999999998</v>
      </c>
    </row>
    <row r="12" spans="1:9" x14ac:dyDescent="0.3">
      <c r="A12" s="570" t="s">
        <v>1637</v>
      </c>
      <c r="B12" s="571" t="s">
        <v>1638</v>
      </c>
      <c r="C12" s="568" t="s">
        <v>44</v>
      </c>
      <c r="D12" s="569">
        <f>7*2</f>
        <v>14</v>
      </c>
      <c r="E12" s="98"/>
      <c r="F12" s="170">
        <v>178.5</v>
      </c>
      <c r="G12" s="99">
        <f t="shared" si="0"/>
        <v>0</v>
      </c>
      <c r="H12" s="99">
        <f t="shared" si="1"/>
        <v>2499</v>
      </c>
      <c r="I12" s="99">
        <f t="shared" si="2"/>
        <v>2499</v>
      </c>
    </row>
    <row r="13" spans="1:9" x14ac:dyDescent="0.3">
      <c r="A13" s="570" t="s">
        <v>1639</v>
      </c>
      <c r="B13" s="571" t="s">
        <v>1640</v>
      </c>
      <c r="C13" s="572" t="s">
        <v>44</v>
      </c>
      <c r="D13" s="569">
        <f>2*2</f>
        <v>4</v>
      </c>
      <c r="E13" s="98"/>
      <c r="F13" s="170">
        <v>50</v>
      </c>
      <c r="G13" s="99">
        <f t="shared" si="0"/>
        <v>0</v>
      </c>
      <c r="H13" s="99">
        <f t="shared" si="1"/>
        <v>200</v>
      </c>
      <c r="I13" s="99">
        <f t="shared" si="2"/>
        <v>200</v>
      </c>
    </row>
    <row r="14" spans="1:9" x14ac:dyDescent="0.3">
      <c r="A14" s="570" t="s">
        <v>1641</v>
      </c>
      <c r="B14" s="571" t="s">
        <v>294</v>
      </c>
      <c r="C14" s="572" t="s">
        <v>79</v>
      </c>
      <c r="D14" s="569">
        <f>3.89*2*(D6+D8+D10)</f>
        <v>0.71396748800000009</v>
      </c>
      <c r="E14" s="98"/>
      <c r="F14" s="170">
        <v>65</v>
      </c>
      <c r="G14" s="99">
        <f t="shared" si="0"/>
        <v>0</v>
      </c>
      <c r="H14" s="99">
        <f t="shared" si="1"/>
        <v>46.407886720000008</v>
      </c>
      <c r="I14" s="99">
        <f t="shared" si="2"/>
        <v>46.407886720000008</v>
      </c>
    </row>
    <row r="15" spans="1:9" x14ac:dyDescent="0.3">
      <c r="A15" s="570" t="s">
        <v>1642</v>
      </c>
      <c r="B15" s="571" t="s">
        <v>295</v>
      </c>
      <c r="C15" s="572" t="s">
        <v>79</v>
      </c>
      <c r="D15" s="569">
        <f>3.37*2*(D6+D8+D10)</f>
        <v>0.61852710400000011</v>
      </c>
      <c r="E15" s="98"/>
      <c r="F15" s="170">
        <v>88.45</v>
      </c>
      <c r="G15" s="99">
        <f t="shared" si="0"/>
        <v>0</v>
      </c>
      <c r="H15" s="99">
        <f t="shared" si="1"/>
        <v>54.708722348800009</v>
      </c>
      <c r="I15" s="99">
        <f t="shared" si="2"/>
        <v>54.708722348800009</v>
      </c>
    </row>
    <row r="16" spans="1:9" s="565" customFormat="1" x14ac:dyDescent="0.3">
      <c r="A16" s="574" t="s">
        <v>37</v>
      </c>
      <c r="B16" s="575" t="s">
        <v>1643</v>
      </c>
      <c r="C16" s="576" t="s">
        <v>74</v>
      </c>
      <c r="D16" s="564">
        <f>D33</f>
        <v>14.36</v>
      </c>
      <c r="E16" s="94"/>
      <c r="F16" s="145"/>
      <c r="G16" s="95">
        <f>SUM(G17:G37)</f>
        <v>5340.8159999999998</v>
      </c>
      <c r="H16" s="95">
        <f>SUM(H17:H37)</f>
        <v>50872.092008803207</v>
      </c>
      <c r="I16" s="95">
        <f>SUM(I17:I37)</f>
        <v>56212.908008803199</v>
      </c>
    </row>
    <row r="17" spans="1:9" x14ac:dyDescent="0.3">
      <c r="A17" s="570" t="s">
        <v>470</v>
      </c>
      <c r="B17" s="567" t="s">
        <v>1630</v>
      </c>
      <c r="C17" s="568"/>
      <c r="D17" s="569"/>
      <c r="E17" s="98"/>
      <c r="F17" s="170"/>
      <c r="G17" s="99">
        <f t="shared" ref="G17:G37" si="3">D17*E17</f>
        <v>0</v>
      </c>
      <c r="H17" s="99">
        <f t="shared" ref="H17:H37" si="4">D17*F17</f>
        <v>0</v>
      </c>
      <c r="I17" s="99">
        <f t="shared" ref="I17:I37" si="5">G17+H17</f>
        <v>0</v>
      </c>
    </row>
    <row r="18" spans="1:9" x14ac:dyDescent="0.3">
      <c r="A18" s="570"/>
      <c r="B18" s="571" t="s">
        <v>1631</v>
      </c>
      <c r="C18" s="572" t="s">
        <v>62</v>
      </c>
      <c r="D18" s="569">
        <f>(2*6.24+2*2.48+3*2.35+4*1.48)*2/1000*1.04</f>
        <v>6.3252800000000012E-2</v>
      </c>
      <c r="E18" s="98">
        <v>15000</v>
      </c>
      <c r="F18" s="170">
        <v>45000</v>
      </c>
      <c r="G18" s="99">
        <f t="shared" si="3"/>
        <v>948.79200000000014</v>
      </c>
      <c r="H18" s="99">
        <f t="shared" si="4"/>
        <v>2846.3760000000007</v>
      </c>
      <c r="I18" s="99">
        <f t="shared" si="5"/>
        <v>3795.1680000000006</v>
      </c>
    </row>
    <row r="19" spans="1:9" x14ac:dyDescent="0.3">
      <c r="A19" s="566" t="s">
        <v>472</v>
      </c>
      <c r="B19" s="573" t="s">
        <v>1633</v>
      </c>
      <c r="C19" s="572"/>
      <c r="D19" s="569"/>
      <c r="E19" s="98"/>
      <c r="F19" s="170"/>
      <c r="G19" s="99">
        <f t="shared" si="3"/>
        <v>0</v>
      </c>
      <c r="H19" s="99">
        <f t="shared" si="4"/>
        <v>0</v>
      </c>
      <c r="I19" s="99">
        <f t="shared" si="5"/>
        <v>0</v>
      </c>
    </row>
    <row r="20" spans="1:9" x14ac:dyDescent="0.3">
      <c r="A20" s="570"/>
      <c r="B20" s="571" t="s">
        <v>1644</v>
      </c>
      <c r="C20" s="572" t="s">
        <v>62</v>
      </c>
      <c r="D20" s="569">
        <f>(1*26.11)*2/1000*1.04</f>
        <v>5.4308799999999997E-2</v>
      </c>
      <c r="E20" s="98">
        <v>15000</v>
      </c>
      <c r="F20" s="170">
        <v>45000</v>
      </c>
      <c r="G20" s="99">
        <f t="shared" si="3"/>
        <v>814.63199999999995</v>
      </c>
      <c r="H20" s="99">
        <f t="shared" si="4"/>
        <v>2443.8959999999997</v>
      </c>
      <c r="I20" s="99">
        <f t="shared" si="5"/>
        <v>3258.5279999999998</v>
      </c>
    </row>
    <row r="21" spans="1:9" x14ac:dyDescent="0.3">
      <c r="A21" s="570"/>
      <c r="B21" s="571" t="s">
        <v>1645</v>
      </c>
      <c r="C21" s="572" t="s">
        <v>62</v>
      </c>
      <c r="D21" s="569">
        <f>(5*1.83)*2/1000*1.04</f>
        <v>1.9032E-2</v>
      </c>
      <c r="E21" s="98">
        <v>15000</v>
      </c>
      <c r="F21" s="170">
        <v>45000</v>
      </c>
      <c r="G21" s="99">
        <f t="shared" si="3"/>
        <v>285.48</v>
      </c>
      <c r="H21" s="99">
        <f t="shared" si="4"/>
        <v>856.44</v>
      </c>
      <c r="I21" s="99">
        <f t="shared" si="5"/>
        <v>1141.92</v>
      </c>
    </row>
    <row r="22" spans="1:9" x14ac:dyDescent="0.3">
      <c r="A22" s="570"/>
      <c r="B22" s="571" t="s">
        <v>722</v>
      </c>
      <c r="C22" s="572" t="s">
        <v>62</v>
      </c>
      <c r="D22" s="569">
        <f>(3*8.16+13*2.68)*2/1000*1.04</f>
        <v>0.12338560000000001</v>
      </c>
      <c r="E22" s="98">
        <v>15000</v>
      </c>
      <c r="F22" s="170">
        <v>41400</v>
      </c>
      <c r="G22" s="99">
        <f t="shared" si="3"/>
        <v>1850.7840000000001</v>
      </c>
      <c r="H22" s="99">
        <f t="shared" si="4"/>
        <v>5108.1638400000002</v>
      </c>
      <c r="I22" s="99">
        <f t="shared" si="5"/>
        <v>6958.9478400000007</v>
      </c>
    </row>
    <row r="23" spans="1:9" x14ac:dyDescent="0.3">
      <c r="A23" s="570"/>
      <c r="B23" s="571" t="s">
        <v>1646</v>
      </c>
      <c r="C23" s="572" t="s">
        <v>62</v>
      </c>
      <c r="D23" s="569">
        <f>(3*1.37+1*1.29+1*0.37+3*0.14)*2/1000*1.04</f>
        <v>1.2875200000000002E-2</v>
      </c>
      <c r="E23" s="98">
        <v>15000</v>
      </c>
      <c r="F23" s="170">
        <v>46000</v>
      </c>
      <c r="G23" s="99">
        <f t="shared" si="3"/>
        <v>193.12800000000001</v>
      </c>
      <c r="H23" s="99">
        <f t="shared" si="4"/>
        <v>592.25920000000008</v>
      </c>
      <c r="I23" s="99">
        <f t="shared" si="5"/>
        <v>785.38720000000012</v>
      </c>
    </row>
    <row r="24" spans="1:9" x14ac:dyDescent="0.3">
      <c r="A24" s="570"/>
      <c r="B24" s="571" t="s">
        <v>1647</v>
      </c>
      <c r="C24" s="572" t="s">
        <v>62</v>
      </c>
      <c r="D24" s="569">
        <f>(5*1.81)/1000*1.04</f>
        <v>9.412000000000002E-3</v>
      </c>
      <c r="E24" s="98">
        <v>15000</v>
      </c>
      <c r="F24" s="170">
        <v>55400</v>
      </c>
      <c r="G24" s="99">
        <f t="shared" si="3"/>
        <v>141.18000000000004</v>
      </c>
      <c r="H24" s="99">
        <f t="shared" si="4"/>
        <v>521.42480000000012</v>
      </c>
      <c r="I24" s="99">
        <f t="shared" si="5"/>
        <v>662.60480000000018</v>
      </c>
    </row>
    <row r="25" spans="1:9" x14ac:dyDescent="0.3">
      <c r="A25" s="570"/>
      <c r="B25" s="571" t="s">
        <v>1648</v>
      </c>
      <c r="C25" s="572" t="s">
        <v>62</v>
      </c>
      <c r="D25" s="569">
        <f>(1*1.11)/1000*1.04</f>
        <v>1.1544000000000001E-3</v>
      </c>
      <c r="E25" s="98">
        <v>15000</v>
      </c>
      <c r="F25" s="170">
        <v>55400</v>
      </c>
      <c r="G25" s="99">
        <f t="shared" si="3"/>
        <v>17.316000000000003</v>
      </c>
      <c r="H25" s="99">
        <f t="shared" si="4"/>
        <v>63.953760000000003</v>
      </c>
      <c r="I25" s="99">
        <f t="shared" si="5"/>
        <v>81.269760000000005</v>
      </c>
    </row>
    <row r="26" spans="1:9" x14ac:dyDescent="0.3">
      <c r="A26" s="570"/>
      <c r="B26" s="571" t="s">
        <v>1649</v>
      </c>
      <c r="C26" s="572" t="s">
        <v>62</v>
      </c>
      <c r="D26" s="569">
        <f>(2*0.25)/1000*1.04</f>
        <v>5.2000000000000006E-4</v>
      </c>
      <c r="E26" s="98">
        <v>15000</v>
      </c>
      <c r="F26" s="170">
        <v>54600</v>
      </c>
      <c r="G26" s="99">
        <f t="shared" si="3"/>
        <v>7.8000000000000007</v>
      </c>
      <c r="H26" s="99">
        <f t="shared" si="4"/>
        <v>28.392000000000003</v>
      </c>
      <c r="I26" s="99">
        <f t="shared" si="5"/>
        <v>36.192000000000007</v>
      </c>
    </row>
    <row r="27" spans="1:9" x14ac:dyDescent="0.3">
      <c r="A27" s="570" t="s">
        <v>474</v>
      </c>
      <c r="B27" s="567" t="s">
        <v>1635</v>
      </c>
      <c r="C27" s="568" t="s">
        <v>44</v>
      </c>
      <c r="D27" s="569">
        <v>3</v>
      </c>
      <c r="E27" s="98"/>
      <c r="F27" s="170"/>
      <c r="G27" s="99">
        <f t="shared" si="3"/>
        <v>0</v>
      </c>
      <c r="H27" s="99">
        <f t="shared" si="4"/>
        <v>0</v>
      </c>
      <c r="I27" s="99">
        <f t="shared" si="5"/>
        <v>0</v>
      </c>
    </row>
    <row r="28" spans="1:9" x14ac:dyDescent="0.3">
      <c r="A28" s="566"/>
      <c r="B28" s="571" t="s">
        <v>722</v>
      </c>
      <c r="C28" s="572" t="s">
        <v>62</v>
      </c>
      <c r="D28" s="569">
        <f>(1*3.27+1*3.13)*3*2/1000*1.04</f>
        <v>3.9936000000000006E-2</v>
      </c>
      <c r="E28" s="98">
        <v>15000</v>
      </c>
      <c r="F28" s="170">
        <v>41400</v>
      </c>
      <c r="G28" s="99">
        <f t="shared" si="3"/>
        <v>599.04000000000008</v>
      </c>
      <c r="H28" s="99">
        <f t="shared" si="4"/>
        <v>1653.3504000000003</v>
      </c>
      <c r="I28" s="99">
        <f t="shared" si="5"/>
        <v>2252.3904000000002</v>
      </c>
    </row>
    <row r="29" spans="1:9" x14ac:dyDescent="0.3">
      <c r="A29" s="566"/>
      <c r="B29" s="571" t="s">
        <v>1646</v>
      </c>
      <c r="C29" s="572" t="s">
        <v>62</v>
      </c>
      <c r="D29" s="569">
        <f>(1*1.58+1*0.45+1*0.42)*3*2/1000*1.04</f>
        <v>1.5288000000000001E-2</v>
      </c>
      <c r="E29" s="98">
        <v>15000</v>
      </c>
      <c r="F29" s="170">
        <v>46000</v>
      </c>
      <c r="G29" s="99">
        <f t="shared" si="3"/>
        <v>229.32000000000002</v>
      </c>
      <c r="H29" s="99">
        <f t="shared" si="4"/>
        <v>703.24800000000005</v>
      </c>
      <c r="I29" s="99">
        <f t="shared" si="5"/>
        <v>932.5680000000001</v>
      </c>
    </row>
    <row r="30" spans="1:9" x14ac:dyDescent="0.3">
      <c r="A30" s="570" t="s">
        <v>1650</v>
      </c>
      <c r="B30" s="567" t="s">
        <v>1651</v>
      </c>
      <c r="C30" s="568" t="s">
        <v>44</v>
      </c>
      <c r="D30" s="569">
        <v>1</v>
      </c>
      <c r="E30" s="98"/>
      <c r="F30" s="170"/>
      <c r="G30" s="99">
        <f t="shared" si="3"/>
        <v>0</v>
      </c>
      <c r="H30" s="99">
        <f t="shared" si="4"/>
        <v>0</v>
      </c>
      <c r="I30" s="99">
        <f t="shared" si="5"/>
        <v>0</v>
      </c>
    </row>
    <row r="31" spans="1:9" x14ac:dyDescent="0.3">
      <c r="A31" s="566"/>
      <c r="B31" s="571" t="s">
        <v>722</v>
      </c>
      <c r="C31" s="572" t="s">
        <v>62</v>
      </c>
      <c r="D31" s="569">
        <f>(1*3.27+1*3.13)*2/1000*1.04</f>
        <v>1.3312000000000001E-2</v>
      </c>
      <c r="E31" s="98">
        <v>15000</v>
      </c>
      <c r="F31" s="170">
        <v>41400</v>
      </c>
      <c r="G31" s="99">
        <f t="shared" si="3"/>
        <v>199.68</v>
      </c>
      <c r="H31" s="99">
        <f t="shared" si="4"/>
        <v>551.11680000000001</v>
      </c>
      <c r="I31" s="99">
        <f t="shared" si="5"/>
        <v>750.79680000000008</v>
      </c>
    </row>
    <row r="32" spans="1:9" x14ac:dyDescent="0.3">
      <c r="A32" s="566"/>
      <c r="B32" s="571" t="s">
        <v>1646</v>
      </c>
      <c r="C32" s="572" t="s">
        <v>62</v>
      </c>
      <c r="D32" s="569">
        <f>(1*0.85+1*0.45+1*0.42)*2/1000*1.04</f>
        <v>3.5776000000000002E-3</v>
      </c>
      <c r="E32" s="98">
        <v>15000</v>
      </c>
      <c r="F32" s="170">
        <v>46000</v>
      </c>
      <c r="G32" s="99">
        <f t="shared" si="3"/>
        <v>53.664000000000001</v>
      </c>
      <c r="H32" s="99">
        <f t="shared" si="4"/>
        <v>164.56960000000001</v>
      </c>
      <c r="I32" s="99">
        <f t="shared" si="5"/>
        <v>218.23360000000002</v>
      </c>
    </row>
    <row r="33" spans="1:9" x14ac:dyDescent="0.3">
      <c r="A33" s="566" t="s">
        <v>1652</v>
      </c>
      <c r="B33" s="571" t="s">
        <v>1636</v>
      </c>
      <c r="C33" s="572" t="s">
        <v>74</v>
      </c>
      <c r="D33" s="569">
        <f>7.18*2</f>
        <v>14.36</v>
      </c>
      <c r="E33" s="98"/>
      <c r="F33" s="170">
        <v>1567.45</v>
      </c>
      <c r="G33" s="99">
        <f t="shared" si="3"/>
        <v>0</v>
      </c>
      <c r="H33" s="99">
        <f t="shared" si="4"/>
        <v>22508.581999999999</v>
      </c>
      <c r="I33" s="99">
        <f t="shared" si="5"/>
        <v>22508.581999999999</v>
      </c>
    </row>
    <row r="34" spans="1:9" x14ac:dyDescent="0.3">
      <c r="A34" s="566" t="s">
        <v>1653</v>
      </c>
      <c r="B34" s="571" t="s">
        <v>1638</v>
      </c>
      <c r="C34" s="568" t="s">
        <v>44</v>
      </c>
      <c r="D34" s="569">
        <f>34*2</f>
        <v>68</v>
      </c>
      <c r="E34" s="98"/>
      <c r="F34" s="170">
        <v>178.5</v>
      </c>
      <c r="G34" s="99">
        <f t="shared" si="3"/>
        <v>0</v>
      </c>
      <c r="H34" s="99">
        <f t="shared" si="4"/>
        <v>12138</v>
      </c>
      <c r="I34" s="99">
        <f t="shared" si="5"/>
        <v>12138</v>
      </c>
    </row>
    <row r="35" spans="1:9" x14ac:dyDescent="0.3">
      <c r="A35" s="566" t="s">
        <v>1654</v>
      </c>
      <c r="B35" s="571" t="s">
        <v>1640</v>
      </c>
      <c r="C35" s="572" t="s">
        <v>44</v>
      </c>
      <c r="D35" s="569">
        <f>3*2</f>
        <v>6</v>
      </c>
      <c r="E35" s="98"/>
      <c r="F35" s="170">
        <v>50</v>
      </c>
      <c r="G35" s="99">
        <f t="shared" si="3"/>
        <v>0</v>
      </c>
      <c r="H35" s="99">
        <f t="shared" si="4"/>
        <v>300</v>
      </c>
      <c r="I35" s="99">
        <f t="shared" si="5"/>
        <v>300</v>
      </c>
    </row>
    <row r="36" spans="1:9" x14ac:dyDescent="0.3">
      <c r="A36" s="566" t="s">
        <v>1655</v>
      </c>
      <c r="B36" s="571" t="s">
        <v>294</v>
      </c>
      <c r="C36" s="572" t="s">
        <v>79</v>
      </c>
      <c r="D36" s="569">
        <f>3.89*2*(D18+D20+D21+D22+D23+D24+D25+D26+D28+D29+D31+D32)</f>
        <v>2.7701032320000003</v>
      </c>
      <c r="E36" s="98"/>
      <c r="F36" s="170">
        <v>65</v>
      </c>
      <c r="G36" s="99">
        <f t="shared" si="3"/>
        <v>0</v>
      </c>
      <c r="H36" s="99">
        <f t="shared" si="4"/>
        <v>180.05671008000002</v>
      </c>
      <c r="I36" s="99">
        <f t="shared" si="5"/>
        <v>180.05671008000002</v>
      </c>
    </row>
    <row r="37" spans="1:9" x14ac:dyDescent="0.3">
      <c r="A37" s="566" t="s">
        <v>1656</v>
      </c>
      <c r="B37" s="571" t="s">
        <v>295</v>
      </c>
      <c r="C37" s="572" t="s">
        <v>79</v>
      </c>
      <c r="D37" s="569">
        <f>3.37*2*(D18+D20+D21+D22+D23+D24+D25+D26+D28+D29+D31+D32)</f>
        <v>2.3998066560000004</v>
      </c>
      <c r="E37" s="98"/>
      <c r="F37" s="170">
        <v>88.45</v>
      </c>
      <c r="G37" s="99">
        <f t="shared" si="3"/>
        <v>0</v>
      </c>
      <c r="H37" s="99">
        <f t="shared" si="4"/>
        <v>212.26289872320004</v>
      </c>
      <c r="I37" s="99">
        <f t="shared" si="5"/>
        <v>212.26289872320004</v>
      </c>
    </row>
    <row r="38" spans="1:9" x14ac:dyDescent="0.3">
      <c r="A38" s="574" t="s">
        <v>495</v>
      </c>
      <c r="B38" s="562" t="s">
        <v>1657</v>
      </c>
      <c r="C38" s="572"/>
      <c r="D38" s="569"/>
      <c r="E38" s="98"/>
      <c r="F38" s="98"/>
      <c r="G38" s="95">
        <f>SUM(G39:G58)</f>
        <v>7387.0679999999993</v>
      </c>
      <c r="H38" s="95">
        <f>SUM(H39:H58)</f>
        <v>49203.846799999999</v>
      </c>
      <c r="I38" s="95">
        <f>SUM(I39:I58)</f>
        <v>56590.914799999999</v>
      </c>
    </row>
    <row r="39" spans="1:9" x14ac:dyDescent="0.3">
      <c r="A39" s="566" t="s">
        <v>1658</v>
      </c>
      <c r="B39" s="571" t="s">
        <v>1659</v>
      </c>
      <c r="C39" s="572" t="s">
        <v>62</v>
      </c>
      <c r="D39" s="569">
        <f>7*11.5/1000*1.04</f>
        <v>8.3720000000000003E-2</v>
      </c>
      <c r="E39" s="98">
        <v>15000</v>
      </c>
      <c r="F39" s="98">
        <v>62800</v>
      </c>
      <c r="G39" s="99">
        <f t="shared" ref="G39:G102" si="6">D39*E39</f>
        <v>1255.8</v>
      </c>
      <c r="H39" s="99">
        <f t="shared" ref="H39:H102" si="7">D39*F39</f>
        <v>5257.616</v>
      </c>
      <c r="I39" s="99">
        <f t="shared" ref="I39:I102" si="8">G39+H39</f>
        <v>6513.4160000000002</v>
      </c>
    </row>
    <row r="40" spans="1:9" x14ac:dyDescent="0.3">
      <c r="A40" s="566" t="s">
        <v>1660</v>
      </c>
      <c r="B40" s="571" t="s">
        <v>336</v>
      </c>
      <c r="C40" s="572" t="s">
        <v>62</v>
      </c>
      <c r="D40" s="569">
        <f>(25.37*5+5.1*4+4.62*4+2.18*11+0.92*7)/1000*1.04</f>
        <v>0.20399600000000001</v>
      </c>
      <c r="E40" s="98">
        <v>15000</v>
      </c>
      <c r="F40" s="98">
        <v>41800</v>
      </c>
      <c r="G40" s="99">
        <f t="shared" si="6"/>
        <v>3059.94</v>
      </c>
      <c r="H40" s="99">
        <f t="shared" si="7"/>
        <v>8527.0328000000009</v>
      </c>
      <c r="I40" s="99">
        <f t="shared" si="8"/>
        <v>11586.972800000001</v>
      </c>
    </row>
    <row r="41" spans="1:9" x14ac:dyDescent="0.3">
      <c r="A41" s="566" t="s">
        <v>1661</v>
      </c>
      <c r="B41" s="571" t="s">
        <v>1662</v>
      </c>
      <c r="C41" s="572" t="s">
        <v>62</v>
      </c>
      <c r="D41" s="569">
        <f>49.84*2/1000*1.04</f>
        <v>0.10366720000000001</v>
      </c>
      <c r="E41" s="98">
        <v>15000</v>
      </c>
      <c r="F41" s="98">
        <v>41400</v>
      </c>
      <c r="G41" s="99">
        <f t="shared" si="6"/>
        <v>1555.0080000000003</v>
      </c>
      <c r="H41" s="99">
        <f t="shared" si="7"/>
        <v>4291.8220800000008</v>
      </c>
      <c r="I41" s="99">
        <f t="shared" si="8"/>
        <v>5846.8300800000015</v>
      </c>
    </row>
    <row r="42" spans="1:9" x14ac:dyDescent="0.3">
      <c r="A42" s="566" t="s">
        <v>1663</v>
      </c>
      <c r="B42" s="571" t="s">
        <v>1664</v>
      </c>
      <c r="C42" s="572" t="s">
        <v>62</v>
      </c>
      <c r="D42" s="569">
        <f>3*17.08/1000*1.04</f>
        <v>5.3289599999999993E-2</v>
      </c>
      <c r="E42" s="98">
        <v>15000</v>
      </c>
      <c r="F42" s="98">
        <v>41800</v>
      </c>
      <c r="G42" s="99">
        <f t="shared" si="6"/>
        <v>799.34399999999994</v>
      </c>
      <c r="H42" s="99">
        <f t="shared" si="7"/>
        <v>2227.5052799999999</v>
      </c>
      <c r="I42" s="99">
        <f t="shared" si="8"/>
        <v>3026.8492799999999</v>
      </c>
    </row>
    <row r="43" spans="1:9" x14ac:dyDescent="0.3">
      <c r="A43" s="566" t="s">
        <v>1665</v>
      </c>
      <c r="B43" s="571" t="s">
        <v>1631</v>
      </c>
      <c r="C43" s="572" t="s">
        <v>62</v>
      </c>
      <c r="D43" s="569">
        <f>13.05/1000*1.04</f>
        <v>1.3572000000000001E-2</v>
      </c>
      <c r="E43" s="98">
        <v>15000</v>
      </c>
      <c r="F43" s="98">
        <v>45000</v>
      </c>
      <c r="G43" s="99">
        <f t="shared" si="6"/>
        <v>203.58</v>
      </c>
      <c r="H43" s="99">
        <f t="shared" si="7"/>
        <v>610.74</v>
      </c>
      <c r="I43" s="99">
        <f t="shared" si="8"/>
        <v>814.32</v>
      </c>
    </row>
    <row r="44" spans="1:9" x14ac:dyDescent="0.3">
      <c r="A44" s="566" t="s">
        <v>1666</v>
      </c>
      <c r="B44" s="571" t="s">
        <v>1667</v>
      </c>
      <c r="C44" s="572" t="s">
        <v>62</v>
      </c>
      <c r="D44" s="569">
        <f>(2*1.54+2*4.52+7*2.97)/1000*1.04</f>
        <v>3.4226400000000004E-2</v>
      </c>
      <c r="E44" s="98">
        <v>15000</v>
      </c>
      <c r="F44" s="98">
        <v>45100</v>
      </c>
      <c r="G44" s="99">
        <f t="shared" si="6"/>
        <v>513.39600000000007</v>
      </c>
      <c r="H44" s="99">
        <f t="shared" si="7"/>
        <v>1543.6106400000001</v>
      </c>
      <c r="I44" s="99">
        <f t="shared" si="8"/>
        <v>2057.0066400000001</v>
      </c>
    </row>
    <row r="45" spans="1:9" x14ac:dyDescent="0.3">
      <c r="A45" s="566" t="s">
        <v>1668</v>
      </c>
      <c r="B45" s="571" t="s">
        <v>1669</v>
      </c>
      <c r="C45" s="568" t="s">
        <v>44</v>
      </c>
      <c r="D45" s="569">
        <v>8</v>
      </c>
      <c r="E45" s="98"/>
      <c r="F45" s="170">
        <v>178.5</v>
      </c>
      <c r="G45" s="99">
        <f t="shared" si="6"/>
        <v>0</v>
      </c>
      <c r="H45" s="99">
        <f t="shared" si="7"/>
        <v>1428</v>
      </c>
      <c r="I45" s="99">
        <f t="shared" si="8"/>
        <v>1428</v>
      </c>
    </row>
    <row r="46" spans="1:9" x14ac:dyDescent="0.3">
      <c r="A46" s="566" t="s">
        <v>1670</v>
      </c>
      <c r="B46" s="571" t="s">
        <v>1671</v>
      </c>
      <c r="C46" s="572" t="s">
        <v>44</v>
      </c>
      <c r="D46" s="569">
        <f>28</f>
        <v>28</v>
      </c>
      <c r="E46" s="98"/>
      <c r="F46" s="98">
        <v>180</v>
      </c>
      <c r="G46" s="99">
        <f t="shared" si="6"/>
        <v>0</v>
      </c>
      <c r="H46" s="99">
        <f t="shared" si="7"/>
        <v>5040</v>
      </c>
      <c r="I46" s="99">
        <f t="shared" si="8"/>
        <v>5040</v>
      </c>
    </row>
    <row r="47" spans="1:9" x14ac:dyDescent="0.3">
      <c r="A47" s="566" t="s">
        <v>1672</v>
      </c>
      <c r="B47" s="571" t="s">
        <v>1673</v>
      </c>
      <c r="C47" s="572" t="s">
        <v>74</v>
      </c>
      <c r="D47" s="569">
        <f>6.61</f>
        <v>6.61</v>
      </c>
      <c r="E47" s="98"/>
      <c r="F47" s="98">
        <v>588</v>
      </c>
      <c r="G47" s="99">
        <f t="shared" si="6"/>
        <v>0</v>
      </c>
      <c r="H47" s="99">
        <f t="shared" si="7"/>
        <v>3886.6800000000003</v>
      </c>
      <c r="I47" s="99">
        <f t="shared" si="8"/>
        <v>3886.6800000000003</v>
      </c>
    </row>
    <row r="48" spans="1:9" x14ac:dyDescent="0.3">
      <c r="A48" s="566" t="s">
        <v>1674</v>
      </c>
      <c r="B48" s="571" t="s">
        <v>729</v>
      </c>
      <c r="C48" s="572" t="s">
        <v>74</v>
      </c>
      <c r="D48" s="569">
        <f>14.96</f>
        <v>14.96</v>
      </c>
      <c r="E48" s="98"/>
      <c r="F48" s="98">
        <v>829</v>
      </c>
      <c r="G48" s="99">
        <f t="shared" si="6"/>
        <v>0</v>
      </c>
      <c r="H48" s="99">
        <f t="shared" si="7"/>
        <v>12401.84</v>
      </c>
      <c r="I48" s="99">
        <f t="shared" si="8"/>
        <v>12401.84</v>
      </c>
    </row>
    <row r="49" spans="1:9" x14ac:dyDescent="0.3">
      <c r="A49" s="566"/>
      <c r="B49" s="577" t="s">
        <v>1675</v>
      </c>
      <c r="C49" s="572"/>
      <c r="D49" s="569"/>
      <c r="E49" s="98"/>
      <c r="F49" s="98"/>
      <c r="G49" s="99">
        <f t="shared" si="6"/>
        <v>0</v>
      </c>
      <c r="H49" s="99">
        <f t="shared" si="7"/>
        <v>0</v>
      </c>
      <c r="I49" s="99">
        <f t="shared" si="8"/>
        <v>0</v>
      </c>
    </row>
    <row r="50" spans="1:9" x14ac:dyDescent="0.3">
      <c r="A50" s="578"/>
      <c r="B50" s="579" t="s">
        <v>1676</v>
      </c>
      <c r="C50" s="629" t="s">
        <v>44</v>
      </c>
      <c r="D50" s="630">
        <v>2</v>
      </c>
      <c r="E50" s="582"/>
      <c r="F50" s="98">
        <v>555</v>
      </c>
      <c r="G50" s="99">
        <f t="shared" si="6"/>
        <v>0</v>
      </c>
      <c r="H50" s="99">
        <f t="shared" si="7"/>
        <v>1110</v>
      </c>
      <c r="I50" s="99">
        <f t="shared" si="8"/>
        <v>1110</v>
      </c>
    </row>
    <row r="51" spans="1:9" x14ac:dyDescent="0.3">
      <c r="A51" s="578"/>
      <c r="B51" s="579" t="s">
        <v>1677</v>
      </c>
      <c r="C51" s="629" t="s">
        <v>44</v>
      </c>
      <c r="D51" s="630">
        <v>1</v>
      </c>
      <c r="E51" s="582"/>
      <c r="F51" s="98">
        <v>550</v>
      </c>
      <c r="G51" s="99">
        <f t="shared" si="6"/>
        <v>0</v>
      </c>
      <c r="H51" s="99">
        <f t="shared" si="7"/>
        <v>550</v>
      </c>
      <c r="I51" s="99">
        <f t="shared" si="8"/>
        <v>550</v>
      </c>
    </row>
    <row r="52" spans="1:9" x14ac:dyDescent="0.3">
      <c r="A52" s="578"/>
      <c r="B52" s="579" t="s">
        <v>1678</v>
      </c>
      <c r="C52" s="580" t="s">
        <v>44</v>
      </c>
      <c r="D52" s="581">
        <f>D50*4</f>
        <v>8</v>
      </c>
      <c r="E52" s="582"/>
      <c r="F52" s="98">
        <v>38</v>
      </c>
      <c r="G52" s="99">
        <f t="shared" si="6"/>
        <v>0</v>
      </c>
      <c r="H52" s="99">
        <f t="shared" si="7"/>
        <v>304</v>
      </c>
      <c r="I52" s="99">
        <f t="shared" si="8"/>
        <v>304</v>
      </c>
    </row>
    <row r="53" spans="1:9" x14ac:dyDescent="0.3">
      <c r="A53" s="578"/>
      <c r="B53" s="579" t="s">
        <v>1679</v>
      </c>
      <c r="C53" s="580" t="s">
        <v>44</v>
      </c>
      <c r="D53" s="581">
        <v>1</v>
      </c>
      <c r="E53" s="582"/>
      <c r="F53" s="98">
        <v>96</v>
      </c>
      <c r="G53" s="99">
        <f t="shared" si="6"/>
        <v>0</v>
      </c>
      <c r="H53" s="99">
        <f t="shared" si="7"/>
        <v>96</v>
      </c>
      <c r="I53" s="99">
        <f t="shared" si="8"/>
        <v>96</v>
      </c>
    </row>
    <row r="54" spans="1:9" x14ac:dyDescent="0.3">
      <c r="A54" s="578"/>
      <c r="B54" s="579" t="s">
        <v>1680</v>
      </c>
      <c r="C54" s="580" t="s">
        <v>44</v>
      </c>
      <c r="D54" s="581">
        <f>2*D51</f>
        <v>2</v>
      </c>
      <c r="E54" s="582"/>
      <c r="F54" s="98">
        <v>140</v>
      </c>
      <c r="G54" s="99">
        <f t="shared" si="6"/>
        <v>0</v>
      </c>
      <c r="H54" s="99">
        <f t="shared" si="7"/>
        <v>280</v>
      </c>
      <c r="I54" s="99">
        <f t="shared" si="8"/>
        <v>280</v>
      </c>
    </row>
    <row r="55" spans="1:9" x14ac:dyDescent="0.3">
      <c r="A55" s="578"/>
      <c r="B55" s="579" t="s">
        <v>1681</v>
      </c>
      <c r="C55" s="580" t="s">
        <v>44</v>
      </c>
      <c r="D55" s="581">
        <v>2</v>
      </c>
      <c r="E55" s="582"/>
      <c r="F55" s="98">
        <v>360</v>
      </c>
      <c r="G55" s="99">
        <f t="shared" si="6"/>
        <v>0</v>
      </c>
      <c r="H55" s="99">
        <f t="shared" si="7"/>
        <v>720</v>
      </c>
      <c r="I55" s="99">
        <f t="shared" si="8"/>
        <v>720</v>
      </c>
    </row>
    <row r="56" spans="1:9" x14ac:dyDescent="0.3">
      <c r="A56" s="578"/>
      <c r="B56" s="579" t="s">
        <v>1682</v>
      </c>
      <c r="C56" s="580" t="s">
        <v>44</v>
      </c>
      <c r="D56" s="581">
        <v>1</v>
      </c>
      <c r="E56" s="582"/>
      <c r="F56" s="98">
        <v>650</v>
      </c>
      <c r="G56" s="99">
        <f t="shared" si="6"/>
        <v>0</v>
      </c>
      <c r="H56" s="99">
        <f t="shared" si="7"/>
        <v>650</v>
      </c>
      <c r="I56" s="99">
        <f t="shared" si="8"/>
        <v>650</v>
      </c>
    </row>
    <row r="57" spans="1:9" x14ac:dyDescent="0.3">
      <c r="A57" s="578"/>
      <c r="B57" s="579" t="s">
        <v>1683</v>
      </c>
      <c r="C57" s="580" t="s">
        <v>44</v>
      </c>
      <c r="D57" s="581">
        <v>2</v>
      </c>
      <c r="E57" s="582"/>
      <c r="F57" s="98">
        <v>93</v>
      </c>
      <c r="G57" s="99">
        <f t="shared" si="6"/>
        <v>0</v>
      </c>
      <c r="H57" s="99">
        <f t="shared" si="7"/>
        <v>186</v>
      </c>
      <c r="I57" s="99">
        <f t="shared" si="8"/>
        <v>186</v>
      </c>
    </row>
    <row r="58" spans="1:9" x14ac:dyDescent="0.3">
      <c r="A58" s="578"/>
      <c r="B58" s="579" t="s">
        <v>1684</v>
      </c>
      <c r="C58" s="580" t="s">
        <v>44</v>
      </c>
      <c r="D58" s="581">
        <v>1</v>
      </c>
      <c r="E58" s="582"/>
      <c r="F58" s="98">
        <v>93</v>
      </c>
      <c r="G58" s="99">
        <f t="shared" si="6"/>
        <v>0</v>
      </c>
      <c r="H58" s="99">
        <f t="shared" si="7"/>
        <v>93</v>
      </c>
      <c r="I58" s="99">
        <f t="shared" si="8"/>
        <v>93</v>
      </c>
    </row>
    <row r="59" spans="1:9" x14ac:dyDescent="0.3">
      <c r="A59" s="574" t="s">
        <v>1685</v>
      </c>
      <c r="B59" s="562" t="s">
        <v>1686</v>
      </c>
      <c r="C59" s="572"/>
      <c r="D59" s="569"/>
      <c r="E59" s="98"/>
      <c r="F59" s="98"/>
      <c r="G59" s="95">
        <f>SUM(G60:G73)</f>
        <v>1765.7639999999999</v>
      </c>
      <c r="H59" s="95">
        <f>SUM(H60:H73)</f>
        <v>15153.931680000002</v>
      </c>
      <c r="I59" s="95">
        <f>SUM(I60:I73)</f>
        <v>16919.695680000001</v>
      </c>
    </row>
    <row r="60" spans="1:9" x14ac:dyDescent="0.3">
      <c r="A60" s="566" t="s">
        <v>1687</v>
      </c>
      <c r="B60" s="571" t="s">
        <v>1659</v>
      </c>
      <c r="C60" s="572" t="s">
        <v>62</v>
      </c>
      <c r="D60" s="569">
        <f>2.68*5/1000*1.04</f>
        <v>1.3936E-2</v>
      </c>
      <c r="E60" s="98">
        <v>15000</v>
      </c>
      <c r="F60" s="98">
        <v>62800</v>
      </c>
      <c r="G60" s="99">
        <f t="shared" si="6"/>
        <v>209.04000000000002</v>
      </c>
      <c r="H60" s="99">
        <f t="shared" si="7"/>
        <v>875.18079999999998</v>
      </c>
      <c r="I60" s="99">
        <f t="shared" si="8"/>
        <v>1084.2208000000001</v>
      </c>
    </row>
    <row r="61" spans="1:9" x14ac:dyDescent="0.3">
      <c r="A61" s="566" t="s">
        <v>1688</v>
      </c>
      <c r="B61" s="571" t="s">
        <v>336</v>
      </c>
      <c r="C61" s="572" t="s">
        <v>62</v>
      </c>
      <c r="D61" s="569">
        <f>(2*0.44+5*0.93+2*1.74+3*2.52+7*2.18+5.67*2+14.13*2+14.18*2)/1000*1.04</f>
        <v>0.1037816</v>
      </c>
      <c r="E61" s="98">
        <v>15000</v>
      </c>
      <c r="F61" s="98">
        <v>41800</v>
      </c>
      <c r="G61" s="99">
        <f t="shared" si="6"/>
        <v>1556.7239999999999</v>
      </c>
      <c r="H61" s="99">
        <f t="shared" si="7"/>
        <v>4338.0708800000002</v>
      </c>
      <c r="I61" s="99">
        <f t="shared" si="8"/>
        <v>5894.7948800000004</v>
      </c>
    </row>
    <row r="62" spans="1:9" x14ac:dyDescent="0.3">
      <c r="A62" s="566" t="s">
        <v>1689</v>
      </c>
      <c r="B62" s="571" t="s">
        <v>1671</v>
      </c>
      <c r="C62" s="572" t="s">
        <v>44</v>
      </c>
      <c r="D62" s="569">
        <v>28</v>
      </c>
      <c r="E62" s="98"/>
      <c r="F62" s="98">
        <v>180</v>
      </c>
      <c r="G62" s="99">
        <f t="shared" si="6"/>
        <v>0</v>
      </c>
      <c r="H62" s="99">
        <f t="shared" si="7"/>
        <v>5040</v>
      </c>
      <c r="I62" s="99">
        <f t="shared" si="8"/>
        <v>5040</v>
      </c>
    </row>
    <row r="63" spans="1:9" x14ac:dyDescent="0.3">
      <c r="A63" s="566" t="s">
        <v>1690</v>
      </c>
      <c r="B63" s="571" t="s">
        <v>1673</v>
      </c>
      <c r="C63" s="572" t="s">
        <v>74</v>
      </c>
      <c r="D63" s="569">
        <v>0.86</v>
      </c>
      <c r="E63" s="98"/>
      <c r="F63" s="98">
        <v>588</v>
      </c>
      <c r="G63" s="99">
        <f t="shared" si="6"/>
        <v>0</v>
      </c>
      <c r="H63" s="99">
        <f t="shared" si="7"/>
        <v>505.68</v>
      </c>
      <c r="I63" s="99">
        <f t="shared" si="8"/>
        <v>505.68</v>
      </c>
    </row>
    <row r="64" spans="1:9" x14ac:dyDescent="0.3">
      <c r="A64" s="566"/>
      <c r="B64" s="577" t="s">
        <v>1675</v>
      </c>
      <c r="C64" s="583"/>
      <c r="D64" s="584"/>
      <c r="E64" s="98"/>
      <c r="F64" s="98"/>
      <c r="G64" s="99">
        <f t="shared" si="6"/>
        <v>0</v>
      </c>
      <c r="H64" s="99">
        <f t="shared" si="7"/>
        <v>0</v>
      </c>
      <c r="I64" s="99">
        <f t="shared" si="8"/>
        <v>0</v>
      </c>
    </row>
    <row r="65" spans="1:9" x14ac:dyDescent="0.3">
      <c r="A65" s="578"/>
      <c r="B65" s="579" t="s">
        <v>1676</v>
      </c>
      <c r="C65" s="629" t="s">
        <v>44</v>
      </c>
      <c r="D65" s="629">
        <v>2</v>
      </c>
      <c r="E65" s="582"/>
      <c r="F65" s="98">
        <v>555</v>
      </c>
      <c r="G65" s="99">
        <f>D65*E65</f>
        <v>0</v>
      </c>
      <c r="H65" s="99">
        <f t="shared" si="7"/>
        <v>1110</v>
      </c>
      <c r="I65" s="99">
        <f t="shared" si="8"/>
        <v>1110</v>
      </c>
    </row>
    <row r="66" spans="1:9" x14ac:dyDescent="0.3">
      <c r="A66" s="578"/>
      <c r="B66" s="579" t="s">
        <v>1677</v>
      </c>
      <c r="C66" s="629" t="s">
        <v>44</v>
      </c>
      <c r="D66" s="629">
        <v>1</v>
      </c>
      <c r="E66" s="582"/>
      <c r="F66" s="98">
        <v>550</v>
      </c>
      <c r="G66" s="99">
        <f>D66*E66</f>
        <v>0</v>
      </c>
      <c r="H66" s="99">
        <f t="shared" si="7"/>
        <v>550</v>
      </c>
      <c r="I66" s="99">
        <f t="shared" si="8"/>
        <v>550</v>
      </c>
    </row>
    <row r="67" spans="1:9" x14ac:dyDescent="0.3">
      <c r="A67" s="578"/>
      <c r="B67" s="579" t="s">
        <v>1679</v>
      </c>
      <c r="C67" s="580" t="s">
        <v>44</v>
      </c>
      <c r="D67" s="581">
        <v>1</v>
      </c>
      <c r="E67" s="582"/>
      <c r="F67" s="98">
        <v>38</v>
      </c>
      <c r="G67" s="99">
        <f t="shared" si="6"/>
        <v>0</v>
      </c>
      <c r="H67" s="99">
        <f t="shared" si="7"/>
        <v>38</v>
      </c>
      <c r="I67" s="99">
        <f t="shared" si="8"/>
        <v>38</v>
      </c>
    </row>
    <row r="68" spans="1:9" x14ac:dyDescent="0.3">
      <c r="A68" s="578"/>
      <c r="B68" s="579" t="s">
        <v>1678</v>
      </c>
      <c r="C68" s="580" t="s">
        <v>44</v>
      </c>
      <c r="D68" s="580">
        <f>D65*4</f>
        <v>8</v>
      </c>
      <c r="E68" s="582"/>
      <c r="F68" s="98">
        <v>96</v>
      </c>
      <c r="G68" s="99">
        <f t="shared" si="6"/>
        <v>0</v>
      </c>
      <c r="H68" s="99">
        <f t="shared" si="7"/>
        <v>768</v>
      </c>
      <c r="I68" s="99">
        <f t="shared" si="8"/>
        <v>768</v>
      </c>
    </row>
    <row r="69" spans="1:9" x14ac:dyDescent="0.3">
      <c r="A69" s="578"/>
      <c r="B69" s="579" t="s">
        <v>1680</v>
      </c>
      <c r="C69" s="580" t="s">
        <v>44</v>
      </c>
      <c r="D69" s="580">
        <f>D66*2</f>
        <v>2</v>
      </c>
      <c r="E69" s="582"/>
      <c r="F69" s="98">
        <v>140</v>
      </c>
      <c r="G69" s="99">
        <f t="shared" si="6"/>
        <v>0</v>
      </c>
      <c r="H69" s="99">
        <f t="shared" si="7"/>
        <v>280</v>
      </c>
      <c r="I69" s="99">
        <f t="shared" si="8"/>
        <v>280</v>
      </c>
    </row>
    <row r="70" spans="1:9" x14ac:dyDescent="0.3">
      <c r="A70" s="578"/>
      <c r="B70" s="579" t="s">
        <v>1681</v>
      </c>
      <c r="C70" s="580" t="s">
        <v>44</v>
      </c>
      <c r="D70" s="580">
        <v>2</v>
      </c>
      <c r="E70" s="582"/>
      <c r="F70" s="98">
        <v>360</v>
      </c>
      <c r="G70" s="99">
        <f t="shared" si="6"/>
        <v>0</v>
      </c>
      <c r="H70" s="99">
        <f t="shared" si="7"/>
        <v>720</v>
      </c>
      <c r="I70" s="99">
        <f t="shared" si="8"/>
        <v>720</v>
      </c>
    </row>
    <row r="71" spans="1:9" x14ac:dyDescent="0.3">
      <c r="A71" s="578"/>
      <c r="B71" s="579" t="s">
        <v>1682</v>
      </c>
      <c r="C71" s="580" t="s">
        <v>44</v>
      </c>
      <c r="D71" s="580">
        <v>1</v>
      </c>
      <c r="E71" s="582"/>
      <c r="F71" s="98">
        <v>650</v>
      </c>
      <c r="G71" s="99">
        <f t="shared" si="6"/>
        <v>0</v>
      </c>
      <c r="H71" s="99">
        <f t="shared" si="7"/>
        <v>650</v>
      </c>
      <c r="I71" s="99">
        <f t="shared" si="8"/>
        <v>650</v>
      </c>
    </row>
    <row r="72" spans="1:9" x14ac:dyDescent="0.3">
      <c r="A72" s="578"/>
      <c r="B72" s="579" t="s">
        <v>1683</v>
      </c>
      <c r="C72" s="580" t="s">
        <v>44</v>
      </c>
      <c r="D72" s="580">
        <v>2</v>
      </c>
      <c r="E72" s="582"/>
      <c r="F72" s="98">
        <v>93</v>
      </c>
      <c r="G72" s="99">
        <f t="shared" si="6"/>
        <v>0</v>
      </c>
      <c r="H72" s="99">
        <f t="shared" si="7"/>
        <v>186</v>
      </c>
      <c r="I72" s="99">
        <f t="shared" si="8"/>
        <v>186</v>
      </c>
    </row>
    <row r="73" spans="1:9" x14ac:dyDescent="0.3">
      <c r="A73" s="578"/>
      <c r="B73" s="579" t="s">
        <v>1684</v>
      </c>
      <c r="C73" s="580" t="s">
        <v>44</v>
      </c>
      <c r="D73" s="580">
        <v>1</v>
      </c>
      <c r="E73" s="582"/>
      <c r="F73" s="98">
        <v>93</v>
      </c>
      <c r="G73" s="99">
        <f t="shared" si="6"/>
        <v>0</v>
      </c>
      <c r="H73" s="99">
        <f t="shared" si="7"/>
        <v>93</v>
      </c>
      <c r="I73" s="99">
        <f t="shared" si="8"/>
        <v>93</v>
      </c>
    </row>
    <row r="74" spans="1:9" x14ac:dyDescent="0.3">
      <c r="A74" s="574" t="s">
        <v>1691</v>
      </c>
      <c r="B74" s="585" t="s">
        <v>1692</v>
      </c>
      <c r="C74" s="583"/>
      <c r="D74" s="584"/>
      <c r="E74" s="98"/>
      <c r="F74" s="98"/>
      <c r="G74" s="95">
        <f>SUM(G75:G88)</f>
        <v>7830.1080000000002</v>
      </c>
      <c r="H74" s="95">
        <f>SUM(H75:H88)</f>
        <v>62087.389439999999</v>
      </c>
      <c r="I74" s="95">
        <f>SUM(I75:I88)</f>
        <v>69917.497440000006</v>
      </c>
    </row>
    <row r="75" spans="1:9" x14ac:dyDescent="0.3">
      <c r="A75" s="566" t="s">
        <v>1693</v>
      </c>
      <c r="B75" s="571" t="s">
        <v>1659</v>
      </c>
      <c r="C75" s="572" t="s">
        <v>62</v>
      </c>
      <c r="D75" s="569">
        <f>(11*15.02+4*6.3)/1000*1.04</f>
        <v>0.19803679999999999</v>
      </c>
      <c r="E75" s="98">
        <v>15000</v>
      </c>
      <c r="F75" s="98">
        <v>62800</v>
      </c>
      <c r="G75" s="99">
        <f t="shared" si="6"/>
        <v>2970.5519999999997</v>
      </c>
      <c r="H75" s="99">
        <f t="shared" si="7"/>
        <v>12436.711039999998</v>
      </c>
      <c r="I75" s="99">
        <f t="shared" si="8"/>
        <v>15407.263039999998</v>
      </c>
    </row>
    <row r="76" spans="1:9" x14ac:dyDescent="0.3">
      <c r="A76" s="566" t="s">
        <v>1694</v>
      </c>
      <c r="B76" s="571" t="s">
        <v>336</v>
      </c>
      <c r="C76" s="572" t="s">
        <v>62</v>
      </c>
      <c r="D76" s="569">
        <f>(15*0.92+15*2.18+2*2.52+4*5.92+3*25.87+3*32.68+14.89*2+28.77)/1000*1.04</f>
        <v>0.32179679999999999</v>
      </c>
      <c r="E76" s="98">
        <v>15000</v>
      </c>
      <c r="F76" s="98">
        <v>41800</v>
      </c>
      <c r="G76" s="99">
        <f t="shared" si="6"/>
        <v>4826.9520000000002</v>
      </c>
      <c r="H76" s="99">
        <f t="shared" si="7"/>
        <v>13451.106239999999</v>
      </c>
      <c r="I76" s="99">
        <f t="shared" si="8"/>
        <v>18278.058239999998</v>
      </c>
    </row>
    <row r="77" spans="1:9" x14ac:dyDescent="0.3">
      <c r="A77" s="566" t="s">
        <v>1695</v>
      </c>
      <c r="B77" s="571" t="s">
        <v>1696</v>
      </c>
      <c r="C77" s="572" t="s">
        <v>62</v>
      </c>
      <c r="D77" s="569">
        <f>11*0.19/1000*1.04</f>
        <v>2.1735999999999999E-3</v>
      </c>
      <c r="E77" s="98">
        <v>15000</v>
      </c>
      <c r="F77" s="98">
        <v>55600</v>
      </c>
      <c r="G77" s="99">
        <f t="shared" si="6"/>
        <v>32.603999999999999</v>
      </c>
      <c r="H77" s="99">
        <f t="shared" si="7"/>
        <v>120.85216</v>
      </c>
      <c r="I77" s="99">
        <f t="shared" si="8"/>
        <v>153.45616000000001</v>
      </c>
    </row>
    <row r="78" spans="1:9" x14ac:dyDescent="0.3">
      <c r="A78" s="566" t="s">
        <v>1697</v>
      </c>
      <c r="B78" s="571" t="s">
        <v>729</v>
      </c>
      <c r="C78" s="572" t="s">
        <v>74</v>
      </c>
      <c r="D78" s="569">
        <f>32.68</f>
        <v>32.68</v>
      </c>
      <c r="E78" s="98"/>
      <c r="F78" s="98">
        <v>829</v>
      </c>
      <c r="G78" s="99">
        <f t="shared" si="6"/>
        <v>0</v>
      </c>
      <c r="H78" s="99">
        <f t="shared" si="7"/>
        <v>27091.72</v>
      </c>
      <c r="I78" s="99">
        <f t="shared" si="8"/>
        <v>27091.72</v>
      </c>
    </row>
    <row r="79" spans="1:9" x14ac:dyDescent="0.3">
      <c r="A79" s="566"/>
      <c r="B79" s="577" t="s">
        <v>1675</v>
      </c>
      <c r="C79" s="572"/>
      <c r="D79" s="569"/>
      <c r="E79" s="98"/>
      <c r="F79" s="98"/>
      <c r="G79" s="99">
        <f t="shared" si="6"/>
        <v>0</v>
      </c>
      <c r="H79" s="99">
        <f t="shared" si="7"/>
        <v>0</v>
      </c>
      <c r="I79" s="99">
        <f t="shared" si="8"/>
        <v>0</v>
      </c>
    </row>
    <row r="80" spans="1:9" x14ac:dyDescent="0.3">
      <c r="A80" s="578"/>
      <c r="B80" s="579" t="s">
        <v>1676</v>
      </c>
      <c r="C80" s="629" t="s">
        <v>44</v>
      </c>
      <c r="D80" s="629">
        <v>5</v>
      </c>
      <c r="E80" s="582"/>
      <c r="F80" s="98">
        <v>555</v>
      </c>
      <c r="G80" s="99">
        <f t="shared" si="6"/>
        <v>0</v>
      </c>
      <c r="H80" s="99">
        <f t="shared" si="7"/>
        <v>2775</v>
      </c>
      <c r="I80" s="99">
        <f t="shared" si="8"/>
        <v>2775</v>
      </c>
    </row>
    <row r="81" spans="1:9" x14ac:dyDescent="0.3">
      <c r="A81" s="578"/>
      <c r="B81" s="579" t="s">
        <v>1679</v>
      </c>
      <c r="C81" s="629" t="s">
        <v>44</v>
      </c>
      <c r="D81" s="630">
        <v>4</v>
      </c>
      <c r="E81" s="582"/>
      <c r="F81" s="98">
        <v>96</v>
      </c>
      <c r="G81" s="99">
        <f t="shared" si="6"/>
        <v>0</v>
      </c>
      <c r="H81" s="99">
        <f t="shared" si="7"/>
        <v>384</v>
      </c>
      <c r="I81" s="99">
        <f t="shared" si="8"/>
        <v>384</v>
      </c>
    </row>
    <row r="82" spans="1:9" x14ac:dyDescent="0.3">
      <c r="A82" s="578"/>
      <c r="B82" s="579" t="s">
        <v>1677</v>
      </c>
      <c r="C82" s="629" t="s">
        <v>44</v>
      </c>
      <c r="D82" s="629">
        <v>3</v>
      </c>
      <c r="E82" s="582"/>
      <c r="F82" s="98">
        <v>550</v>
      </c>
      <c r="G82" s="99">
        <f t="shared" si="6"/>
        <v>0</v>
      </c>
      <c r="H82" s="99">
        <f t="shared" si="7"/>
        <v>1650</v>
      </c>
      <c r="I82" s="99">
        <f t="shared" si="8"/>
        <v>1650</v>
      </c>
    </row>
    <row r="83" spans="1:9" x14ac:dyDescent="0.3">
      <c r="A83" s="578"/>
      <c r="B83" s="579" t="s">
        <v>1678</v>
      </c>
      <c r="C83" s="580" t="s">
        <v>44</v>
      </c>
      <c r="D83" s="580">
        <f>D80*4</f>
        <v>20</v>
      </c>
      <c r="E83" s="582"/>
      <c r="F83" s="98">
        <v>38</v>
      </c>
      <c r="G83" s="99">
        <f t="shared" si="6"/>
        <v>0</v>
      </c>
      <c r="H83" s="99">
        <f t="shared" si="7"/>
        <v>760</v>
      </c>
      <c r="I83" s="99">
        <f t="shared" si="8"/>
        <v>760</v>
      </c>
    </row>
    <row r="84" spans="1:9" x14ac:dyDescent="0.3">
      <c r="A84" s="578"/>
      <c r="B84" s="579" t="s">
        <v>1680</v>
      </c>
      <c r="C84" s="580" t="s">
        <v>44</v>
      </c>
      <c r="D84" s="580">
        <f>D82*2</f>
        <v>6</v>
      </c>
      <c r="E84" s="582"/>
      <c r="F84" s="98">
        <v>140</v>
      </c>
      <c r="G84" s="99">
        <f t="shared" si="6"/>
        <v>0</v>
      </c>
      <c r="H84" s="99">
        <f t="shared" si="7"/>
        <v>840</v>
      </c>
      <c r="I84" s="99">
        <f t="shared" si="8"/>
        <v>840</v>
      </c>
    </row>
    <row r="85" spans="1:9" x14ac:dyDescent="0.3">
      <c r="A85" s="578"/>
      <c r="B85" s="579" t="s">
        <v>1681</v>
      </c>
      <c r="C85" s="580" t="s">
        <v>44</v>
      </c>
      <c r="D85" s="580">
        <v>2</v>
      </c>
      <c r="E85" s="582"/>
      <c r="F85" s="98">
        <v>360</v>
      </c>
      <c r="G85" s="99">
        <f t="shared" si="6"/>
        <v>0</v>
      </c>
      <c r="H85" s="99">
        <f t="shared" si="7"/>
        <v>720</v>
      </c>
      <c r="I85" s="99">
        <f t="shared" si="8"/>
        <v>720</v>
      </c>
    </row>
    <row r="86" spans="1:9" x14ac:dyDescent="0.3">
      <c r="A86" s="578"/>
      <c r="B86" s="579" t="s">
        <v>1682</v>
      </c>
      <c r="C86" s="580" t="s">
        <v>44</v>
      </c>
      <c r="D86" s="580">
        <v>2</v>
      </c>
      <c r="E86" s="582"/>
      <c r="F86" s="98">
        <v>650</v>
      </c>
      <c r="G86" s="99">
        <f t="shared" si="6"/>
        <v>0</v>
      </c>
      <c r="H86" s="99">
        <f t="shared" si="7"/>
        <v>1300</v>
      </c>
      <c r="I86" s="99">
        <f t="shared" si="8"/>
        <v>1300</v>
      </c>
    </row>
    <row r="87" spans="1:9" x14ac:dyDescent="0.3">
      <c r="A87" s="578"/>
      <c r="B87" s="579" t="s">
        <v>1683</v>
      </c>
      <c r="C87" s="580" t="s">
        <v>44</v>
      </c>
      <c r="D87" s="580">
        <v>4</v>
      </c>
      <c r="E87" s="582"/>
      <c r="F87" s="98">
        <v>93</v>
      </c>
      <c r="G87" s="99">
        <f t="shared" si="6"/>
        <v>0</v>
      </c>
      <c r="H87" s="99">
        <f t="shared" si="7"/>
        <v>372</v>
      </c>
      <c r="I87" s="99">
        <f t="shared" si="8"/>
        <v>372</v>
      </c>
    </row>
    <row r="88" spans="1:9" ht="17.25" customHeight="1" x14ac:dyDescent="0.3">
      <c r="A88" s="578"/>
      <c r="B88" s="579" t="s">
        <v>1684</v>
      </c>
      <c r="C88" s="580" t="s">
        <v>44</v>
      </c>
      <c r="D88" s="580">
        <v>2</v>
      </c>
      <c r="E88" s="582"/>
      <c r="F88" s="98">
        <v>93</v>
      </c>
      <c r="G88" s="99">
        <f t="shared" si="6"/>
        <v>0</v>
      </c>
      <c r="H88" s="99">
        <f t="shared" si="7"/>
        <v>186</v>
      </c>
      <c r="I88" s="99">
        <f t="shared" si="8"/>
        <v>186</v>
      </c>
    </row>
    <row r="89" spans="1:9" x14ac:dyDescent="0.3">
      <c r="A89" s="574" t="s">
        <v>1698</v>
      </c>
      <c r="B89" s="562" t="s">
        <v>1699</v>
      </c>
      <c r="C89" s="572"/>
      <c r="D89" s="569"/>
      <c r="E89" s="98"/>
      <c r="F89" s="98"/>
      <c r="G89" s="95">
        <f>SUM(G90:G102)</f>
        <v>2168.712</v>
      </c>
      <c r="H89" s="95">
        <f>SUM(H90:H102)</f>
        <v>16278.870800000001</v>
      </c>
      <c r="I89" s="95">
        <f>SUM(I90:I102)</f>
        <v>18447.5828</v>
      </c>
    </row>
    <row r="90" spans="1:9" x14ac:dyDescent="0.3">
      <c r="A90" s="566" t="s">
        <v>1700</v>
      </c>
      <c r="B90" s="571" t="s">
        <v>1659</v>
      </c>
      <c r="C90" s="572" t="s">
        <v>62</v>
      </c>
      <c r="D90" s="569">
        <f>(5*2.68)/1000*1.04</f>
        <v>1.3936E-2</v>
      </c>
      <c r="E90" s="98">
        <v>15000</v>
      </c>
      <c r="F90" s="98">
        <v>62800</v>
      </c>
      <c r="G90" s="99">
        <f t="shared" si="6"/>
        <v>209.04000000000002</v>
      </c>
      <c r="H90" s="99">
        <f t="shared" si="7"/>
        <v>875.18079999999998</v>
      </c>
      <c r="I90" s="99">
        <f t="shared" si="8"/>
        <v>1084.2208000000001</v>
      </c>
    </row>
    <row r="91" spans="1:9" x14ac:dyDescent="0.3">
      <c r="A91" s="566" t="s">
        <v>1701</v>
      </c>
      <c r="B91" s="571" t="s">
        <v>336</v>
      </c>
      <c r="C91" s="572" t="s">
        <v>62</v>
      </c>
      <c r="D91" s="569">
        <f>(4*0.44+5*0.93+7*2.18+4*2.52+4*5.67+2*14.83+14.8)/1000*1.04</f>
        <v>0.10284560000000001</v>
      </c>
      <c r="E91" s="98">
        <v>15000</v>
      </c>
      <c r="F91" s="98">
        <v>41800</v>
      </c>
      <c r="G91" s="99">
        <f t="shared" si="6"/>
        <v>1542.6840000000002</v>
      </c>
      <c r="H91" s="99">
        <f t="shared" si="7"/>
        <v>4298.9460800000006</v>
      </c>
      <c r="I91" s="99">
        <f t="shared" si="8"/>
        <v>5841.6300800000008</v>
      </c>
    </row>
    <row r="92" spans="1:9" x14ac:dyDescent="0.3">
      <c r="A92" s="566" t="s">
        <v>1702</v>
      </c>
      <c r="B92" s="571" t="s">
        <v>1667</v>
      </c>
      <c r="C92" s="572" t="s">
        <v>62</v>
      </c>
      <c r="D92" s="569">
        <f>9*2.97/1000*1.04</f>
        <v>2.77992E-2</v>
      </c>
      <c r="E92" s="98">
        <v>15000</v>
      </c>
      <c r="F92" s="98">
        <v>45100</v>
      </c>
      <c r="G92" s="99">
        <f t="shared" si="6"/>
        <v>416.988</v>
      </c>
      <c r="H92" s="99">
        <f t="shared" si="7"/>
        <v>1253.7439199999999</v>
      </c>
      <c r="I92" s="99">
        <f t="shared" si="8"/>
        <v>1670.7319199999999</v>
      </c>
    </row>
    <row r="93" spans="1:9" x14ac:dyDescent="0.3">
      <c r="A93" s="566" t="s">
        <v>1703</v>
      </c>
      <c r="B93" s="571" t="s">
        <v>1671</v>
      </c>
      <c r="C93" s="572" t="s">
        <v>44</v>
      </c>
      <c r="D93" s="569">
        <v>36</v>
      </c>
      <c r="E93" s="98"/>
      <c r="F93" s="98">
        <v>180</v>
      </c>
      <c r="G93" s="99">
        <f t="shared" si="6"/>
        <v>0</v>
      </c>
      <c r="H93" s="99">
        <f t="shared" si="7"/>
        <v>6480</v>
      </c>
      <c r="I93" s="99">
        <f t="shared" si="8"/>
        <v>6480</v>
      </c>
    </row>
    <row r="94" spans="1:9" x14ac:dyDescent="0.3">
      <c r="A94" s="578"/>
      <c r="B94" s="577" t="s">
        <v>1675</v>
      </c>
      <c r="C94" s="572"/>
      <c r="D94" s="569"/>
      <c r="E94" s="582"/>
      <c r="F94" s="98"/>
      <c r="G94" s="99">
        <f t="shared" si="6"/>
        <v>0</v>
      </c>
      <c r="H94" s="99">
        <f t="shared" si="7"/>
        <v>0</v>
      </c>
      <c r="I94" s="99">
        <f t="shared" si="8"/>
        <v>0</v>
      </c>
    </row>
    <row r="95" spans="1:9" x14ac:dyDescent="0.3">
      <c r="A95" s="578"/>
      <c r="B95" s="579" t="s">
        <v>1704</v>
      </c>
      <c r="C95" s="629" t="s">
        <v>44</v>
      </c>
      <c r="D95" s="629">
        <v>1</v>
      </c>
      <c r="E95" s="582"/>
      <c r="F95" s="98">
        <v>740</v>
      </c>
      <c r="G95" s="99">
        <f t="shared" si="6"/>
        <v>0</v>
      </c>
      <c r="H95" s="99">
        <f>D95*F95</f>
        <v>740</v>
      </c>
      <c r="I95" s="99">
        <f t="shared" si="8"/>
        <v>740</v>
      </c>
    </row>
    <row r="96" spans="1:9" x14ac:dyDescent="0.3">
      <c r="A96" s="578"/>
      <c r="B96" s="579" t="s">
        <v>1677</v>
      </c>
      <c r="C96" s="629" t="s">
        <v>44</v>
      </c>
      <c r="D96" s="629">
        <v>1</v>
      </c>
      <c r="E96" s="582"/>
      <c r="F96" s="98">
        <v>550</v>
      </c>
      <c r="G96" s="99">
        <f t="shared" si="6"/>
        <v>0</v>
      </c>
      <c r="H96" s="99">
        <f t="shared" si="7"/>
        <v>550</v>
      </c>
      <c r="I96" s="99">
        <f t="shared" si="8"/>
        <v>550</v>
      </c>
    </row>
    <row r="97" spans="1:9" x14ac:dyDescent="0.3">
      <c r="A97" s="578"/>
      <c r="B97" s="579" t="s">
        <v>1678</v>
      </c>
      <c r="C97" s="580" t="s">
        <v>44</v>
      </c>
      <c r="D97" s="580">
        <f>D95*4</f>
        <v>4</v>
      </c>
      <c r="E97" s="582"/>
      <c r="F97" s="98">
        <v>38</v>
      </c>
      <c r="G97" s="99">
        <f t="shared" si="6"/>
        <v>0</v>
      </c>
      <c r="H97" s="99">
        <f t="shared" si="7"/>
        <v>152</v>
      </c>
      <c r="I97" s="99">
        <f t="shared" si="8"/>
        <v>152</v>
      </c>
    </row>
    <row r="98" spans="1:9" x14ac:dyDescent="0.3">
      <c r="A98" s="578"/>
      <c r="B98" s="579" t="s">
        <v>1680</v>
      </c>
      <c r="C98" s="580" t="s">
        <v>44</v>
      </c>
      <c r="D98" s="580">
        <f>D96*2</f>
        <v>2</v>
      </c>
      <c r="E98" s="582"/>
      <c r="F98" s="98">
        <v>140</v>
      </c>
      <c r="G98" s="99">
        <f t="shared" si="6"/>
        <v>0</v>
      </c>
      <c r="H98" s="99">
        <f t="shared" si="7"/>
        <v>280</v>
      </c>
      <c r="I98" s="99">
        <f t="shared" si="8"/>
        <v>280</v>
      </c>
    </row>
    <row r="99" spans="1:9" x14ac:dyDescent="0.3">
      <c r="A99" s="578"/>
      <c r="B99" s="579" t="s">
        <v>1681</v>
      </c>
      <c r="C99" s="580" t="s">
        <v>44</v>
      </c>
      <c r="D99" s="580">
        <v>2</v>
      </c>
      <c r="E99" s="582"/>
      <c r="F99" s="98">
        <v>360</v>
      </c>
      <c r="G99" s="99">
        <f t="shared" si="6"/>
        <v>0</v>
      </c>
      <c r="H99" s="99">
        <f t="shared" si="7"/>
        <v>720</v>
      </c>
      <c r="I99" s="99">
        <f t="shared" si="8"/>
        <v>720</v>
      </c>
    </row>
    <row r="100" spans="1:9" x14ac:dyDescent="0.3">
      <c r="A100" s="578"/>
      <c r="B100" s="579" t="s">
        <v>1682</v>
      </c>
      <c r="C100" s="580" t="s">
        <v>44</v>
      </c>
      <c r="D100" s="580">
        <v>1</v>
      </c>
      <c r="E100" s="582"/>
      <c r="F100" s="98">
        <v>650</v>
      </c>
      <c r="G100" s="99">
        <f t="shared" si="6"/>
        <v>0</v>
      </c>
      <c r="H100" s="99">
        <f t="shared" si="7"/>
        <v>650</v>
      </c>
      <c r="I100" s="99">
        <f t="shared" si="8"/>
        <v>650</v>
      </c>
    </row>
    <row r="101" spans="1:9" x14ac:dyDescent="0.3">
      <c r="A101" s="578"/>
      <c r="B101" s="579" t="s">
        <v>1683</v>
      </c>
      <c r="C101" s="580" t="s">
        <v>44</v>
      </c>
      <c r="D101" s="580">
        <v>2</v>
      </c>
      <c r="E101" s="582"/>
      <c r="F101" s="98">
        <v>93</v>
      </c>
      <c r="G101" s="99">
        <f t="shared" si="6"/>
        <v>0</v>
      </c>
      <c r="H101" s="99">
        <f t="shared" si="7"/>
        <v>186</v>
      </c>
      <c r="I101" s="99">
        <f t="shared" si="8"/>
        <v>186</v>
      </c>
    </row>
    <row r="102" spans="1:9" x14ac:dyDescent="0.3">
      <c r="A102" s="578"/>
      <c r="B102" s="579" t="s">
        <v>1684</v>
      </c>
      <c r="C102" s="580" t="s">
        <v>44</v>
      </c>
      <c r="D102" s="580">
        <v>1</v>
      </c>
      <c r="E102" s="582"/>
      <c r="F102" s="98">
        <v>93</v>
      </c>
      <c r="G102" s="99">
        <f t="shared" si="6"/>
        <v>0</v>
      </c>
      <c r="H102" s="99">
        <f t="shared" si="7"/>
        <v>93</v>
      </c>
      <c r="I102" s="99">
        <f t="shared" si="8"/>
        <v>93</v>
      </c>
    </row>
    <row r="103" spans="1:9" x14ac:dyDescent="0.3">
      <c r="A103" s="574" t="s">
        <v>1705</v>
      </c>
      <c r="B103" s="562" t="s">
        <v>1706</v>
      </c>
      <c r="C103" s="572"/>
      <c r="D103" s="569"/>
      <c r="E103" s="98"/>
      <c r="F103" s="98"/>
      <c r="G103" s="95">
        <f>SUM(G104:G123)</f>
        <v>10510.811999999998</v>
      </c>
      <c r="H103" s="95">
        <f>SUM(H104:H123)</f>
        <v>64777.331760000001</v>
      </c>
      <c r="I103" s="95">
        <f>SUM(I104:I123)</f>
        <v>75288.143760000006</v>
      </c>
    </row>
    <row r="104" spans="1:9" x14ac:dyDescent="0.3">
      <c r="A104" s="566" t="s">
        <v>1707</v>
      </c>
      <c r="B104" s="571" t="s">
        <v>1659</v>
      </c>
      <c r="C104" s="572" t="s">
        <v>62</v>
      </c>
      <c r="D104" s="569">
        <f>(13.54*6+6.3*4)/1000*1.04</f>
        <v>0.11069759999999999</v>
      </c>
      <c r="E104" s="98">
        <v>15000</v>
      </c>
      <c r="F104" s="98">
        <v>62800</v>
      </c>
      <c r="G104" s="99">
        <f t="shared" ref="G104:G136" si="9">D104*E104</f>
        <v>1660.4639999999999</v>
      </c>
      <c r="H104" s="99">
        <f t="shared" ref="H104:H136" si="10">D104*F104</f>
        <v>6951.8092799999995</v>
      </c>
      <c r="I104" s="99">
        <f t="shared" ref="I104:I136" si="11">G104+H104</f>
        <v>8612.2732799999994</v>
      </c>
    </row>
    <row r="105" spans="1:9" x14ac:dyDescent="0.3">
      <c r="A105" s="566" t="s">
        <v>1708</v>
      </c>
      <c r="B105" s="571" t="s">
        <v>680</v>
      </c>
      <c r="C105" s="572" t="s">
        <v>62</v>
      </c>
      <c r="D105" s="569">
        <f>49.56*2/1000*1.04</f>
        <v>0.1030848</v>
      </c>
      <c r="E105" s="98">
        <v>15000</v>
      </c>
      <c r="F105" s="98">
        <v>47200</v>
      </c>
      <c r="G105" s="99">
        <f t="shared" si="9"/>
        <v>1546.2720000000002</v>
      </c>
      <c r="H105" s="99">
        <f t="shared" si="10"/>
        <v>4865.6025600000003</v>
      </c>
      <c r="I105" s="99">
        <f t="shared" si="11"/>
        <v>6411.8745600000002</v>
      </c>
    </row>
    <row r="106" spans="1:9" x14ac:dyDescent="0.3">
      <c r="A106" s="566" t="s">
        <v>1709</v>
      </c>
      <c r="B106" s="571" t="s">
        <v>1325</v>
      </c>
      <c r="C106" s="572" t="s">
        <v>62</v>
      </c>
      <c r="D106" s="569">
        <f>(12.8*2+10.87*2)/1000*1.04</f>
        <v>4.9233600000000002E-2</v>
      </c>
      <c r="E106" s="98">
        <v>15000</v>
      </c>
      <c r="F106" s="98">
        <v>43300</v>
      </c>
      <c r="G106" s="99">
        <f t="shared" si="9"/>
        <v>738.50400000000002</v>
      </c>
      <c r="H106" s="99">
        <f t="shared" si="10"/>
        <v>2131.8148799999999</v>
      </c>
      <c r="I106" s="99">
        <f t="shared" si="11"/>
        <v>2870.3188799999998</v>
      </c>
    </row>
    <row r="107" spans="1:9" x14ac:dyDescent="0.3">
      <c r="A107" s="566" t="s">
        <v>1710</v>
      </c>
      <c r="B107" s="571" t="s">
        <v>336</v>
      </c>
      <c r="C107" s="572" t="s">
        <v>62</v>
      </c>
      <c r="D107" s="569">
        <f>(8*0.55+17*0.95+30*2.1+2*2.52+2*5.61+2*34.57+5*2.52+5*1.98+25.58)/1000*1.04</f>
        <v>0.22571119999999997</v>
      </c>
      <c r="E107" s="98">
        <v>15000</v>
      </c>
      <c r="F107" s="98">
        <v>41800</v>
      </c>
      <c r="G107" s="99">
        <f t="shared" si="9"/>
        <v>3385.6679999999997</v>
      </c>
      <c r="H107" s="99">
        <f t="shared" si="10"/>
        <v>9434.7281599999988</v>
      </c>
      <c r="I107" s="99">
        <f t="shared" si="11"/>
        <v>12820.396159999998</v>
      </c>
    </row>
    <row r="108" spans="1:9" x14ac:dyDescent="0.3">
      <c r="A108" s="566" t="s">
        <v>1711</v>
      </c>
      <c r="B108" s="571" t="s">
        <v>720</v>
      </c>
      <c r="C108" s="572" t="s">
        <v>62</v>
      </c>
      <c r="D108" s="569">
        <f>(5*1.51+5*3.79)/1000*1.04</f>
        <v>2.7560000000000001E-2</v>
      </c>
      <c r="E108" s="98">
        <v>15000</v>
      </c>
      <c r="F108" s="98">
        <v>41400</v>
      </c>
      <c r="G108" s="99">
        <f t="shared" si="9"/>
        <v>413.40000000000003</v>
      </c>
      <c r="H108" s="99">
        <f t="shared" si="10"/>
        <v>1140.9840000000002</v>
      </c>
      <c r="I108" s="99">
        <f t="shared" si="11"/>
        <v>1554.3840000000002</v>
      </c>
    </row>
    <row r="109" spans="1:9" x14ac:dyDescent="0.3">
      <c r="A109" s="566" t="s">
        <v>1712</v>
      </c>
      <c r="B109" s="571" t="s">
        <v>1664</v>
      </c>
      <c r="C109" s="572" t="s">
        <v>62</v>
      </c>
      <c r="D109" s="569">
        <f>3*15.45/1000*1.04</f>
        <v>4.8203999999999997E-2</v>
      </c>
      <c r="E109" s="98">
        <v>15000</v>
      </c>
      <c r="F109" s="98">
        <v>41800</v>
      </c>
      <c r="G109" s="99">
        <f t="shared" si="9"/>
        <v>723.06</v>
      </c>
      <c r="H109" s="99">
        <f t="shared" si="10"/>
        <v>2014.9271999999999</v>
      </c>
      <c r="I109" s="99">
        <f t="shared" si="11"/>
        <v>2737.9871999999996</v>
      </c>
    </row>
    <row r="110" spans="1:9" x14ac:dyDescent="0.3">
      <c r="A110" s="566" t="s">
        <v>1713</v>
      </c>
      <c r="B110" s="571" t="s">
        <v>344</v>
      </c>
      <c r="C110" s="572" t="s">
        <v>62</v>
      </c>
      <c r="D110" s="569">
        <f>(2*7.28+2*44.85)/1000*1.04</f>
        <v>0.10843040000000001</v>
      </c>
      <c r="E110" s="98">
        <v>15000</v>
      </c>
      <c r="F110" s="98">
        <v>36900</v>
      </c>
      <c r="G110" s="99">
        <f t="shared" si="9"/>
        <v>1626.4560000000001</v>
      </c>
      <c r="H110" s="99">
        <f t="shared" si="10"/>
        <v>4001.0817600000005</v>
      </c>
      <c r="I110" s="99">
        <f t="shared" si="11"/>
        <v>5627.5377600000011</v>
      </c>
    </row>
    <row r="111" spans="1:9" x14ac:dyDescent="0.3">
      <c r="A111" s="566" t="s">
        <v>1714</v>
      </c>
      <c r="B111" s="571" t="s">
        <v>1667</v>
      </c>
      <c r="C111" s="572" t="s">
        <v>62</v>
      </c>
      <c r="D111" s="569">
        <f>9*2.97/1000*1.04</f>
        <v>2.77992E-2</v>
      </c>
      <c r="E111" s="98">
        <v>15000</v>
      </c>
      <c r="F111" s="98">
        <v>45100</v>
      </c>
      <c r="G111" s="99">
        <f t="shared" si="9"/>
        <v>416.988</v>
      </c>
      <c r="H111" s="99">
        <f t="shared" si="10"/>
        <v>1253.7439199999999</v>
      </c>
      <c r="I111" s="99">
        <f t="shared" si="11"/>
        <v>1670.7319199999999</v>
      </c>
    </row>
    <row r="112" spans="1:9" x14ac:dyDescent="0.3">
      <c r="A112" s="566" t="s">
        <v>1715</v>
      </c>
      <c r="B112" s="571" t="s">
        <v>1671</v>
      </c>
      <c r="C112" s="572" t="s">
        <v>44</v>
      </c>
      <c r="D112" s="569">
        <v>36</v>
      </c>
      <c r="E112" s="98"/>
      <c r="F112" s="98">
        <v>180</v>
      </c>
      <c r="G112" s="99">
        <f t="shared" si="9"/>
        <v>0</v>
      </c>
      <c r="H112" s="99">
        <f t="shared" si="10"/>
        <v>6480</v>
      </c>
      <c r="I112" s="99">
        <f t="shared" si="11"/>
        <v>6480</v>
      </c>
    </row>
    <row r="113" spans="1:9" x14ac:dyDescent="0.3">
      <c r="A113" s="566" t="s">
        <v>1716</v>
      </c>
      <c r="B113" s="571" t="s">
        <v>729</v>
      </c>
      <c r="C113" s="572" t="s">
        <v>74</v>
      </c>
      <c r="D113" s="569">
        <v>20.16</v>
      </c>
      <c r="E113" s="98"/>
      <c r="F113" s="98">
        <v>829</v>
      </c>
      <c r="G113" s="99">
        <f t="shared" si="9"/>
        <v>0</v>
      </c>
      <c r="H113" s="99">
        <f t="shared" si="10"/>
        <v>16712.64</v>
      </c>
      <c r="I113" s="99">
        <f t="shared" si="11"/>
        <v>16712.64</v>
      </c>
    </row>
    <row r="114" spans="1:9" x14ac:dyDescent="0.3">
      <c r="A114" s="578"/>
      <c r="B114" s="577" t="s">
        <v>1675</v>
      </c>
      <c r="C114" s="572"/>
      <c r="D114" s="569"/>
      <c r="E114" s="582"/>
      <c r="F114" s="98"/>
      <c r="G114" s="99"/>
      <c r="H114" s="99"/>
      <c r="I114" s="99"/>
    </row>
    <row r="115" spans="1:9" x14ac:dyDescent="0.3">
      <c r="A115" s="578"/>
      <c r="B115" s="579" t="s">
        <v>1676</v>
      </c>
      <c r="C115" s="629" t="s">
        <v>44</v>
      </c>
      <c r="D115" s="629">
        <v>6</v>
      </c>
      <c r="E115" s="582"/>
      <c r="F115" s="98">
        <v>555</v>
      </c>
      <c r="G115" s="99">
        <f t="shared" si="9"/>
        <v>0</v>
      </c>
      <c r="H115" s="99">
        <f t="shared" si="10"/>
        <v>3330</v>
      </c>
      <c r="I115" s="99">
        <f t="shared" si="11"/>
        <v>3330</v>
      </c>
    </row>
    <row r="116" spans="1:9" x14ac:dyDescent="0.3">
      <c r="A116" s="578"/>
      <c r="B116" s="579" t="s">
        <v>1679</v>
      </c>
      <c r="C116" s="629" t="s">
        <v>44</v>
      </c>
      <c r="D116" s="630">
        <v>5</v>
      </c>
      <c r="E116" s="582"/>
      <c r="F116" s="98">
        <v>96</v>
      </c>
      <c r="G116" s="99">
        <f t="shared" si="9"/>
        <v>0</v>
      </c>
      <c r="H116" s="99">
        <f t="shared" si="10"/>
        <v>480</v>
      </c>
      <c r="I116" s="99">
        <f t="shared" si="11"/>
        <v>480</v>
      </c>
    </row>
    <row r="117" spans="1:9" x14ac:dyDescent="0.3">
      <c r="A117" s="578"/>
      <c r="B117" s="579" t="s">
        <v>1677</v>
      </c>
      <c r="C117" s="629" t="s">
        <v>44</v>
      </c>
      <c r="D117" s="629">
        <v>3</v>
      </c>
      <c r="E117" s="582"/>
      <c r="F117" s="98">
        <v>550</v>
      </c>
      <c r="G117" s="99">
        <f t="shared" si="9"/>
        <v>0</v>
      </c>
      <c r="H117" s="99">
        <f t="shared" si="10"/>
        <v>1650</v>
      </c>
      <c r="I117" s="99">
        <f t="shared" si="11"/>
        <v>1650</v>
      </c>
    </row>
    <row r="118" spans="1:9" x14ac:dyDescent="0.3">
      <c r="A118" s="578"/>
      <c r="B118" s="579" t="s">
        <v>1678</v>
      </c>
      <c r="C118" s="580" t="s">
        <v>44</v>
      </c>
      <c r="D118" s="580">
        <f>D115*4</f>
        <v>24</v>
      </c>
      <c r="E118" s="582"/>
      <c r="F118" s="98">
        <v>38</v>
      </c>
      <c r="G118" s="99">
        <f t="shared" si="9"/>
        <v>0</v>
      </c>
      <c r="H118" s="99">
        <f t="shared" si="10"/>
        <v>912</v>
      </c>
      <c r="I118" s="99">
        <f t="shared" si="11"/>
        <v>912</v>
      </c>
    </row>
    <row r="119" spans="1:9" x14ac:dyDescent="0.3">
      <c r="A119" s="578"/>
      <c r="B119" s="579" t="s">
        <v>1680</v>
      </c>
      <c r="C119" s="580" t="s">
        <v>44</v>
      </c>
      <c r="D119" s="580">
        <f>D117*2</f>
        <v>6</v>
      </c>
      <c r="E119" s="582"/>
      <c r="F119" s="98">
        <v>140</v>
      </c>
      <c r="G119" s="99">
        <f t="shared" si="9"/>
        <v>0</v>
      </c>
      <c r="H119" s="99">
        <f t="shared" si="10"/>
        <v>840</v>
      </c>
      <c r="I119" s="99">
        <f t="shared" si="11"/>
        <v>840</v>
      </c>
    </row>
    <row r="120" spans="1:9" x14ac:dyDescent="0.3">
      <c r="A120" s="578"/>
      <c r="B120" s="579" t="s">
        <v>1681</v>
      </c>
      <c r="C120" s="580" t="s">
        <v>44</v>
      </c>
      <c r="D120" s="580">
        <v>2</v>
      </c>
      <c r="E120" s="582"/>
      <c r="F120" s="98">
        <v>360</v>
      </c>
      <c r="G120" s="99">
        <f t="shared" si="9"/>
        <v>0</v>
      </c>
      <c r="H120" s="99">
        <f t="shared" si="10"/>
        <v>720</v>
      </c>
      <c r="I120" s="99">
        <f t="shared" si="11"/>
        <v>720</v>
      </c>
    </row>
    <row r="121" spans="1:9" x14ac:dyDescent="0.3">
      <c r="A121" s="578"/>
      <c r="B121" s="579" t="s">
        <v>1682</v>
      </c>
      <c r="C121" s="580" t="s">
        <v>44</v>
      </c>
      <c r="D121" s="580">
        <v>2</v>
      </c>
      <c r="E121" s="582"/>
      <c r="F121" s="98">
        <v>650</v>
      </c>
      <c r="G121" s="99">
        <f t="shared" si="9"/>
        <v>0</v>
      </c>
      <c r="H121" s="99">
        <f t="shared" si="10"/>
        <v>1300</v>
      </c>
      <c r="I121" s="99">
        <f t="shared" si="11"/>
        <v>1300</v>
      </c>
    </row>
    <row r="122" spans="1:9" x14ac:dyDescent="0.3">
      <c r="A122" s="578"/>
      <c r="B122" s="579" t="s">
        <v>1683</v>
      </c>
      <c r="C122" s="580" t="s">
        <v>44</v>
      </c>
      <c r="D122" s="580">
        <v>4</v>
      </c>
      <c r="E122" s="582"/>
      <c r="F122" s="98">
        <v>93</v>
      </c>
      <c r="G122" s="99">
        <f t="shared" si="9"/>
        <v>0</v>
      </c>
      <c r="H122" s="99">
        <f t="shared" si="10"/>
        <v>372</v>
      </c>
      <c r="I122" s="99">
        <f t="shared" si="11"/>
        <v>372</v>
      </c>
    </row>
    <row r="123" spans="1:9" x14ac:dyDescent="0.3">
      <c r="A123" s="578"/>
      <c r="B123" s="579" t="s">
        <v>1684</v>
      </c>
      <c r="C123" s="580" t="s">
        <v>44</v>
      </c>
      <c r="D123" s="580">
        <v>2</v>
      </c>
      <c r="E123" s="582"/>
      <c r="F123" s="98">
        <v>93</v>
      </c>
      <c r="G123" s="99">
        <f t="shared" si="9"/>
        <v>0</v>
      </c>
      <c r="H123" s="99">
        <f t="shared" si="10"/>
        <v>186</v>
      </c>
      <c r="I123" s="99">
        <f t="shared" si="11"/>
        <v>186</v>
      </c>
    </row>
    <row r="124" spans="1:9" x14ac:dyDescent="0.3">
      <c r="A124" s="561" t="s">
        <v>1717</v>
      </c>
      <c r="B124" s="562" t="s">
        <v>1718</v>
      </c>
      <c r="C124" s="586"/>
      <c r="D124" s="587"/>
      <c r="E124" s="109"/>
      <c r="F124" s="109"/>
      <c r="G124" s="95">
        <f>SUM(G125:G126)</f>
        <v>0</v>
      </c>
      <c r="H124" s="95">
        <f>SUM(H125:H126)</f>
        <v>40616</v>
      </c>
      <c r="I124" s="95">
        <f>SUM(I125:I126)</f>
        <v>40616</v>
      </c>
    </row>
    <row r="125" spans="1:9" ht="28.8" x14ac:dyDescent="0.3">
      <c r="A125" s="570" t="s">
        <v>1719</v>
      </c>
      <c r="B125" s="571" t="s">
        <v>1720</v>
      </c>
      <c r="C125" s="572" t="s">
        <v>44</v>
      </c>
      <c r="D125" s="569">
        <f>2*4</f>
        <v>8</v>
      </c>
      <c r="E125" s="109"/>
      <c r="F125" s="115">
        <v>2750</v>
      </c>
      <c r="G125" s="99">
        <f t="shared" si="9"/>
        <v>0</v>
      </c>
      <c r="H125" s="99">
        <f t="shared" si="10"/>
        <v>22000</v>
      </c>
      <c r="I125" s="99">
        <f t="shared" si="11"/>
        <v>22000</v>
      </c>
    </row>
    <row r="126" spans="1:9" ht="43.2" x14ac:dyDescent="0.3">
      <c r="A126" s="588" t="s">
        <v>1721</v>
      </c>
      <c r="B126" s="571" t="s">
        <v>1722</v>
      </c>
      <c r="C126" s="572" t="s">
        <v>74</v>
      </c>
      <c r="D126" s="569">
        <f>2*1.3*2</f>
        <v>5.2</v>
      </c>
      <c r="E126" s="109"/>
      <c r="F126" s="115">
        <v>3580</v>
      </c>
      <c r="G126" s="99">
        <f t="shared" si="9"/>
        <v>0</v>
      </c>
      <c r="H126" s="99">
        <f t="shared" si="10"/>
        <v>18616</v>
      </c>
      <c r="I126" s="99">
        <f t="shared" si="11"/>
        <v>18616</v>
      </c>
    </row>
    <row r="127" spans="1:9" ht="28.8" x14ac:dyDescent="0.3">
      <c r="A127" s="561" t="s">
        <v>1723</v>
      </c>
      <c r="B127" s="589" t="s">
        <v>1724</v>
      </c>
      <c r="C127" s="590" t="s">
        <v>74</v>
      </c>
      <c r="D127" s="564">
        <f>77.84</f>
        <v>77.84</v>
      </c>
      <c r="E127" s="108">
        <v>350</v>
      </c>
      <c r="F127" s="108"/>
      <c r="G127" s="95">
        <f>D127*E127</f>
        <v>27244</v>
      </c>
      <c r="H127" s="95">
        <f t="shared" si="10"/>
        <v>0</v>
      </c>
      <c r="I127" s="95">
        <f>G127+H127</f>
        <v>27244</v>
      </c>
    </row>
    <row r="128" spans="1:9" x14ac:dyDescent="0.3">
      <c r="A128" s="570" t="s">
        <v>1725</v>
      </c>
      <c r="B128" s="424" t="s">
        <v>1726</v>
      </c>
      <c r="C128" s="591" t="s">
        <v>74</v>
      </c>
      <c r="D128" s="569">
        <f>D127*1.1</f>
        <v>85.624000000000009</v>
      </c>
      <c r="E128" s="109"/>
      <c r="F128" s="109">
        <v>1250</v>
      </c>
      <c r="G128" s="99">
        <f t="shared" si="9"/>
        <v>0</v>
      </c>
      <c r="H128" s="99">
        <f t="shared" si="10"/>
        <v>107030.00000000001</v>
      </c>
      <c r="I128" s="99">
        <f t="shared" si="11"/>
        <v>107030.00000000001</v>
      </c>
    </row>
    <row r="129" spans="1:9" x14ac:dyDescent="0.3">
      <c r="A129" s="570" t="s">
        <v>1727</v>
      </c>
      <c r="B129" s="424" t="s">
        <v>1728</v>
      </c>
      <c r="C129" s="591" t="s">
        <v>79</v>
      </c>
      <c r="D129" s="572">
        <f>ROUND(D127*1.4*12,2)</f>
        <v>1307.71</v>
      </c>
      <c r="E129" s="109"/>
      <c r="F129" s="109">
        <v>18.399999999999999</v>
      </c>
      <c r="G129" s="99">
        <f t="shared" si="9"/>
        <v>0</v>
      </c>
      <c r="H129" s="99">
        <f t="shared" si="10"/>
        <v>24061.863999999998</v>
      </c>
      <c r="I129" s="99">
        <f t="shared" si="11"/>
        <v>24061.863999999998</v>
      </c>
    </row>
    <row r="130" spans="1:9" x14ac:dyDescent="0.3">
      <c r="A130" s="570" t="s">
        <v>1729</v>
      </c>
      <c r="B130" s="592" t="s">
        <v>1730</v>
      </c>
      <c r="C130" s="591" t="s">
        <v>79</v>
      </c>
      <c r="D130" s="572">
        <f>ROUND(D127*0.194,0)</f>
        <v>15</v>
      </c>
      <c r="E130" s="109"/>
      <c r="F130" s="109">
        <v>100</v>
      </c>
      <c r="G130" s="99">
        <f t="shared" si="9"/>
        <v>0</v>
      </c>
      <c r="H130" s="99">
        <f t="shared" si="10"/>
        <v>1500</v>
      </c>
      <c r="I130" s="99">
        <f t="shared" si="11"/>
        <v>1500</v>
      </c>
    </row>
    <row r="131" spans="1:9" ht="28.8" x14ac:dyDescent="0.3">
      <c r="A131" s="570" t="s">
        <v>1731</v>
      </c>
      <c r="B131" s="593" t="s">
        <v>1732</v>
      </c>
      <c r="C131" s="591" t="s">
        <v>74</v>
      </c>
      <c r="D131" s="569">
        <f>77.84</f>
        <v>77.84</v>
      </c>
      <c r="E131" s="109">
        <v>180</v>
      </c>
      <c r="F131" s="109">
        <v>200</v>
      </c>
      <c r="G131" s="99">
        <f t="shared" si="9"/>
        <v>14011.2</v>
      </c>
      <c r="H131" s="99">
        <f t="shared" si="10"/>
        <v>15568</v>
      </c>
      <c r="I131" s="99">
        <f t="shared" si="11"/>
        <v>29579.200000000001</v>
      </c>
    </row>
    <row r="132" spans="1:9" ht="28.8" x14ac:dyDescent="0.3">
      <c r="A132" s="561" t="s">
        <v>1733</v>
      </c>
      <c r="B132" s="589" t="s">
        <v>1734</v>
      </c>
      <c r="C132" s="590" t="s">
        <v>74</v>
      </c>
      <c r="D132" s="564">
        <v>3.77</v>
      </c>
      <c r="E132" s="108">
        <v>350</v>
      </c>
      <c r="F132" s="108"/>
      <c r="G132" s="95">
        <f t="shared" si="9"/>
        <v>1319.5</v>
      </c>
      <c r="H132" s="95">
        <f t="shared" si="10"/>
        <v>0</v>
      </c>
      <c r="I132" s="95">
        <f t="shared" si="11"/>
        <v>1319.5</v>
      </c>
    </row>
    <row r="133" spans="1:9" x14ac:dyDescent="0.3">
      <c r="A133" s="570" t="s">
        <v>1735</v>
      </c>
      <c r="B133" s="424" t="s">
        <v>1726</v>
      </c>
      <c r="C133" s="591" t="s">
        <v>74</v>
      </c>
      <c r="D133" s="569">
        <f>D132*1.1</f>
        <v>4.1470000000000002</v>
      </c>
      <c r="E133" s="109"/>
      <c r="F133" s="109">
        <v>1250</v>
      </c>
      <c r="G133" s="99">
        <f t="shared" si="9"/>
        <v>0</v>
      </c>
      <c r="H133" s="99">
        <f t="shared" si="10"/>
        <v>5183.75</v>
      </c>
      <c r="I133" s="99">
        <f t="shared" si="11"/>
        <v>5183.75</v>
      </c>
    </row>
    <row r="134" spans="1:9" x14ac:dyDescent="0.3">
      <c r="A134" s="570" t="s">
        <v>1736</v>
      </c>
      <c r="B134" s="424" t="s">
        <v>1728</v>
      </c>
      <c r="C134" s="591" t="s">
        <v>79</v>
      </c>
      <c r="D134" s="572">
        <f>ROUND(D132*1.4*12,2)</f>
        <v>63.34</v>
      </c>
      <c r="E134" s="109"/>
      <c r="F134" s="109">
        <v>18.399999999999999</v>
      </c>
      <c r="G134" s="99">
        <f t="shared" si="9"/>
        <v>0</v>
      </c>
      <c r="H134" s="99">
        <f t="shared" si="10"/>
        <v>1165.4559999999999</v>
      </c>
      <c r="I134" s="99">
        <f t="shared" si="11"/>
        <v>1165.4559999999999</v>
      </c>
    </row>
    <row r="135" spans="1:9" x14ac:dyDescent="0.3">
      <c r="A135" s="570" t="s">
        <v>1737</v>
      </c>
      <c r="B135" s="592" t="s">
        <v>1730</v>
      </c>
      <c r="C135" s="591" t="s">
        <v>79</v>
      </c>
      <c r="D135" s="572">
        <f>ROUND(D132*0.194,0)</f>
        <v>1</v>
      </c>
      <c r="E135" s="109"/>
      <c r="F135" s="109">
        <v>100</v>
      </c>
      <c r="G135" s="99">
        <f t="shared" si="9"/>
        <v>0</v>
      </c>
      <c r="H135" s="99">
        <f t="shared" si="10"/>
        <v>100</v>
      </c>
      <c r="I135" s="99">
        <f t="shared" si="11"/>
        <v>100</v>
      </c>
    </row>
    <row r="136" spans="1:9" x14ac:dyDescent="0.3">
      <c r="A136" s="570" t="s">
        <v>1738</v>
      </c>
      <c r="B136" s="593" t="s">
        <v>1739</v>
      </c>
      <c r="C136" s="591" t="s">
        <v>74</v>
      </c>
      <c r="D136" s="569">
        <f>3.77</f>
        <v>3.77</v>
      </c>
      <c r="E136" s="109">
        <v>180</v>
      </c>
      <c r="F136" s="109">
        <v>200</v>
      </c>
      <c r="G136" s="99">
        <f t="shared" si="9"/>
        <v>678.6</v>
      </c>
      <c r="H136" s="99">
        <f t="shared" si="10"/>
        <v>754</v>
      </c>
      <c r="I136" s="99">
        <f t="shared" si="11"/>
        <v>1432.6</v>
      </c>
    </row>
    <row r="137" spans="1:9" x14ac:dyDescent="0.3">
      <c r="A137" s="594"/>
      <c r="B137" s="589" t="s">
        <v>1740</v>
      </c>
      <c r="C137" s="590" t="s">
        <v>74</v>
      </c>
      <c r="D137" s="564">
        <v>3.79</v>
      </c>
      <c r="E137" s="109">
        <v>350</v>
      </c>
      <c r="F137" s="109"/>
      <c r="G137" s="99">
        <f>D137*E137</f>
        <v>1326.5</v>
      </c>
      <c r="H137" s="99">
        <f>D137*F137</f>
        <v>0</v>
      </c>
      <c r="I137" s="99">
        <f>G137+H137</f>
        <v>1326.5</v>
      </c>
    </row>
    <row r="138" spans="1:9" x14ac:dyDescent="0.3">
      <c r="A138" s="566"/>
      <c r="B138" s="424" t="s">
        <v>1726</v>
      </c>
      <c r="C138" s="591" t="s">
        <v>74</v>
      </c>
      <c r="D138" s="569">
        <f>D137*1.1</f>
        <v>4.1690000000000005</v>
      </c>
      <c r="E138" s="109"/>
      <c r="F138" s="109">
        <v>1250</v>
      </c>
      <c r="G138" s="99">
        <f>D138*E138</f>
        <v>0</v>
      </c>
      <c r="H138" s="99">
        <f>D138*F138</f>
        <v>5211.2500000000009</v>
      </c>
      <c r="I138" s="99">
        <f>G138+H138</f>
        <v>5211.2500000000009</v>
      </c>
    </row>
    <row r="139" spans="1:9" x14ac:dyDescent="0.3">
      <c r="A139" s="566"/>
      <c r="B139" s="424" t="s">
        <v>1728</v>
      </c>
      <c r="C139" s="591" t="s">
        <v>79</v>
      </c>
      <c r="D139" s="572">
        <f>ROUND(D138*1.4*12,2)</f>
        <v>70.040000000000006</v>
      </c>
      <c r="E139" s="109"/>
      <c r="F139" s="109">
        <v>18.399999999999999</v>
      </c>
      <c r="G139" s="99">
        <f>D139*E139</f>
        <v>0</v>
      </c>
      <c r="H139" s="99">
        <f>D139*F139</f>
        <v>1288.7360000000001</v>
      </c>
      <c r="I139" s="99">
        <f>G139+H139</f>
        <v>1288.7360000000001</v>
      </c>
    </row>
    <row r="140" spans="1:9" x14ac:dyDescent="0.3">
      <c r="A140" s="566"/>
      <c r="B140" s="592" t="s">
        <v>1730</v>
      </c>
      <c r="C140" s="591" t="s">
        <v>79</v>
      </c>
      <c r="D140" s="572">
        <f>ROUND(D137*0.194,0)</f>
        <v>1</v>
      </c>
      <c r="E140" s="109"/>
      <c r="F140" s="109">
        <v>100</v>
      </c>
      <c r="G140" s="99">
        <f>D140*E140</f>
        <v>0</v>
      </c>
      <c r="H140" s="99">
        <f>D140*F140</f>
        <v>100</v>
      </c>
      <c r="I140" s="99">
        <f>G140+H140</f>
        <v>100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K52" sqref="K52"/>
    </sheetView>
  </sheetViews>
  <sheetFormatPr defaultRowHeight="15.05" x14ac:dyDescent="0.3"/>
  <cols>
    <col min="1" max="1" width="3" bestFit="1" customWidth="1"/>
    <col min="2" max="2" width="36.33203125" bestFit="1" customWidth="1"/>
    <col min="3" max="3" width="7.5546875" bestFit="1" customWidth="1"/>
    <col min="4" max="4" width="6.109375" bestFit="1" customWidth="1"/>
    <col min="5" max="5" width="8.5546875" bestFit="1" customWidth="1"/>
    <col min="6" max="6" width="10.5546875" bestFit="1" customWidth="1"/>
  </cols>
  <sheetData>
    <row r="1" spans="1:6" x14ac:dyDescent="0.3">
      <c r="A1" s="1496" t="s">
        <v>1043</v>
      </c>
      <c r="B1" s="1496"/>
      <c r="C1" s="1496"/>
      <c r="D1" s="1496"/>
      <c r="E1" s="1496"/>
      <c r="F1" s="1496"/>
    </row>
    <row r="2" spans="1:6" x14ac:dyDescent="0.3">
      <c r="A2" s="252" t="s">
        <v>755</v>
      </c>
      <c r="B2" s="252" t="s">
        <v>1044</v>
      </c>
      <c r="C2" s="252" t="s">
        <v>882</v>
      </c>
      <c r="D2" s="252" t="s">
        <v>1045</v>
      </c>
      <c r="E2" s="252" t="s">
        <v>883</v>
      </c>
      <c r="F2" s="252" t="s">
        <v>1034</v>
      </c>
    </row>
    <row r="3" spans="1:6" x14ac:dyDescent="0.3">
      <c r="A3" s="232">
        <v>1</v>
      </c>
      <c r="B3" s="229" t="s">
        <v>1046</v>
      </c>
      <c r="C3" s="230">
        <v>58</v>
      </c>
      <c r="D3" s="234" t="s">
        <v>44</v>
      </c>
      <c r="E3" s="230">
        <v>1150</v>
      </c>
      <c r="F3" s="230">
        <f>E3*C3</f>
        <v>66700</v>
      </c>
    </row>
    <row r="4" spans="1:6" x14ac:dyDescent="0.3">
      <c r="A4" s="232">
        <v>2</v>
      </c>
      <c r="B4" s="229" t="s">
        <v>884</v>
      </c>
      <c r="C4" s="230">
        <v>100</v>
      </c>
      <c r="D4" s="234" t="s">
        <v>44</v>
      </c>
      <c r="E4" s="230">
        <v>1150</v>
      </c>
      <c r="F4" s="230">
        <f t="shared" ref="F4:F63" si="0">E4*C4</f>
        <v>115000</v>
      </c>
    </row>
    <row r="5" spans="1:6" x14ac:dyDescent="0.3">
      <c r="A5" s="232">
        <v>3</v>
      </c>
      <c r="B5" s="229" t="s">
        <v>885</v>
      </c>
      <c r="C5" s="230">
        <v>53</v>
      </c>
      <c r="D5" s="234" t="s">
        <v>44</v>
      </c>
      <c r="E5" s="230">
        <v>3000</v>
      </c>
      <c r="F5" s="230">
        <f t="shared" si="0"/>
        <v>159000</v>
      </c>
    </row>
    <row r="6" spans="1:6" ht="37.6" x14ac:dyDescent="0.3">
      <c r="A6" s="232">
        <v>4</v>
      </c>
      <c r="B6" s="229" t="s">
        <v>886</v>
      </c>
      <c r="C6" s="230">
        <v>294</v>
      </c>
      <c r="D6" s="234" t="s">
        <v>44</v>
      </c>
      <c r="E6" s="230">
        <v>729.64</v>
      </c>
      <c r="F6" s="230">
        <f t="shared" si="0"/>
        <v>214514.16</v>
      </c>
    </row>
    <row r="7" spans="1:6" x14ac:dyDescent="0.3">
      <c r="A7" s="234">
        <v>5</v>
      </c>
      <c r="B7" s="229" t="s">
        <v>887</v>
      </c>
      <c r="C7" s="230">
        <v>72</v>
      </c>
      <c r="D7" s="234" t="s">
        <v>44</v>
      </c>
      <c r="E7" s="230">
        <v>860</v>
      </c>
      <c r="F7" s="230">
        <f t="shared" si="0"/>
        <v>61920</v>
      </c>
    </row>
    <row r="8" spans="1:6" x14ac:dyDescent="0.3">
      <c r="A8" s="232">
        <v>6</v>
      </c>
      <c r="B8" s="229" t="s">
        <v>1047</v>
      </c>
      <c r="C8" s="230">
        <v>48</v>
      </c>
      <c r="D8" s="234" t="s">
        <v>44</v>
      </c>
      <c r="E8" s="230">
        <v>600</v>
      </c>
      <c r="F8" s="230">
        <f t="shared" si="0"/>
        <v>28800</v>
      </c>
    </row>
    <row r="9" spans="1:6" x14ac:dyDescent="0.3">
      <c r="A9" s="232">
        <v>7</v>
      </c>
      <c r="B9" s="229" t="s">
        <v>888</v>
      </c>
      <c r="C9" s="230">
        <v>1</v>
      </c>
      <c r="D9" s="234" t="s">
        <v>44</v>
      </c>
      <c r="E9" s="230">
        <v>25000</v>
      </c>
      <c r="F9" s="230">
        <f>E9*C9</f>
        <v>25000</v>
      </c>
    </row>
    <row r="10" spans="1:6" x14ac:dyDescent="0.3">
      <c r="A10" s="232">
        <v>8</v>
      </c>
      <c r="B10" s="229" t="s">
        <v>889</v>
      </c>
      <c r="C10" s="230">
        <v>52</v>
      </c>
      <c r="D10" s="234" t="s">
        <v>44</v>
      </c>
      <c r="E10" s="230">
        <v>3000</v>
      </c>
      <c r="F10" s="230">
        <f t="shared" si="0"/>
        <v>156000</v>
      </c>
    </row>
    <row r="11" spans="1:6" x14ac:dyDescent="0.3">
      <c r="A11" s="232">
        <v>9</v>
      </c>
      <c r="B11" s="229" t="s">
        <v>890</v>
      </c>
      <c r="C11" s="230">
        <v>4</v>
      </c>
      <c r="D11" s="234" t="s">
        <v>44</v>
      </c>
      <c r="E11" s="230">
        <v>5800</v>
      </c>
      <c r="F11" s="230">
        <f t="shared" si="0"/>
        <v>23200</v>
      </c>
    </row>
    <row r="12" spans="1:6" x14ac:dyDescent="0.3">
      <c r="A12" s="232">
        <v>10</v>
      </c>
      <c r="B12" s="229" t="s">
        <v>893</v>
      </c>
      <c r="C12" s="230">
        <v>78</v>
      </c>
      <c r="D12" s="234" t="s">
        <v>44</v>
      </c>
      <c r="E12" s="230">
        <v>26</v>
      </c>
      <c r="F12" s="230">
        <f t="shared" si="0"/>
        <v>2028</v>
      </c>
    </row>
    <row r="13" spans="1:6" x14ac:dyDescent="0.3">
      <c r="A13" s="232">
        <v>11</v>
      </c>
      <c r="B13" s="229" t="s">
        <v>894</v>
      </c>
      <c r="C13" s="230">
        <v>78</v>
      </c>
      <c r="D13" s="234" t="s">
        <v>44</v>
      </c>
      <c r="E13" s="230">
        <v>110</v>
      </c>
      <c r="F13" s="230">
        <f t="shared" si="0"/>
        <v>8580</v>
      </c>
    </row>
    <row r="14" spans="1:6" x14ac:dyDescent="0.3">
      <c r="A14" s="232">
        <v>12</v>
      </c>
      <c r="B14" s="229" t="s">
        <v>892</v>
      </c>
      <c r="C14" s="230">
        <v>121</v>
      </c>
      <c r="D14" s="234" t="s">
        <v>44</v>
      </c>
      <c r="E14" s="230">
        <v>762</v>
      </c>
      <c r="F14" s="230">
        <f t="shared" si="0"/>
        <v>92202</v>
      </c>
    </row>
    <row r="15" spans="1:6" x14ac:dyDescent="0.3">
      <c r="A15" s="232">
        <v>13</v>
      </c>
      <c r="B15" s="229" t="s">
        <v>1048</v>
      </c>
      <c r="C15" s="230">
        <v>7</v>
      </c>
      <c r="D15" s="234" t="s">
        <v>44</v>
      </c>
      <c r="E15" s="230">
        <v>1882</v>
      </c>
      <c r="F15" s="230">
        <f t="shared" si="0"/>
        <v>13174</v>
      </c>
    </row>
    <row r="16" spans="1:6" x14ac:dyDescent="0.3">
      <c r="A16" s="234">
        <v>14</v>
      </c>
      <c r="B16" s="229" t="s">
        <v>891</v>
      </c>
      <c r="C16" s="230">
        <v>1</v>
      </c>
      <c r="D16" s="234" t="s">
        <v>44</v>
      </c>
      <c r="E16" s="230">
        <v>258</v>
      </c>
      <c r="F16" s="230">
        <f t="shared" si="0"/>
        <v>258</v>
      </c>
    </row>
    <row r="17" spans="1:6" x14ac:dyDescent="0.3">
      <c r="A17" s="232">
        <v>15</v>
      </c>
      <c r="B17" s="229" t="s">
        <v>895</v>
      </c>
      <c r="C17" s="230">
        <v>1</v>
      </c>
      <c r="D17" s="234" t="s">
        <v>44</v>
      </c>
      <c r="E17" s="230">
        <v>10.87</v>
      </c>
      <c r="F17" s="230">
        <f t="shared" si="0"/>
        <v>10.87</v>
      </c>
    </row>
    <row r="18" spans="1:6" x14ac:dyDescent="0.3">
      <c r="A18" s="232">
        <v>16</v>
      </c>
      <c r="B18" s="229" t="s">
        <v>923</v>
      </c>
      <c r="C18" s="230">
        <v>1</v>
      </c>
      <c r="D18" s="234" t="s">
        <v>497</v>
      </c>
      <c r="E18" s="230">
        <v>30000</v>
      </c>
      <c r="F18" s="230">
        <f t="shared" si="0"/>
        <v>30000</v>
      </c>
    </row>
    <row r="19" spans="1:6" x14ac:dyDescent="0.3">
      <c r="A19" s="232">
        <v>17</v>
      </c>
      <c r="B19" s="229" t="s">
        <v>896</v>
      </c>
      <c r="C19" s="230">
        <v>42</v>
      </c>
      <c r="D19" s="234" t="s">
        <v>44</v>
      </c>
      <c r="E19" s="230">
        <v>156.06</v>
      </c>
      <c r="F19" s="230">
        <f t="shared" si="0"/>
        <v>6554.52</v>
      </c>
    </row>
    <row r="20" spans="1:6" x14ac:dyDescent="0.3">
      <c r="A20" s="232">
        <v>18</v>
      </c>
      <c r="B20" s="229" t="s">
        <v>1049</v>
      </c>
      <c r="C20" s="230">
        <v>89</v>
      </c>
      <c r="D20" s="234" t="s">
        <v>44</v>
      </c>
      <c r="E20" s="230">
        <v>80</v>
      </c>
      <c r="F20" s="230">
        <f t="shared" si="0"/>
        <v>7120</v>
      </c>
    </row>
    <row r="21" spans="1:6" x14ac:dyDescent="0.3">
      <c r="A21" s="232">
        <v>19</v>
      </c>
      <c r="B21" s="229" t="s">
        <v>897</v>
      </c>
      <c r="C21" s="230">
        <v>12</v>
      </c>
      <c r="D21" s="234" t="s">
        <v>44</v>
      </c>
      <c r="E21" s="230">
        <v>156.06</v>
      </c>
      <c r="F21" s="230">
        <f t="shared" si="0"/>
        <v>1872.72</v>
      </c>
    </row>
    <row r="22" spans="1:6" x14ac:dyDescent="0.3">
      <c r="A22" s="232">
        <v>20</v>
      </c>
      <c r="B22" s="229" t="s">
        <v>898</v>
      </c>
      <c r="C22" s="230">
        <v>48</v>
      </c>
      <c r="D22" s="234" t="s">
        <v>44</v>
      </c>
      <c r="E22" s="230">
        <v>134.15</v>
      </c>
      <c r="F22" s="230">
        <f t="shared" si="0"/>
        <v>6439.2000000000007</v>
      </c>
    </row>
    <row r="23" spans="1:6" x14ac:dyDescent="0.3">
      <c r="A23" s="232">
        <v>21</v>
      </c>
      <c r="B23" s="229" t="s">
        <v>899</v>
      </c>
      <c r="C23" s="230">
        <v>1000</v>
      </c>
      <c r="D23" s="234" t="s">
        <v>43</v>
      </c>
      <c r="E23" s="230">
        <v>31.69</v>
      </c>
      <c r="F23" s="230">
        <f t="shared" si="0"/>
        <v>31690</v>
      </c>
    </row>
    <row r="24" spans="1:6" x14ac:dyDescent="0.3">
      <c r="A24" s="232">
        <v>22</v>
      </c>
      <c r="B24" s="229" t="s">
        <v>900</v>
      </c>
      <c r="C24" s="230">
        <v>1200</v>
      </c>
      <c r="D24" s="234" t="s">
        <v>43</v>
      </c>
      <c r="E24" s="230">
        <v>47.45</v>
      </c>
      <c r="F24" s="230">
        <f t="shared" si="0"/>
        <v>56940</v>
      </c>
    </row>
    <row r="25" spans="1:6" x14ac:dyDescent="0.3">
      <c r="A25" s="234">
        <v>23</v>
      </c>
      <c r="B25" s="229" t="s">
        <v>901</v>
      </c>
      <c r="C25" s="230">
        <v>329</v>
      </c>
      <c r="D25" s="234" t="s">
        <v>43</v>
      </c>
      <c r="E25" s="230">
        <v>110</v>
      </c>
      <c r="F25" s="230">
        <f t="shared" si="0"/>
        <v>36190</v>
      </c>
    </row>
    <row r="26" spans="1:6" x14ac:dyDescent="0.3">
      <c r="A26" s="232">
        <v>24</v>
      </c>
      <c r="B26" s="229" t="s">
        <v>902</v>
      </c>
      <c r="C26" s="230">
        <v>5997</v>
      </c>
      <c r="D26" s="234" t="s">
        <v>43</v>
      </c>
      <c r="E26" s="230">
        <v>193.58</v>
      </c>
      <c r="F26" s="230">
        <f t="shared" si="0"/>
        <v>1160899.26</v>
      </c>
    </row>
    <row r="27" spans="1:6" x14ac:dyDescent="0.3">
      <c r="A27" s="232">
        <v>25</v>
      </c>
      <c r="B27" s="229" t="s">
        <v>903</v>
      </c>
      <c r="C27" s="230">
        <v>5</v>
      </c>
      <c r="D27" s="234" t="s">
        <v>43</v>
      </c>
      <c r="E27" s="230">
        <v>280</v>
      </c>
      <c r="F27" s="230">
        <f t="shared" si="0"/>
        <v>1400</v>
      </c>
    </row>
    <row r="28" spans="1:6" x14ac:dyDescent="0.3">
      <c r="A28" s="232">
        <v>26</v>
      </c>
      <c r="B28" s="229" t="s">
        <v>904</v>
      </c>
      <c r="C28" s="230">
        <v>105</v>
      </c>
      <c r="D28" s="234" t="s">
        <v>43</v>
      </c>
      <c r="E28" s="230">
        <v>142</v>
      </c>
      <c r="F28" s="230">
        <f t="shared" si="0"/>
        <v>14910</v>
      </c>
    </row>
    <row r="29" spans="1:6" x14ac:dyDescent="0.3">
      <c r="A29" s="232">
        <v>27</v>
      </c>
      <c r="B29" s="229" t="s">
        <v>905</v>
      </c>
      <c r="C29" s="230">
        <v>66</v>
      </c>
      <c r="D29" s="234" t="s">
        <v>43</v>
      </c>
      <c r="E29" s="230">
        <v>187.87</v>
      </c>
      <c r="F29" s="230">
        <f t="shared" si="0"/>
        <v>12399.42</v>
      </c>
    </row>
    <row r="30" spans="1:6" x14ac:dyDescent="0.3">
      <c r="A30" s="232">
        <v>28</v>
      </c>
      <c r="B30" s="229" t="s">
        <v>906</v>
      </c>
      <c r="C30" s="230">
        <v>364</v>
      </c>
      <c r="D30" s="234" t="s">
        <v>43</v>
      </c>
      <c r="E30" s="230">
        <v>2158</v>
      </c>
      <c r="F30" s="230">
        <f t="shared" si="0"/>
        <v>785512</v>
      </c>
    </row>
    <row r="31" spans="1:6" x14ac:dyDescent="0.3">
      <c r="A31" s="232">
        <v>29</v>
      </c>
      <c r="B31" s="229" t="s">
        <v>907</v>
      </c>
      <c r="C31" s="230">
        <v>2067</v>
      </c>
      <c r="D31" s="234" t="s">
        <v>43</v>
      </c>
      <c r="E31" s="230">
        <v>44.84</v>
      </c>
      <c r="F31" s="230">
        <f t="shared" si="0"/>
        <v>92684.280000000013</v>
      </c>
    </row>
    <row r="32" spans="1:6" x14ac:dyDescent="0.3">
      <c r="A32" s="232">
        <v>30</v>
      </c>
      <c r="B32" s="229" t="s">
        <v>908</v>
      </c>
      <c r="C32" s="230">
        <v>701</v>
      </c>
      <c r="D32" s="234" t="s">
        <v>43</v>
      </c>
      <c r="E32" s="230">
        <v>64.67</v>
      </c>
      <c r="F32" s="230">
        <f t="shared" si="0"/>
        <v>45333.67</v>
      </c>
    </row>
    <row r="33" spans="1:6" x14ac:dyDescent="0.3">
      <c r="A33" s="232">
        <v>31</v>
      </c>
      <c r="B33" s="229" t="s">
        <v>909</v>
      </c>
      <c r="C33" s="230">
        <v>1066</v>
      </c>
      <c r="D33" s="234" t="s">
        <v>43</v>
      </c>
      <c r="E33" s="230">
        <v>142.63</v>
      </c>
      <c r="F33" s="230">
        <f t="shared" si="0"/>
        <v>152043.57999999999</v>
      </c>
    </row>
    <row r="34" spans="1:6" x14ac:dyDescent="0.3">
      <c r="A34" s="234">
        <v>32</v>
      </c>
      <c r="B34" s="229" t="s">
        <v>910</v>
      </c>
      <c r="C34" s="230">
        <v>90</v>
      </c>
      <c r="D34" s="234" t="s">
        <v>43</v>
      </c>
      <c r="E34" s="230">
        <v>124.43</v>
      </c>
      <c r="F34" s="230">
        <f t="shared" si="0"/>
        <v>11198.7</v>
      </c>
    </row>
    <row r="35" spans="1:6" x14ac:dyDescent="0.3">
      <c r="A35" s="232">
        <v>34</v>
      </c>
      <c r="B35" s="229" t="s">
        <v>911</v>
      </c>
      <c r="C35" s="230">
        <v>266</v>
      </c>
      <c r="D35" s="234" t="s">
        <v>43</v>
      </c>
      <c r="E35" s="230">
        <v>242.77</v>
      </c>
      <c r="F35" s="230">
        <f t="shared" si="0"/>
        <v>64576.82</v>
      </c>
    </row>
    <row r="36" spans="1:6" x14ac:dyDescent="0.3">
      <c r="A36" s="232">
        <v>35</v>
      </c>
      <c r="B36" s="229" t="s">
        <v>912</v>
      </c>
      <c r="C36" s="230">
        <v>187</v>
      </c>
      <c r="D36" s="234" t="s">
        <v>43</v>
      </c>
      <c r="E36" s="230">
        <v>553.39</v>
      </c>
      <c r="F36" s="230">
        <f t="shared" si="0"/>
        <v>103483.93</v>
      </c>
    </row>
    <row r="37" spans="1:6" x14ac:dyDescent="0.3">
      <c r="A37" s="232">
        <v>36</v>
      </c>
      <c r="B37" s="229" t="s">
        <v>913</v>
      </c>
      <c r="C37" s="230">
        <v>90</v>
      </c>
      <c r="D37" s="234" t="s">
        <v>43</v>
      </c>
      <c r="E37" s="230">
        <v>927</v>
      </c>
      <c r="F37" s="230">
        <f t="shared" si="0"/>
        <v>83430</v>
      </c>
    </row>
    <row r="38" spans="1:6" x14ac:dyDescent="0.3">
      <c r="A38" s="232">
        <v>37</v>
      </c>
      <c r="B38" s="229" t="s">
        <v>914</v>
      </c>
      <c r="C38" s="230">
        <v>180</v>
      </c>
      <c r="D38" s="234" t="s">
        <v>43</v>
      </c>
      <c r="E38" s="230">
        <v>1357</v>
      </c>
      <c r="F38" s="230">
        <f t="shared" si="0"/>
        <v>244260</v>
      </c>
    </row>
    <row r="39" spans="1:6" x14ac:dyDescent="0.3">
      <c r="A39" s="232">
        <v>38</v>
      </c>
      <c r="B39" s="229" t="s">
        <v>915</v>
      </c>
      <c r="C39" s="230">
        <v>90</v>
      </c>
      <c r="D39" s="234" t="s">
        <v>43</v>
      </c>
      <c r="E39" s="230">
        <v>2158</v>
      </c>
      <c r="F39" s="230">
        <f t="shared" si="0"/>
        <v>194220</v>
      </c>
    </row>
    <row r="40" spans="1:6" x14ac:dyDescent="0.3">
      <c r="A40" s="232">
        <v>39</v>
      </c>
      <c r="B40" s="229" t="s">
        <v>916</v>
      </c>
      <c r="C40" s="230">
        <v>45</v>
      </c>
      <c r="D40" s="234" t="s">
        <v>43</v>
      </c>
      <c r="E40" s="230">
        <v>766.93</v>
      </c>
      <c r="F40" s="230">
        <f t="shared" si="0"/>
        <v>34511.85</v>
      </c>
    </row>
    <row r="41" spans="1:6" x14ac:dyDescent="0.3">
      <c r="A41" s="232">
        <v>40</v>
      </c>
      <c r="B41" s="229" t="s">
        <v>917</v>
      </c>
      <c r="C41" s="230">
        <v>20</v>
      </c>
      <c r="D41" s="234" t="s">
        <v>43</v>
      </c>
      <c r="E41" s="230">
        <v>92</v>
      </c>
      <c r="F41" s="230">
        <f t="shared" si="0"/>
        <v>1840</v>
      </c>
    </row>
    <row r="42" spans="1:6" x14ac:dyDescent="0.3">
      <c r="A42" s="234">
        <v>41</v>
      </c>
      <c r="B42" s="229" t="s">
        <v>918</v>
      </c>
      <c r="C42" s="230">
        <v>53</v>
      </c>
      <c r="D42" s="234" t="s">
        <v>43</v>
      </c>
      <c r="E42" s="230">
        <v>134</v>
      </c>
      <c r="F42" s="230">
        <f t="shared" si="0"/>
        <v>7102</v>
      </c>
    </row>
    <row r="43" spans="1:6" x14ac:dyDescent="0.3">
      <c r="A43" s="232">
        <v>42</v>
      </c>
      <c r="B43" s="229" t="s">
        <v>919</v>
      </c>
      <c r="C43" s="230">
        <v>75</v>
      </c>
      <c r="D43" s="234" t="s">
        <v>43</v>
      </c>
      <c r="E43" s="230">
        <v>189</v>
      </c>
      <c r="F43" s="230">
        <f t="shared" si="0"/>
        <v>14175</v>
      </c>
    </row>
    <row r="44" spans="1:6" x14ac:dyDescent="0.3">
      <c r="A44" s="232">
        <v>43</v>
      </c>
      <c r="B44" s="229" t="s">
        <v>920</v>
      </c>
      <c r="C44" s="230">
        <v>20</v>
      </c>
      <c r="D44" s="234" t="s">
        <v>43</v>
      </c>
      <c r="E44" s="230">
        <v>1000</v>
      </c>
      <c r="F44" s="230">
        <f t="shared" si="0"/>
        <v>20000</v>
      </c>
    </row>
    <row r="45" spans="1:6" x14ac:dyDescent="0.3">
      <c r="A45" s="232">
        <v>44</v>
      </c>
      <c r="B45" s="229" t="s">
        <v>921</v>
      </c>
      <c r="C45" s="230">
        <v>42</v>
      </c>
      <c r="D45" s="234" t="s">
        <v>43</v>
      </c>
      <c r="E45" s="230">
        <v>1500</v>
      </c>
      <c r="F45" s="230">
        <f>E45*C45</f>
        <v>63000</v>
      </c>
    </row>
    <row r="46" spans="1:6" x14ac:dyDescent="0.3">
      <c r="A46" s="232">
        <v>45</v>
      </c>
      <c r="B46" s="229" t="s">
        <v>922</v>
      </c>
      <c r="C46" s="230">
        <v>10</v>
      </c>
      <c r="D46" s="234" t="s">
        <v>43</v>
      </c>
      <c r="E46" s="230">
        <v>2158</v>
      </c>
      <c r="F46" s="230">
        <f>E46*C46</f>
        <v>21580</v>
      </c>
    </row>
    <row r="47" spans="1:6" x14ac:dyDescent="0.3">
      <c r="A47" s="232">
        <v>46</v>
      </c>
      <c r="B47" s="229" t="s">
        <v>1050</v>
      </c>
      <c r="C47" s="230">
        <v>100</v>
      </c>
      <c r="D47" s="234" t="s">
        <v>43</v>
      </c>
      <c r="E47" s="230">
        <v>146.46</v>
      </c>
      <c r="F47" s="230">
        <f t="shared" si="0"/>
        <v>14646</v>
      </c>
    </row>
    <row r="48" spans="1:6" x14ac:dyDescent="0.3">
      <c r="A48" s="232">
        <v>47</v>
      </c>
      <c r="B48" s="229" t="s">
        <v>928</v>
      </c>
      <c r="C48" s="230">
        <v>1581</v>
      </c>
      <c r="D48" s="234" t="s">
        <v>43</v>
      </c>
      <c r="E48" s="230">
        <v>80</v>
      </c>
      <c r="F48" s="230">
        <f t="shared" si="0"/>
        <v>126480</v>
      </c>
    </row>
    <row r="49" spans="1:6" ht="25.05" x14ac:dyDescent="0.3">
      <c r="A49" s="232">
        <v>48</v>
      </c>
      <c r="B49" s="229" t="s">
        <v>925</v>
      </c>
      <c r="C49" s="230">
        <v>2700</v>
      </c>
      <c r="D49" s="234" t="s">
        <v>43</v>
      </c>
      <c r="E49" s="230">
        <v>8.5</v>
      </c>
      <c r="F49" s="230">
        <f t="shared" si="0"/>
        <v>22950</v>
      </c>
    </row>
    <row r="50" spans="1:6" ht="25.05" x14ac:dyDescent="0.3">
      <c r="A50" s="232">
        <v>49</v>
      </c>
      <c r="B50" s="229" t="s">
        <v>926</v>
      </c>
      <c r="C50" s="230">
        <v>2200</v>
      </c>
      <c r="D50" s="234" t="s">
        <v>43</v>
      </c>
      <c r="E50" s="230">
        <v>10.220000000000001</v>
      </c>
      <c r="F50" s="230">
        <f t="shared" si="0"/>
        <v>22484</v>
      </c>
    </row>
    <row r="51" spans="1:6" ht="25.05" x14ac:dyDescent="0.3">
      <c r="A51" s="234">
        <v>50</v>
      </c>
      <c r="B51" s="229" t="s">
        <v>927</v>
      </c>
      <c r="C51" s="230">
        <v>1634</v>
      </c>
      <c r="D51" s="234" t="s">
        <v>43</v>
      </c>
      <c r="E51" s="230">
        <v>14.03</v>
      </c>
      <c r="F51" s="230">
        <f t="shared" si="0"/>
        <v>22925.02</v>
      </c>
    </row>
    <row r="52" spans="1:6" x14ac:dyDescent="0.3">
      <c r="A52" s="232">
        <v>51</v>
      </c>
      <c r="B52" s="229" t="s">
        <v>929</v>
      </c>
      <c r="C52" s="230">
        <v>2700</v>
      </c>
      <c r="D52" s="234" t="s">
        <v>44</v>
      </c>
      <c r="E52" s="230">
        <v>2.5</v>
      </c>
      <c r="F52" s="230">
        <f t="shared" si="0"/>
        <v>6750</v>
      </c>
    </row>
    <row r="53" spans="1:6" x14ac:dyDescent="0.3">
      <c r="A53" s="232">
        <v>52</v>
      </c>
      <c r="B53" s="229" t="s">
        <v>930</v>
      </c>
      <c r="C53" s="230">
        <v>2200</v>
      </c>
      <c r="D53" s="234" t="s">
        <v>44</v>
      </c>
      <c r="E53" s="230">
        <v>3.04</v>
      </c>
      <c r="F53" s="230">
        <f t="shared" si="0"/>
        <v>6688</v>
      </c>
    </row>
    <row r="54" spans="1:6" x14ac:dyDescent="0.3">
      <c r="A54" s="232">
        <v>53</v>
      </c>
      <c r="B54" s="229" t="s">
        <v>931</v>
      </c>
      <c r="C54" s="230">
        <v>1634</v>
      </c>
      <c r="D54" s="234" t="s">
        <v>44</v>
      </c>
      <c r="E54" s="230">
        <v>4.46</v>
      </c>
      <c r="F54" s="230">
        <f t="shared" si="0"/>
        <v>7287.64</v>
      </c>
    </row>
    <row r="55" spans="1:6" x14ac:dyDescent="0.3">
      <c r="A55" s="232">
        <v>54</v>
      </c>
      <c r="B55" s="229" t="s">
        <v>924</v>
      </c>
      <c r="C55" s="230">
        <v>65</v>
      </c>
      <c r="D55" s="234" t="s">
        <v>43</v>
      </c>
      <c r="E55" s="230">
        <v>2000</v>
      </c>
      <c r="F55" s="230">
        <f t="shared" si="0"/>
        <v>130000</v>
      </c>
    </row>
    <row r="56" spans="1:6" x14ac:dyDescent="0.3">
      <c r="A56" s="232">
        <v>55</v>
      </c>
      <c r="B56" s="229" t="s">
        <v>933</v>
      </c>
      <c r="C56" s="230">
        <v>450</v>
      </c>
      <c r="D56" s="234" t="s">
        <v>43</v>
      </c>
      <c r="E56" s="230">
        <v>66</v>
      </c>
      <c r="F56" s="230">
        <f t="shared" si="0"/>
        <v>29700</v>
      </c>
    </row>
    <row r="57" spans="1:6" x14ac:dyDescent="0.3">
      <c r="A57" s="232">
        <v>56</v>
      </c>
      <c r="B57" s="229" t="s">
        <v>934</v>
      </c>
      <c r="C57" s="230">
        <v>12</v>
      </c>
      <c r="D57" s="234" t="s">
        <v>43</v>
      </c>
      <c r="E57" s="230">
        <v>350</v>
      </c>
      <c r="F57" s="230">
        <f t="shared" si="0"/>
        <v>4200</v>
      </c>
    </row>
    <row r="58" spans="1:6" x14ac:dyDescent="0.3">
      <c r="A58" s="232">
        <v>57</v>
      </c>
      <c r="B58" s="229" t="s">
        <v>935</v>
      </c>
      <c r="C58" s="230">
        <v>190</v>
      </c>
      <c r="D58" s="234" t="s">
        <v>43</v>
      </c>
      <c r="E58" s="230">
        <v>283.5</v>
      </c>
      <c r="F58" s="230">
        <f t="shared" si="0"/>
        <v>53865</v>
      </c>
    </row>
    <row r="59" spans="1:6" x14ac:dyDescent="0.3">
      <c r="A59" s="232">
        <v>58</v>
      </c>
      <c r="B59" s="229" t="s">
        <v>936</v>
      </c>
      <c r="C59" s="230">
        <v>528</v>
      </c>
      <c r="D59" s="234" t="s">
        <v>43</v>
      </c>
      <c r="E59" s="230">
        <v>146.29</v>
      </c>
      <c r="F59" s="230">
        <f t="shared" si="0"/>
        <v>77241.119999999995</v>
      </c>
    </row>
    <row r="60" spans="1:6" x14ac:dyDescent="0.3">
      <c r="A60" s="234">
        <v>59</v>
      </c>
      <c r="B60" s="229" t="s">
        <v>937</v>
      </c>
      <c r="C60" s="230">
        <v>3</v>
      </c>
      <c r="D60" s="234" t="s">
        <v>43</v>
      </c>
      <c r="E60" s="230">
        <v>649</v>
      </c>
      <c r="F60" s="230">
        <f t="shared" si="0"/>
        <v>1947</v>
      </c>
    </row>
    <row r="61" spans="1:6" x14ac:dyDescent="0.3">
      <c r="A61" s="232">
        <v>60</v>
      </c>
      <c r="B61" s="229" t="s">
        <v>938</v>
      </c>
      <c r="C61" s="230">
        <v>900</v>
      </c>
      <c r="D61" s="234" t="s">
        <v>44</v>
      </c>
      <c r="E61" s="230">
        <v>165</v>
      </c>
      <c r="F61" s="230">
        <f t="shared" si="0"/>
        <v>148500</v>
      </c>
    </row>
    <row r="62" spans="1:6" ht="25.05" x14ac:dyDescent="0.3">
      <c r="A62" s="232">
        <v>61</v>
      </c>
      <c r="B62" s="229" t="s">
        <v>940</v>
      </c>
      <c r="C62" s="230">
        <v>1</v>
      </c>
      <c r="D62" s="234" t="s">
        <v>497</v>
      </c>
      <c r="E62" s="230">
        <v>12000</v>
      </c>
      <c r="F62" s="230">
        <f t="shared" si="0"/>
        <v>12000</v>
      </c>
    </row>
    <row r="63" spans="1:6" ht="25.05" x14ac:dyDescent="0.3">
      <c r="A63" s="232">
        <v>62</v>
      </c>
      <c r="B63" s="229" t="s">
        <v>932</v>
      </c>
      <c r="C63" s="230">
        <v>1</v>
      </c>
      <c r="D63" s="234" t="s">
        <v>497</v>
      </c>
      <c r="E63" s="230">
        <v>80000</v>
      </c>
      <c r="F63" s="230">
        <f t="shared" si="0"/>
        <v>80000</v>
      </c>
    </row>
    <row r="64" spans="1:6" x14ac:dyDescent="0.3">
      <c r="A64" s="253"/>
      <c r="B64" s="253"/>
      <c r="C64" s="253"/>
      <c r="D64" s="253"/>
      <c r="E64" s="261" t="s">
        <v>941</v>
      </c>
      <c r="F64" s="231">
        <f>SUM(F3:F63)</f>
        <v>5039417.76</v>
      </c>
    </row>
    <row r="65" spans="1:6" x14ac:dyDescent="0.3">
      <c r="A65" s="253"/>
      <c r="B65" s="253"/>
      <c r="C65" s="253"/>
      <c r="D65" s="253"/>
      <c r="E65" s="254"/>
      <c r="F65" s="255"/>
    </row>
    <row r="66" spans="1:6" x14ac:dyDescent="0.3">
      <c r="A66" s="253"/>
      <c r="B66" s="253"/>
      <c r="C66" s="253"/>
      <c r="D66" s="253"/>
      <c r="E66" s="254"/>
      <c r="F66" s="255"/>
    </row>
    <row r="67" spans="1:6" x14ac:dyDescent="0.3">
      <c r="A67" s="1497" t="s">
        <v>939</v>
      </c>
      <c r="B67" s="1497"/>
      <c r="C67" s="1497"/>
      <c r="D67" s="1497"/>
      <c r="E67" s="1497"/>
      <c r="F67" s="1497"/>
    </row>
    <row r="68" spans="1:6" x14ac:dyDescent="0.3">
      <c r="A68" s="252" t="s">
        <v>755</v>
      </c>
      <c r="B68" s="252" t="s">
        <v>1044</v>
      </c>
      <c r="C68" s="252" t="s">
        <v>882</v>
      </c>
      <c r="D68" s="252" t="s">
        <v>1045</v>
      </c>
      <c r="E68" s="252" t="s">
        <v>883</v>
      </c>
      <c r="F68" s="252" t="s">
        <v>1034</v>
      </c>
    </row>
    <row r="69" spans="1:6" x14ac:dyDescent="0.3">
      <c r="A69" s="234">
        <v>1</v>
      </c>
      <c r="B69" s="233" t="s">
        <v>1051</v>
      </c>
      <c r="C69" s="234">
        <v>1</v>
      </c>
      <c r="D69" s="234" t="s">
        <v>44</v>
      </c>
      <c r="E69" s="234">
        <v>193810</v>
      </c>
      <c r="F69" s="234">
        <f t="shared" ref="F69:F78" si="1">E69*C69</f>
        <v>193810</v>
      </c>
    </row>
    <row r="70" spans="1:6" x14ac:dyDescent="0.3">
      <c r="A70" s="234">
        <v>2</v>
      </c>
      <c r="B70" s="233" t="s">
        <v>1052</v>
      </c>
      <c r="C70" s="234">
        <v>1</v>
      </c>
      <c r="D70" s="234" t="s">
        <v>44</v>
      </c>
      <c r="E70" s="234">
        <v>71370</v>
      </c>
      <c r="F70" s="234">
        <f t="shared" si="1"/>
        <v>71370</v>
      </c>
    </row>
    <row r="71" spans="1:6" x14ac:dyDescent="0.3">
      <c r="A71" s="234">
        <v>3</v>
      </c>
      <c r="B71" s="233" t="s">
        <v>1053</v>
      </c>
      <c r="C71" s="234">
        <v>1</v>
      </c>
      <c r="D71" s="234" t="s">
        <v>44</v>
      </c>
      <c r="E71" s="234">
        <v>58780</v>
      </c>
      <c r="F71" s="234">
        <f t="shared" si="1"/>
        <v>58780</v>
      </c>
    </row>
    <row r="72" spans="1:6" x14ac:dyDescent="0.3">
      <c r="A72" s="234">
        <v>4</v>
      </c>
      <c r="B72" s="233" t="s">
        <v>1054</v>
      </c>
      <c r="C72" s="234">
        <v>1</v>
      </c>
      <c r="D72" s="234" t="s">
        <v>44</v>
      </c>
      <c r="E72" s="234">
        <v>24800</v>
      </c>
      <c r="F72" s="234">
        <f t="shared" si="1"/>
        <v>24800</v>
      </c>
    </row>
    <row r="73" spans="1:6" x14ac:dyDescent="0.3">
      <c r="A73" s="234">
        <v>5</v>
      </c>
      <c r="B73" s="233" t="s">
        <v>1055</v>
      </c>
      <c r="C73" s="234">
        <v>1</v>
      </c>
      <c r="D73" s="234" t="s">
        <v>44</v>
      </c>
      <c r="E73" s="234">
        <v>53790</v>
      </c>
      <c r="F73" s="234">
        <f t="shared" si="1"/>
        <v>53790</v>
      </c>
    </row>
    <row r="74" spans="1:6" x14ac:dyDescent="0.3">
      <c r="A74" s="234">
        <v>6</v>
      </c>
      <c r="B74" s="233" t="s">
        <v>1056</v>
      </c>
      <c r="C74" s="234">
        <v>285</v>
      </c>
      <c r="D74" s="234" t="s">
        <v>44</v>
      </c>
      <c r="E74" s="234">
        <v>2050</v>
      </c>
      <c r="F74" s="234">
        <f t="shared" si="1"/>
        <v>584250</v>
      </c>
    </row>
    <row r="75" spans="1:6" x14ac:dyDescent="0.3">
      <c r="A75" s="234">
        <v>7</v>
      </c>
      <c r="B75" s="233" t="s">
        <v>1057</v>
      </c>
      <c r="C75" s="234">
        <v>1</v>
      </c>
      <c r="D75" s="234" t="s">
        <v>44</v>
      </c>
      <c r="E75" s="234">
        <v>4740</v>
      </c>
      <c r="F75" s="234">
        <f t="shared" si="1"/>
        <v>4740</v>
      </c>
    </row>
    <row r="76" spans="1:6" x14ac:dyDescent="0.3">
      <c r="A76" s="234">
        <v>8</v>
      </c>
      <c r="B76" s="233" t="s">
        <v>1058</v>
      </c>
      <c r="C76" s="234">
        <v>1</v>
      </c>
      <c r="D76" s="234" t="s">
        <v>44</v>
      </c>
      <c r="E76" s="291">
        <v>17228.16</v>
      </c>
      <c r="F76" s="234">
        <f t="shared" si="1"/>
        <v>17228.16</v>
      </c>
    </row>
    <row r="77" spans="1:6" x14ac:dyDescent="0.3">
      <c r="A77" s="234">
        <v>9</v>
      </c>
      <c r="B77" s="233" t="s">
        <v>1059</v>
      </c>
      <c r="C77" s="234">
        <v>1</v>
      </c>
      <c r="D77" s="234" t="s">
        <v>44</v>
      </c>
      <c r="E77" s="291">
        <v>20485.2</v>
      </c>
      <c r="F77" s="234">
        <f t="shared" si="1"/>
        <v>20485.2</v>
      </c>
    </row>
    <row r="78" spans="1:6" x14ac:dyDescent="0.3">
      <c r="A78" s="234">
        <v>10</v>
      </c>
      <c r="B78" s="260" t="s">
        <v>1060</v>
      </c>
      <c r="C78" s="234">
        <v>46</v>
      </c>
      <c r="D78" s="256" t="s">
        <v>44</v>
      </c>
      <c r="E78" s="291">
        <v>23342.240000000002</v>
      </c>
      <c r="F78" s="234">
        <f t="shared" si="1"/>
        <v>1073743.04</v>
      </c>
    </row>
    <row r="79" spans="1:6" x14ac:dyDescent="0.3">
      <c r="A79" s="250"/>
      <c r="B79" s="257"/>
      <c r="C79" s="250"/>
      <c r="D79" s="250"/>
      <c r="E79" s="258" t="s">
        <v>941</v>
      </c>
      <c r="F79" s="259">
        <f>SUM(F69:F78)</f>
        <v>2102996.4</v>
      </c>
    </row>
    <row r="80" spans="1:6" x14ac:dyDescent="0.3">
      <c r="A80" s="250"/>
      <c r="B80" s="250"/>
      <c r="C80" s="250"/>
      <c r="D80" s="250"/>
      <c r="E80" s="250"/>
      <c r="F80" s="250"/>
    </row>
    <row r="81" spans="1:6" x14ac:dyDescent="0.3">
      <c r="A81" s="250"/>
      <c r="B81" s="250"/>
      <c r="C81" s="250"/>
      <c r="D81" s="250"/>
      <c r="E81" s="261" t="s">
        <v>1041</v>
      </c>
      <c r="F81" s="231">
        <f>F79+F64</f>
        <v>7142414.1600000001</v>
      </c>
    </row>
  </sheetData>
  <mergeCells count="2">
    <mergeCell ref="A1:F1"/>
    <mergeCell ref="A67:F6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6" sqref="H6"/>
    </sheetView>
  </sheetViews>
  <sheetFormatPr defaultRowHeight="15.05" x14ac:dyDescent="0.3"/>
  <cols>
    <col min="1" max="1" width="3" bestFit="1" customWidth="1"/>
    <col min="2" max="2" width="47.88671875" bestFit="1" customWidth="1"/>
    <col min="3" max="3" width="7.5546875" bestFit="1" customWidth="1"/>
    <col min="4" max="4" width="3.88671875" bestFit="1" customWidth="1"/>
    <col min="5" max="5" width="8.5546875" bestFit="1" customWidth="1"/>
    <col min="6" max="6" width="9.5546875" bestFit="1" customWidth="1"/>
  </cols>
  <sheetData>
    <row r="1" spans="1:6" x14ac:dyDescent="0.3">
      <c r="A1" s="1496" t="s">
        <v>1061</v>
      </c>
      <c r="B1" s="1496"/>
      <c r="C1" s="1496"/>
      <c r="D1" s="1496"/>
      <c r="E1" s="1496"/>
      <c r="F1" s="1496"/>
    </row>
    <row r="2" spans="1:6" x14ac:dyDescent="0.3">
      <c r="A2" s="1497"/>
      <c r="B2" s="1497"/>
      <c r="C2" s="1497"/>
      <c r="D2" s="1497"/>
      <c r="E2" s="1497"/>
      <c r="F2" s="1497"/>
    </row>
    <row r="3" spans="1:6" x14ac:dyDescent="0.3">
      <c r="A3" s="252" t="s">
        <v>755</v>
      </c>
      <c r="B3" s="252" t="s">
        <v>1044</v>
      </c>
      <c r="C3" s="252" t="s">
        <v>882</v>
      </c>
      <c r="D3" s="252" t="s">
        <v>1045</v>
      </c>
      <c r="E3" s="252" t="s">
        <v>883</v>
      </c>
      <c r="F3" s="252" t="s">
        <v>1034</v>
      </c>
    </row>
    <row r="4" spans="1:6" x14ac:dyDescent="0.3">
      <c r="A4" s="1510" t="s">
        <v>1062</v>
      </c>
      <c r="B4" s="1510"/>
      <c r="C4" s="1510"/>
      <c r="D4" s="1510"/>
      <c r="E4" s="1510"/>
      <c r="F4" s="1510"/>
    </row>
    <row r="5" spans="1:6" x14ac:dyDescent="0.3">
      <c r="A5" s="232">
        <v>1</v>
      </c>
      <c r="B5" s="229" t="s">
        <v>1003</v>
      </c>
      <c r="C5" s="230">
        <v>30</v>
      </c>
      <c r="D5" s="234" t="s">
        <v>44</v>
      </c>
      <c r="E5" s="230">
        <v>1250</v>
      </c>
      <c r="F5" s="230">
        <f t="shared" ref="F5:F19" si="0">E5*C5</f>
        <v>37500</v>
      </c>
    </row>
    <row r="6" spans="1:6" x14ac:dyDescent="0.3">
      <c r="A6" s="232">
        <v>2</v>
      </c>
      <c r="B6" s="229" t="s">
        <v>1004</v>
      </c>
      <c r="C6" s="230">
        <v>3</v>
      </c>
      <c r="D6" s="234" t="s">
        <v>44</v>
      </c>
      <c r="E6" s="230">
        <v>4500</v>
      </c>
      <c r="F6" s="230">
        <f t="shared" si="0"/>
        <v>13500</v>
      </c>
    </row>
    <row r="7" spans="1:6" x14ac:dyDescent="0.3">
      <c r="A7" s="232">
        <v>3</v>
      </c>
      <c r="B7" s="229" t="s">
        <v>1005</v>
      </c>
      <c r="C7" s="230">
        <v>6</v>
      </c>
      <c r="D7" s="234" t="s">
        <v>44</v>
      </c>
      <c r="E7" s="230">
        <v>3000</v>
      </c>
      <c r="F7" s="230">
        <f t="shared" si="0"/>
        <v>18000</v>
      </c>
    </row>
    <row r="8" spans="1:6" x14ac:dyDescent="0.3">
      <c r="A8" s="232">
        <v>4</v>
      </c>
      <c r="B8" s="229" t="s">
        <v>1006</v>
      </c>
      <c r="C8" s="230">
        <v>1</v>
      </c>
      <c r="D8" s="234" t="s">
        <v>44</v>
      </c>
      <c r="E8" s="230">
        <v>6900</v>
      </c>
      <c r="F8" s="230">
        <f t="shared" si="0"/>
        <v>6900</v>
      </c>
    </row>
    <row r="9" spans="1:6" x14ac:dyDescent="0.3">
      <c r="A9" s="232">
        <v>5</v>
      </c>
      <c r="B9" s="229" t="s">
        <v>1007</v>
      </c>
      <c r="C9" s="230">
        <v>350</v>
      </c>
      <c r="D9" s="234" t="s">
        <v>44</v>
      </c>
      <c r="E9" s="230">
        <v>260</v>
      </c>
      <c r="F9" s="230">
        <f t="shared" si="0"/>
        <v>91000</v>
      </c>
    </row>
    <row r="10" spans="1:6" x14ac:dyDescent="0.3">
      <c r="A10" s="232">
        <v>6</v>
      </c>
      <c r="B10" s="229" t="s">
        <v>1008</v>
      </c>
      <c r="C10" s="230">
        <v>1</v>
      </c>
      <c r="D10" s="234" t="s">
        <v>44</v>
      </c>
      <c r="E10" s="230">
        <v>10000</v>
      </c>
      <c r="F10" s="230">
        <f t="shared" si="0"/>
        <v>10000</v>
      </c>
    </row>
    <row r="11" spans="1:6" x14ac:dyDescent="0.3">
      <c r="A11" s="232">
        <v>7</v>
      </c>
      <c r="B11" s="229" t="s">
        <v>1009</v>
      </c>
      <c r="C11" s="230">
        <v>1</v>
      </c>
      <c r="D11" s="234" t="s">
        <v>44</v>
      </c>
      <c r="E11" s="230">
        <v>23310</v>
      </c>
      <c r="F11" s="230">
        <f t="shared" si="0"/>
        <v>23310</v>
      </c>
    </row>
    <row r="12" spans="1:6" x14ac:dyDescent="0.3">
      <c r="A12" s="232">
        <v>8</v>
      </c>
      <c r="B12" s="229" t="s">
        <v>1010</v>
      </c>
      <c r="C12" s="230">
        <v>1</v>
      </c>
      <c r="D12" s="234" t="s">
        <v>44</v>
      </c>
      <c r="E12" s="230">
        <v>3000</v>
      </c>
      <c r="F12" s="230">
        <f t="shared" si="0"/>
        <v>3000</v>
      </c>
    </row>
    <row r="13" spans="1:6" x14ac:dyDescent="0.3">
      <c r="A13" s="232">
        <v>9</v>
      </c>
      <c r="B13" s="229" t="s">
        <v>1011</v>
      </c>
      <c r="C13" s="230">
        <v>3</v>
      </c>
      <c r="D13" s="234" t="s">
        <v>44</v>
      </c>
      <c r="E13" s="230">
        <v>650</v>
      </c>
      <c r="F13" s="230">
        <f t="shared" si="0"/>
        <v>1950</v>
      </c>
    </row>
    <row r="14" spans="1:6" x14ac:dyDescent="0.3">
      <c r="A14" s="232">
        <v>10</v>
      </c>
      <c r="B14" s="229" t="s">
        <v>1012</v>
      </c>
      <c r="C14" s="230">
        <v>1135</v>
      </c>
      <c r="D14" s="234" t="s">
        <v>44</v>
      </c>
      <c r="E14" s="230">
        <v>30</v>
      </c>
      <c r="F14" s="230">
        <f t="shared" si="0"/>
        <v>34050</v>
      </c>
    </row>
    <row r="15" spans="1:6" x14ac:dyDescent="0.3">
      <c r="A15" s="232">
        <v>11</v>
      </c>
      <c r="B15" s="229" t="s">
        <v>1013</v>
      </c>
      <c r="C15" s="230">
        <v>150</v>
      </c>
      <c r="D15" s="234" t="s">
        <v>44</v>
      </c>
      <c r="E15" s="230">
        <v>30</v>
      </c>
      <c r="F15" s="230">
        <f t="shared" si="0"/>
        <v>4500</v>
      </c>
    </row>
    <row r="16" spans="1:6" x14ac:dyDescent="0.3">
      <c r="A16" s="1510" t="s">
        <v>1014</v>
      </c>
      <c r="B16" s="1510"/>
      <c r="C16" s="1510"/>
      <c r="D16" s="1510"/>
      <c r="E16" s="1510"/>
      <c r="F16" s="1510"/>
    </row>
    <row r="17" spans="1:6" x14ac:dyDescent="0.3">
      <c r="A17" s="232">
        <v>12</v>
      </c>
      <c r="B17" s="229" t="s">
        <v>1015</v>
      </c>
      <c r="C17" s="230">
        <v>20</v>
      </c>
      <c r="D17" s="234" t="s">
        <v>79</v>
      </c>
      <c r="E17" s="230">
        <v>300</v>
      </c>
      <c r="F17" s="230">
        <f t="shared" si="0"/>
        <v>6000</v>
      </c>
    </row>
    <row r="18" spans="1:6" x14ac:dyDescent="0.3">
      <c r="A18" s="232">
        <v>13</v>
      </c>
      <c r="B18" s="229" t="s">
        <v>1016</v>
      </c>
      <c r="C18" s="230">
        <v>2300</v>
      </c>
      <c r="D18" s="234" t="s">
        <v>44</v>
      </c>
      <c r="E18" s="230">
        <v>28.39</v>
      </c>
      <c r="F18" s="230">
        <f t="shared" si="0"/>
        <v>65297</v>
      </c>
    </row>
    <row r="19" spans="1:6" x14ac:dyDescent="0.3">
      <c r="A19" s="232">
        <v>14</v>
      </c>
      <c r="B19" s="229" t="s">
        <v>1017</v>
      </c>
      <c r="C19" s="230">
        <v>2300</v>
      </c>
      <c r="D19" s="234" t="s">
        <v>43</v>
      </c>
      <c r="E19" s="230">
        <v>10.86</v>
      </c>
      <c r="F19" s="230">
        <f t="shared" si="0"/>
        <v>24978</v>
      </c>
    </row>
    <row r="20" spans="1:6" x14ac:dyDescent="0.3">
      <c r="A20" s="253"/>
      <c r="B20" s="253"/>
      <c r="C20" s="253"/>
      <c r="D20" s="253"/>
      <c r="E20" s="258" t="s">
        <v>941</v>
      </c>
      <c r="F20" s="290">
        <f>SUM(F4:F19)</f>
        <v>339985</v>
      </c>
    </row>
  </sheetData>
  <mergeCells count="4">
    <mergeCell ref="A1:F1"/>
    <mergeCell ref="A2:F2"/>
    <mergeCell ref="A4:F4"/>
    <mergeCell ref="A16:F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4" sqref="A4:XFD25"/>
    </sheetView>
  </sheetViews>
  <sheetFormatPr defaultColWidth="88" defaultRowHeight="15.05" x14ac:dyDescent="0.3"/>
  <cols>
    <col min="1" max="1" width="3" bestFit="1" customWidth="1"/>
    <col min="2" max="2" width="49.5546875" bestFit="1" customWidth="1"/>
    <col min="3" max="3" width="7.5546875" bestFit="1" customWidth="1"/>
    <col min="4" max="4" width="3.88671875" bestFit="1" customWidth="1"/>
    <col min="5" max="5" width="8.5546875" bestFit="1" customWidth="1"/>
    <col min="6" max="6" width="10.5546875" bestFit="1" customWidth="1"/>
  </cols>
  <sheetData>
    <row r="1" spans="1:6" x14ac:dyDescent="0.3">
      <c r="A1" s="1511" t="s">
        <v>1063</v>
      </c>
      <c r="B1" s="1511"/>
      <c r="C1" s="1511"/>
      <c r="D1" s="1511"/>
      <c r="E1" s="1511"/>
      <c r="F1" s="1511"/>
    </row>
    <row r="2" spans="1:6" x14ac:dyDescent="0.3">
      <c r="A2" s="1512"/>
      <c r="B2" s="1512"/>
      <c r="C2" s="1512"/>
      <c r="D2" s="1512"/>
      <c r="E2" s="1512"/>
      <c r="F2" s="1512"/>
    </row>
    <row r="3" spans="1:6" x14ac:dyDescent="0.3">
      <c r="A3" s="284" t="s">
        <v>755</v>
      </c>
      <c r="B3" s="284" t="s">
        <v>1044</v>
      </c>
      <c r="C3" s="284" t="s">
        <v>882</v>
      </c>
      <c r="D3" s="284" t="s">
        <v>1045</v>
      </c>
      <c r="E3" s="284" t="s">
        <v>883</v>
      </c>
      <c r="F3" s="284" t="s">
        <v>1034</v>
      </c>
    </row>
    <row r="4" spans="1:6" x14ac:dyDescent="0.3">
      <c r="A4" s="285">
        <v>1</v>
      </c>
      <c r="B4" s="286" t="s">
        <v>987</v>
      </c>
      <c r="C4" s="280">
        <v>5</v>
      </c>
      <c r="D4" s="279" t="s">
        <v>44</v>
      </c>
      <c r="E4" s="280">
        <v>1274.5</v>
      </c>
      <c r="F4" s="280">
        <v>6372.5</v>
      </c>
    </row>
    <row r="5" spans="1:6" x14ac:dyDescent="0.3">
      <c r="A5" s="285">
        <v>2</v>
      </c>
      <c r="B5" s="286" t="s">
        <v>988</v>
      </c>
      <c r="C5" s="280">
        <v>144</v>
      </c>
      <c r="D5" s="279" t="s">
        <v>44</v>
      </c>
      <c r="E5" s="280">
        <v>10.23</v>
      </c>
      <c r="F5" s="280">
        <v>1473.1200000000001</v>
      </c>
    </row>
    <row r="6" spans="1:6" x14ac:dyDescent="0.3">
      <c r="A6" s="285">
        <v>3</v>
      </c>
      <c r="B6" s="286" t="s">
        <v>989</v>
      </c>
      <c r="C6" s="280">
        <v>14</v>
      </c>
      <c r="D6" s="279" t="s">
        <v>44</v>
      </c>
      <c r="E6" s="280">
        <v>2211.58</v>
      </c>
      <c r="F6" s="280">
        <v>30962.12</v>
      </c>
    </row>
    <row r="7" spans="1:6" x14ac:dyDescent="0.3">
      <c r="A7" s="285">
        <v>4</v>
      </c>
      <c r="B7" s="286" t="s">
        <v>944</v>
      </c>
      <c r="C7" s="280">
        <v>1</v>
      </c>
      <c r="D7" s="279" t="s">
        <v>44</v>
      </c>
      <c r="E7" s="280">
        <v>7281.76</v>
      </c>
      <c r="F7" s="280">
        <v>7281.76</v>
      </c>
    </row>
    <row r="8" spans="1:6" x14ac:dyDescent="0.3">
      <c r="A8" s="285">
        <v>5</v>
      </c>
      <c r="B8" s="286" t="s">
        <v>990</v>
      </c>
      <c r="C8" s="280">
        <v>3</v>
      </c>
      <c r="D8" s="279" t="s">
        <v>44</v>
      </c>
      <c r="E8" s="280">
        <v>786</v>
      </c>
      <c r="F8" s="280">
        <v>2358</v>
      </c>
    </row>
    <row r="9" spans="1:6" x14ac:dyDescent="0.3">
      <c r="A9" s="285">
        <v>6</v>
      </c>
      <c r="B9" s="286" t="s">
        <v>991</v>
      </c>
      <c r="C9" s="280">
        <v>429</v>
      </c>
      <c r="D9" s="279" t="s">
        <v>44</v>
      </c>
      <c r="E9" s="280">
        <v>532.51</v>
      </c>
      <c r="F9" s="280">
        <v>228446.79</v>
      </c>
    </row>
    <row r="10" spans="1:6" x14ac:dyDescent="0.3">
      <c r="A10" s="285">
        <v>7</v>
      </c>
      <c r="B10" s="286" t="s">
        <v>992</v>
      </c>
      <c r="C10" s="280">
        <v>421</v>
      </c>
      <c r="D10" s="279" t="s">
        <v>44</v>
      </c>
      <c r="E10" s="280">
        <v>763.45</v>
      </c>
      <c r="F10" s="280">
        <v>321412.45</v>
      </c>
    </row>
    <row r="11" spans="1:6" x14ac:dyDescent="0.3">
      <c r="A11" s="285">
        <v>8</v>
      </c>
      <c r="B11" s="286" t="s">
        <v>993</v>
      </c>
      <c r="C11" s="280">
        <v>12</v>
      </c>
      <c r="D11" s="279" t="s">
        <v>44</v>
      </c>
      <c r="E11" s="280">
        <v>499</v>
      </c>
      <c r="F11" s="280">
        <v>5988</v>
      </c>
    </row>
    <row r="12" spans="1:6" x14ac:dyDescent="0.3">
      <c r="A12" s="285">
        <v>9</v>
      </c>
      <c r="B12" s="286" t="s">
        <v>994</v>
      </c>
      <c r="C12" s="280">
        <v>623</v>
      </c>
      <c r="D12" s="279" t="s">
        <v>44</v>
      </c>
      <c r="E12" s="280">
        <v>734.62</v>
      </c>
      <c r="F12" s="280">
        <v>457668.26</v>
      </c>
    </row>
    <row r="13" spans="1:6" x14ac:dyDescent="0.3">
      <c r="A13" s="285">
        <v>10</v>
      </c>
      <c r="B13" s="286" t="s">
        <v>945</v>
      </c>
      <c r="C13" s="280">
        <v>27</v>
      </c>
      <c r="D13" s="279" t="s">
        <v>44</v>
      </c>
      <c r="E13" s="280">
        <v>425.02</v>
      </c>
      <c r="F13" s="280">
        <v>11475.539999999999</v>
      </c>
    </row>
    <row r="14" spans="1:6" x14ac:dyDescent="0.3">
      <c r="A14" s="285">
        <v>11</v>
      </c>
      <c r="B14" s="286" t="s">
        <v>995</v>
      </c>
      <c r="C14" s="280">
        <v>5</v>
      </c>
      <c r="D14" s="279" t="s">
        <v>44</v>
      </c>
      <c r="E14" s="280">
        <v>4699</v>
      </c>
      <c r="F14" s="280">
        <v>23495</v>
      </c>
    </row>
    <row r="15" spans="1:6" x14ac:dyDescent="0.3">
      <c r="A15" s="285">
        <v>14</v>
      </c>
      <c r="B15" s="286" t="s">
        <v>996</v>
      </c>
      <c r="C15" s="280">
        <v>50</v>
      </c>
      <c r="D15" s="279" t="s">
        <v>44</v>
      </c>
      <c r="E15" s="280">
        <v>333.83</v>
      </c>
      <c r="F15" s="280">
        <v>16691.5</v>
      </c>
    </row>
    <row r="16" spans="1:6" x14ac:dyDescent="0.3">
      <c r="A16" s="285">
        <v>16</v>
      </c>
      <c r="B16" s="286" t="s">
        <v>948</v>
      </c>
      <c r="C16" s="280">
        <v>2</v>
      </c>
      <c r="D16" s="279" t="s">
        <v>44</v>
      </c>
      <c r="E16" s="280">
        <v>11134.5</v>
      </c>
      <c r="F16" s="280">
        <v>22269</v>
      </c>
    </row>
    <row r="17" spans="1:6" x14ac:dyDescent="0.3">
      <c r="A17" s="285">
        <v>18</v>
      </c>
      <c r="B17" s="287" t="s">
        <v>962</v>
      </c>
      <c r="C17" s="283">
        <v>103</v>
      </c>
      <c r="D17" s="282" t="s">
        <v>43</v>
      </c>
      <c r="E17" s="283">
        <v>10</v>
      </c>
      <c r="F17" s="280">
        <v>1030</v>
      </c>
    </row>
    <row r="18" spans="1:6" x14ac:dyDescent="0.3">
      <c r="A18" s="285">
        <v>19</v>
      </c>
      <c r="B18" s="287" t="s">
        <v>998</v>
      </c>
      <c r="C18" s="283">
        <v>6743</v>
      </c>
      <c r="D18" s="282" t="s">
        <v>43</v>
      </c>
      <c r="E18" s="283">
        <v>16.239999999999998</v>
      </c>
      <c r="F18" s="280">
        <v>109506.31999999999</v>
      </c>
    </row>
    <row r="19" spans="1:6" x14ac:dyDescent="0.3">
      <c r="A19" s="285">
        <v>20</v>
      </c>
      <c r="B19" s="287" t="s">
        <v>964</v>
      </c>
      <c r="C19" s="283">
        <v>200</v>
      </c>
      <c r="D19" s="282" t="s">
        <v>43</v>
      </c>
      <c r="E19" s="283">
        <v>16.239999999999998</v>
      </c>
      <c r="F19" s="280">
        <v>3247.9999999999995</v>
      </c>
    </row>
    <row r="20" spans="1:6" x14ac:dyDescent="0.3">
      <c r="A20" s="285">
        <v>21</v>
      </c>
      <c r="B20" s="287" t="s">
        <v>999</v>
      </c>
      <c r="C20" s="283">
        <v>40</v>
      </c>
      <c r="D20" s="282" t="s">
        <v>43</v>
      </c>
      <c r="E20" s="283">
        <v>23.14</v>
      </c>
      <c r="F20" s="280">
        <v>925.6</v>
      </c>
    </row>
    <row r="21" spans="1:6" x14ac:dyDescent="0.3">
      <c r="A21" s="285">
        <v>23</v>
      </c>
      <c r="B21" s="287" t="s">
        <v>969</v>
      </c>
      <c r="C21" s="283">
        <v>100</v>
      </c>
      <c r="D21" s="282" t="s">
        <v>43</v>
      </c>
      <c r="E21" s="283">
        <v>13.51</v>
      </c>
      <c r="F21" s="280">
        <v>1351</v>
      </c>
    </row>
    <row r="22" spans="1:6" x14ac:dyDescent="0.3">
      <c r="A22" s="285">
        <v>24</v>
      </c>
      <c r="B22" s="287" t="s">
        <v>1000</v>
      </c>
      <c r="C22" s="283">
        <v>3</v>
      </c>
      <c r="D22" s="282" t="s">
        <v>44</v>
      </c>
      <c r="E22" s="283">
        <v>3680.81</v>
      </c>
      <c r="F22" s="280">
        <v>11042.43</v>
      </c>
    </row>
    <row r="23" spans="1:6" x14ac:dyDescent="0.3">
      <c r="A23" s="285">
        <v>25</v>
      </c>
      <c r="B23" s="287" t="s">
        <v>1001</v>
      </c>
      <c r="C23" s="283">
        <v>1800</v>
      </c>
      <c r="D23" s="282" t="s">
        <v>43</v>
      </c>
      <c r="E23" s="283">
        <v>17.84</v>
      </c>
      <c r="F23" s="280">
        <v>32112</v>
      </c>
    </row>
    <row r="24" spans="1:6" x14ac:dyDescent="0.3">
      <c r="A24" s="285">
        <v>26</v>
      </c>
      <c r="B24" s="287" t="s">
        <v>1002</v>
      </c>
      <c r="C24" s="283">
        <v>20</v>
      </c>
      <c r="D24" s="282" t="s">
        <v>79</v>
      </c>
      <c r="E24" s="283">
        <v>300</v>
      </c>
      <c r="F24" s="280">
        <v>6000</v>
      </c>
    </row>
    <row r="25" spans="1:6" x14ac:dyDescent="0.3">
      <c r="A25" s="285">
        <v>27</v>
      </c>
      <c r="B25" s="287" t="s">
        <v>997</v>
      </c>
      <c r="C25" s="283">
        <v>1</v>
      </c>
      <c r="D25" s="282" t="s">
        <v>44</v>
      </c>
      <c r="E25" s="283">
        <v>1738.86</v>
      </c>
      <c r="F25" s="280">
        <v>1738.86</v>
      </c>
    </row>
    <row r="26" spans="1:6" x14ac:dyDescent="0.3">
      <c r="A26" s="281"/>
      <c r="B26" s="281"/>
      <c r="C26" s="281"/>
      <c r="D26" s="281"/>
      <c r="E26" s="288" t="s">
        <v>941</v>
      </c>
      <c r="F26" s="289">
        <v>1302848.2500000002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8" workbookViewId="0">
      <selection activeCell="H55" sqref="H55"/>
    </sheetView>
  </sheetViews>
  <sheetFormatPr defaultColWidth="38.88671875" defaultRowHeight="15.05" x14ac:dyDescent="0.3"/>
  <cols>
    <col min="1" max="1" width="3" bestFit="1" customWidth="1"/>
    <col min="2" max="2" width="63.6640625" bestFit="1" customWidth="1"/>
    <col min="3" max="3" width="7.5546875" bestFit="1" customWidth="1"/>
    <col min="4" max="4" width="3.88671875" bestFit="1" customWidth="1"/>
    <col min="5" max="5" width="8.5546875" bestFit="1" customWidth="1"/>
    <col min="6" max="6" width="9.5546875" bestFit="1" customWidth="1"/>
  </cols>
  <sheetData>
    <row r="1" spans="1:6" x14ac:dyDescent="0.3">
      <c r="A1" s="1511" t="s">
        <v>1064</v>
      </c>
      <c r="B1" s="1511"/>
      <c r="C1" s="1511"/>
      <c r="D1" s="1511"/>
      <c r="E1" s="1511"/>
      <c r="F1" s="1511"/>
    </row>
    <row r="2" spans="1:6" x14ac:dyDescent="0.3">
      <c r="A2" s="1512"/>
      <c r="B2" s="1512"/>
      <c r="C2" s="1512"/>
      <c r="D2" s="1512"/>
      <c r="E2" s="1512"/>
      <c r="F2" s="1512"/>
    </row>
    <row r="3" spans="1:6" x14ac:dyDescent="0.3">
      <c r="A3" s="269" t="s">
        <v>755</v>
      </c>
      <c r="B3" s="269" t="s">
        <v>1044</v>
      </c>
      <c r="C3" s="269" t="s">
        <v>882</v>
      </c>
      <c r="D3" s="269" t="s">
        <v>1045</v>
      </c>
      <c r="E3" s="269" t="s">
        <v>883</v>
      </c>
      <c r="F3" s="269" t="s">
        <v>1034</v>
      </c>
    </row>
    <row r="4" spans="1:6" x14ac:dyDescent="0.3">
      <c r="A4" s="1513" t="s">
        <v>1065</v>
      </c>
      <c r="B4" s="1514"/>
      <c r="C4" s="1514"/>
      <c r="D4" s="1514"/>
      <c r="E4" s="1514"/>
      <c r="F4" s="1515"/>
    </row>
    <row r="5" spans="1:6" x14ac:dyDescent="0.3">
      <c r="A5" s="270">
        <v>1</v>
      </c>
      <c r="B5" s="271" t="s">
        <v>942</v>
      </c>
      <c r="C5" s="264">
        <v>96</v>
      </c>
      <c r="D5" s="263" t="s">
        <v>44</v>
      </c>
      <c r="E5" s="264">
        <v>560</v>
      </c>
      <c r="F5" s="264">
        <v>53760</v>
      </c>
    </row>
    <row r="6" spans="1:6" x14ac:dyDescent="0.3">
      <c r="A6" s="270">
        <v>2</v>
      </c>
      <c r="B6" s="271" t="s">
        <v>943</v>
      </c>
      <c r="C6" s="264">
        <v>93</v>
      </c>
      <c r="D6" s="263" t="s">
        <v>44</v>
      </c>
      <c r="E6" s="264">
        <v>169.45</v>
      </c>
      <c r="F6" s="264">
        <v>15758.849999999999</v>
      </c>
    </row>
    <row r="7" spans="1:6" x14ac:dyDescent="0.3">
      <c r="A7" s="270">
        <v>3</v>
      </c>
      <c r="B7" s="271" t="s">
        <v>944</v>
      </c>
      <c r="C7" s="264">
        <v>1</v>
      </c>
      <c r="D7" s="263" t="s">
        <v>44</v>
      </c>
      <c r="E7" s="264">
        <v>7281.76</v>
      </c>
      <c r="F7" s="264">
        <v>7281.76</v>
      </c>
    </row>
    <row r="8" spans="1:6" x14ac:dyDescent="0.3">
      <c r="A8" s="270">
        <v>4</v>
      </c>
      <c r="B8" s="271" t="s">
        <v>945</v>
      </c>
      <c r="C8" s="264">
        <v>27</v>
      </c>
      <c r="D8" s="263" t="s">
        <v>44</v>
      </c>
      <c r="E8" s="264">
        <v>425.02</v>
      </c>
      <c r="F8" s="264">
        <v>11475.539999999999</v>
      </c>
    </row>
    <row r="9" spans="1:6" x14ac:dyDescent="0.3">
      <c r="A9" s="270">
        <v>5</v>
      </c>
      <c r="B9" s="271" t="s">
        <v>946</v>
      </c>
      <c r="C9" s="264">
        <v>10</v>
      </c>
      <c r="D9" s="263" t="s">
        <v>44</v>
      </c>
      <c r="E9" s="264">
        <v>796.74</v>
      </c>
      <c r="F9" s="264">
        <v>7967.4</v>
      </c>
    </row>
    <row r="10" spans="1:6" x14ac:dyDescent="0.3">
      <c r="A10" s="270">
        <v>6</v>
      </c>
      <c r="B10" s="271" t="s">
        <v>947</v>
      </c>
      <c r="C10" s="264">
        <v>104</v>
      </c>
      <c r="D10" s="263" t="s">
        <v>44</v>
      </c>
      <c r="E10" s="264">
        <v>2222.69</v>
      </c>
      <c r="F10" s="264">
        <v>231159.76</v>
      </c>
    </row>
    <row r="11" spans="1:6" x14ac:dyDescent="0.3">
      <c r="A11" s="270">
        <v>7</v>
      </c>
      <c r="B11" s="271" t="s">
        <v>948</v>
      </c>
      <c r="C11" s="264">
        <v>1</v>
      </c>
      <c r="D11" s="263" t="s">
        <v>44</v>
      </c>
      <c r="E11" s="264">
        <v>11134.5</v>
      </c>
      <c r="F11" s="264">
        <v>11134.5</v>
      </c>
    </row>
    <row r="12" spans="1:6" x14ac:dyDescent="0.3">
      <c r="A12" s="270">
        <v>8</v>
      </c>
      <c r="B12" s="271" t="s">
        <v>949</v>
      </c>
      <c r="C12" s="264">
        <v>1</v>
      </c>
      <c r="D12" s="263" t="s">
        <v>44</v>
      </c>
      <c r="E12" s="264">
        <v>750</v>
      </c>
      <c r="F12" s="264">
        <v>750</v>
      </c>
    </row>
    <row r="13" spans="1:6" x14ac:dyDescent="0.3">
      <c r="A13" s="270">
        <v>9</v>
      </c>
      <c r="B13" s="271" t="s">
        <v>950</v>
      </c>
      <c r="C13" s="264">
        <v>1</v>
      </c>
      <c r="D13" s="263" t="s">
        <v>44</v>
      </c>
      <c r="E13" s="264">
        <v>1738.86</v>
      </c>
      <c r="F13" s="264">
        <v>1738.86</v>
      </c>
    </row>
    <row r="14" spans="1:6" x14ac:dyDescent="0.3">
      <c r="A14" s="270">
        <v>10</v>
      </c>
      <c r="B14" s="271" t="s">
        <v>951</v>
      </c>
      <c r="C14" s="264">
        <v>2</v>
      </c>
      <c r="D14" s="263" t="s">
        <v>44</v>
      </c>
      <c r="E14" s="264">
        <v>26000</v>
      </c>
      <c r="F14" s="264">
        <v>52000</v>
      </c>
    </row>
    <row r="15" spans="1:6" x14ac:dyDescent="0.3">
      <c r="A15" s="270">
        <v>11</v>
      </c>
      <c r="B15" s="271" t="s">
        <v>952</v>
      </c>
      <c r="C15" s="264">
        <v>2</v>
      </c>
      <c r="D15" s="263" t="s">
        <v>44</v>
      </c>
      <c r="E15" s="264">
        <v>26000</v>
      </c>
      <c r="F15" s="264">
        <v>52000</v>
      </c>
    </row>
    <row r="16" spans="1:6" x14ac:dyDescent="0.3">
      <c r="A16" s="270">
        <v>12</v>
      </c>
      <c r="B16" s="271" t="s">
        <v>953</v>
      </c>
      <c r="C16" s="264">
        <v>3</v>
      </c>
      <c r="D16" s="263" t="s">
        <v>44</v>
      </c>
      <c r="E16" s="264">
        <v>26000</v>
      </c>
      <c r="F16" s="264">
        <v>78000</v>
      </c>
    </row>
    <row r="17" spans="1:6" x14ac:dyDescent="0.3">
      <c r="A17" s="270">
        <v>13</v>
      </c>
      <c r="B17" s="271" t="s">
        <v>954</v>
      </c>
      <c r="C17" s="264">
        <v>1</v>
      </c>
      <c r="D17" s="263" t="s">
        <v>44</v>
      </c>
      <c r="E17" s="264">
        <v>27000</v>
      </c>
      <c r="F17" s="264">
        <v>27000</v>
      </c>
    </row>
    <row r="18" spans="1:6" x14ac:dyDescent="0.3">
      <c r="A18" s="270">
        <v>14</v>
      </c>
      <c r="B18" s="271" t="s">
        <v>955</v>
      </c>
      <c r="C18" s="264">
        <v>2</v>
      </c>
      <c r="D18" s="263" t="s">
        <v>44</v>
      </c>
      <c r="E18" s="264">
        <v>871.99</v>
      </c>
      <c r="F18" s="264">
        <v>1743.98</v>
      </c>
    </row>
    <row r="19" spans="1:6" x14ac:dyDescent="0.3">
      <c r="A19" s="270">
        <v>15</v>
      </c>
      <c r="B19" s="271" t="s">
        <v>956</v>
      </c>
      <c r="C19" s="264">
        <v>1</v>
      </c>
      <c r="D19" s="263" t="s">
        <v>44</v>
      </c>
      <c r="E19" s="264">
        <v>7000</v>
      </c>
      <c r="F19" s="264">
        <v>7000</v>
      </c>
    </row>
    <row r="20" spans="1:6" x14ac:dyDescent="0.3">
      <c r="A20" s="1513" t="s">
        <v>1014</v>
      </c>
      <c r="B20" s="1514"/>
      <c r="C20" s="1514"/>
      <c r="D20" s="1514"/>
      <c r="E20" s="1514"/>
      <c r="F20" s="1515"/>
    </row>
    <row r="21" spans="1:6" x14ac:dyDescent="0.3">
      <c r="A21" s="270">
        <v>16</v>
      </c>
      <c r="B21" s="271" t="s">
        <v>957</v>
      </c>
      <c r="C21" s="264">
        <v>92</v>
      </c>
      <c r="D21" s="263" t="s">
        <v>44</v>
      </c>
      <c r="E21" s="264">
        <v>3000</v>
      </c>
      <c r="F21" s="264">
        <v>276000</v>
      </c>
    </row>
    <row r="22" spans="1:6" x14ac:dyDescent="0.3">
      <c r="A22" s="270">
        <v>17</v>
      </c>
      <c r="B22" s="271" t="s">
        <v>958</v>
      </c>
      <c r="C22" s="264">
        <v>23</v>
      </c>
      <c r="D22" s="263" t="s">
        <v>44</v>
      </c>
      <c r="E22" s="264">
        <v>19.93</v>
      </c>
      <c r="F22" s="264">
        <v>458.39</v>
      </c>
    </row>
    <row r="23" spans="1:6" x14ac:dyDescent="0.3">
      <c r="A23" s="270">
        <v>18</v>
      </c>
      <c r="B23" s="271" t="s">
        <v>959</v>
      </c>
      <c r="C23" s="264">
        <v>520</v>
      </c>
      <c r="D23" s="263" t="s">
        <v>43</v>
      </c>
      <c r="E23" s="264">
        <v>12.51</v>
      </c>
      <c r="F23" s="264">
        <v>6505.2</v>
      </c>
    </row>
    <row r="24" spans="1:6" x14ac:dyDescent="0.3">
      <c r="A24" s="270">
        <v>19</v>
      </c>
      <c r="B24" s="271" t="s">
        <v>960</v>
      </c>
      <c r="C24" s="264">
        <v>30</v>
      </c>
      <c r="D24" s="263" t="s">
        <v>79</v>
      </c>
      <c r="E24" s="264">
        <v>300</v>
      </c>
      <c r="F24" s="264">
        <v>9000</v>
      </c>
    </row>
    <row r="25" spans="1:6" x14ac:dyDescent="0.3">
      <c r="A25" s="270"/>
      <c r="B25" s="271" t="s">
        <v>961</v>
      </c>
      <c r="C25" s="264">
        <v>572</v>
      </c>
      <c r="D25" s="263" t="s">
        <v>43</v>
      </c>
      <c r="E25" s="264">
        <v>62</v>
      </c>
      <c r="F25" s="264">
        <v>35464</v>
      </c>
    </row>
    <row r="26" spans="1:6" x14ac:dyDescent="0.3">
      <c r="A26" s="270">
        <v>20</v>
      </c>
      <c r="B26" s="271" t="s">
        <v>962</v>
      </c>
      <c r="C26" s="264">
        <v>2060</v>
      </c>
      <c r="D26" s="263" t="s">
        <v>43</v>
      </c>
      <c r="E26" s="264">
        <v>10</v>
      </c>
      <c r="F26" s="264">
        <v>20600</v>
      </c>
    </row>
    <row r="27" spans="1:6" x14ac:dyDescent="0.3">
      <c r="A27" s="270">
        <v>21</v>
      </c>
      <c r="B27" s="271" t="s">
        <v>963</v>
      </c>
      <c r="C27" s="264">
        <v>248</v>
      </c>
      <c r="D27" s="263" t="s">
        <v>43</v>
      </c>
      <c r="E27" s="264">
        <v>11.56</v>
      </c>
      <c r="F27" s="264">
        <v>2866.88</v>
      </c>
    </row>
    <row r="28" spans="1:6" x14ac:dyDescent="0.3">
      <c r="A28" s="270">
        <v>22</v>
      </c>
      <c r="B28" s="271" t="s">
        <v>964</v>
      </c>
      <c r="C28" s="264">
        <v>7</v>
      </c>
      <c r="D28" s="263" t="s">
        <v>43</v>
      </c>
      <c r="E28" s="264">
        <v>16.239999999999998</v>
      </c>
      <c r="F28" s="264">
        <v>113.67999999999999</v>
      </c>
    </row>
    <row r="29" spans="1:6" x14ac:dyDescent="0.3">
      <c r="A29" s="270">
        <v>23</v>
      </c>
      <c r="B29" s="271" t="s">
        <v>965</v>
      </c>
      <c r="C29" s="264">
        <v>343</v>
      </c>
      <c r="D29" s="263" t="s">
        <v>43</v>
      </c>
      <c r="E29" s="264">
        <v>16.52</v>
      </c>
      <c r="F29" s="264">
        <v>5666.36</v>
      </c>
    </row>
    <row r="30" spans="1:6" x14ac:dyDescent="0.3">
      <c r="A30" s="270">
        <v>24</v>
      </c>
      <c r="B30" s="271" t="s">
        <v>966</v>
      </c>
      <c r="C30" s="264">
        <v>191</v>
      </c>
      <c r="D30" s="263" t="s">
        <v>43</v>
      </c>
      <c r="E30" s="264">
        <v>9.73</v>
      </c>
      <c r="F30" s="264">
        <v>1858.43</v>
      </c>
    </row>
    <row r="31" spans="1:6" x14ac:dyDescent="0.3">
      <c r="A31" s="270">
        <v>25</v>
      </c>
      <c r="B31" s="271" t="s">
        <v>967</v>
      </c>
      <c r="C31" s="264">
        <v>160</v>
      </c>
      <c r="D31" s="263" t="s">
        <v>43</v>
      </c>
      <c r="E31" s="264">
        <v>16.2</v>
      </c>
      <c r="F31" s="264">
        <v>2592</v>
      </c>
    </row>
    <row r="32" spans="1:6" x14ac:dyDescent="0.3">
      <c r="A32" s="270">
        <v>26</v>
      </c>
      <c r="B32" s="272" t="s">
        <v>968</v>
      </c>
      <c r="C32" s="267">
        <v>2000</v>
      </c>
      <c r="D32" s="266" t="s">
        <v>43</v>
      </c>
      <c r="E32" s="267">
        <v>10.86</v>
      </c>
      <c r="F32" s="264">
        <v>21720</v>
      </c>
    </row>
    <row r="33" spans="1:7" x14ac:dyDescent="0.3">
      <c r="A33" s="270">
        <v>27</v>
      </c>
      <c r="B33" s="272" t="s">
        <v>969</v>
      </c>
      <c r="C33" s="267">
        <v>103</v>
      </c>
      <c r="D33" s="266" t="s">
        <v>43</v>
      </c>
      <c r="E33" s="267">
        <v>13.51</v>
      </c>
      <c r="F33" s="264">
        <v>1391.53</v>
      </c>
    </row>
    <row r="34" spans="1:7" x14ac:dyDescent="0.3">
      <c r="A34" s="270">
        <v>28</v>
      </c>
      <c r="B34" s="272" t="s">
        <v>970</v>
      </c>
      <c r="C34" s="267">
        <v>20</v>
      </c>
      <c r="D34" s="266" t="s">
        <v>43</v>
      </c>
      <c r="E34" s="267">
        <v>18.149999999999999</v>
      </c>
      <c r="F34" s="264">
        <v>363</v>
      </c>
    </row>
    <row r="35" spans="1:7" x14ac:dyDescent="0.3">
      <c r="A35" s="270">
        <v>29</v>
      </c>
      <c r="B35" s="272" t="s">
        <v>971</v>
      </c>
      <c r="C35" s="267">
        <v>25</v>
      </c>
      <c r="D35" s="266" t="s">
        <v>43</v>
      </c>
      <c r="E35" s="267">
        <v>60</v>
      </c>
      <c r="F35" s="264">
        <v>1500</v>
      </c>
    </row>
    <row r="36" spans="1:7" x14ac:dyDescent="0.3">
      <c r="A36" s="265"/>
      <c r="B36" s="265"/>
      <c r="C36" s="265"/>
      <c r="D36" s="265"/>
      <c r="E36" s="273" t="s">
        <v>941</v>
      </c>
      <c r="F36" s="274">
        <v>944870.12</v>
      </c>
    </row>
    <row r="37" spans="1:7" x14ac:dyDescent="0.3">
      <c r="A37" s="265"/>
      <c r="B37" s="265"/>
      <c r="C37" s="265"/>
      <c r="D37" s="265"/>
      <c r="E37" s="277"/>
      <c r="F37" s="278"/>
    </row>
    <row r="38" spans="1:7" x14ac:dyDescent="0.3">
      <c r="A38" s="265"/>
      <c r="B38" s="265"/>
      <c r="C38" s="265"/>
      <c r="D38" s="265"/>
      <c r="E38" s="277"/>
      <c r="F38" s="278"/>
    </row>
    <row r="39" spans="1:7" x14ac:dyDescent="0.3">
      <c r="A39" s="265"/>
      <c r="B39" s="265"/>
      <c r="C39" s="265"/>
      <c r="D39" s="265"/>
      <c r="E39" s="277"/>
      <c r="F39" s="278"/>
    </row>
    <row r="40" spans="1:7" x14ac:dyDescent="0.3">
      <c r="A40" s="268"/>
      <c r="B40" s="268"/>
      <c r="C40" s="268"/>
      <c r="D40" s="275"/>
      <c r="E40" s="275"/>
      <c r="F40" s="275"/>
    </row>
    <row r="41" spans="1:7" x14ac:dyDescent="0.3">
      <c r="A41" s="1513" t="s">
        <v>1066</v>
      </c>
      <c r="B41" s="1514"/>
      <c r="C41" s="1514"/>
      <c r="D41" s="1514"/>
      <c r="E41" s="1514"/>
      <c r="F41" s="1515"/>
    </row>
    <row r="42" spans="1:7" x14ac:dyDescent="0.3">
      <c r="A42" s="263">
        <v>1</v>
      </c>
      <c r="B42" s="263" t="s">
        <v>972</v>
      </c>
      <c r="C42" s="263">
        <v>1</v>
      </c>
      <c r="D42" s="263" t="s">
        <v>44</v>
      </c>
      <c r="E42" s="263">
        <v>518.77</v>
      </c>
      <c r="F42" s="264">
        <v>518.77</v>
      </c>
    </row>
    <row r="43" spans="1:7" x14ac:dyDescent="0.3">
      <c r="A43" s="263">
        <v>2</v>
      </c>
      <c r="B43" s="263" t="s">
        <v>973</v>
      </c>
      <c r="C43" s="263">
        <v>1</v>
      </c>
      <c r="D43" s="263" t="s">
        <v>44</v>
      </c>
      <c r="E43" s="263">
        <v>150</v>
      </c>
      <c r="F43" s="264">
        <v>150</v>
      </c>
    </row>
    <row r="44" spans="1:7" x14ac:dyDescent="0.3">
      <c r="A44" s="263">
        <v>3</v>
      </c>
      <c r="B44" s="263" t="s">
        <v>974</v>
      </c>
      <c r="C44" s="263">
        <v>3</v>
      </c>
      <c r="D44" s="263" t="s">
        <v>44</v>
      </c>
      <c r="E44" s="263">
        <v>13140</v>
      </c>
      <c r="F44" s="264">
        <v>39420</v>
      </c>
      <c r="G44" s="1017"/>
    </row>
    <row r="45" spans="1:7" x14ac:dyDescent="0.3">
      <c r="A45" s="263">
        <v>4</v>
      </c>
      <c r="B45" s="263" t="s">
        <v>975</v>
      </c>
      <c r="C45" s="263">
        <v>50</v>
      </c>
      <c r="D45" s="263" t="s">
        <v>43</v>
      </c>
      <c r="E45" s="263">
        <v>46.8</v>
      </c>
      <c r="F45" s="264">
        <v>2340</v>
      </c>
    </row>
    <row r="46" spans="1:7" x14ac:dyDescent="0.3">
      <c r="A46" s="263">
        <v>5</v>
      </c>
      <c r="B46" s="263" t="s">
        <v>976</v>
      </c>
      <c r="C46" s="263">
        <v>4</v>
      </c>
      <c r="D46" s="263" t="s">
        <v>44</v>
      </c>
      <c r="E46" s="263">
        <v>87</v>
      </c>
      <c r="F46" s="264">
        <v>348</v>
      </c>
    </row>
    <row r="47" spans="1:7" x14ac:dyDescent="0.3">
      <c r="A47" s="263">
        <v>6</v>
      </c>
      <c r="B47" s="263" t="s">
        <v>977</v>
      </c>
      <c r="C47" s="263">
        <v>50</v>
      </c>
      <c r="D47" s="263" t="s">
        <v>43</v>
      </c>
      <c r="E47" s="263">
        <v>12</v>
      </c>
      <c r="F47" s="264">
        <v>600</v>
      </c>
      <c r="G47" s="1017"/>
    </row>
    <row r="48" spans="1:7" x14ac:dyDescent="0.3">
      <c r="A48" s="263">
        <v>7</v>
      </c>
      <c r="B48" s="263" t="s">
        <v>978</v>
      </c>
      <c r="C48" s="263">
        <v>50</v>
      </c>
      <c r="D48" s="263" t="s">
        <v>43</v>
      </c>
      <c r="E48" s="263">
        <v>43.6</v>
      </c>
      <c r="F48" s="264">
        <v>2180</v>
      </c>
    </row>
    <row r="49" spans="1:6" x14ac:dyDescent="0.3">
      <c r="A49" s="263">
        <v>8</v>
      </c>
      <c r="B49" s="263" t="s">
        <v>979</v>
      </c>
      <c r="C49" s="263">
        <v>50</v>
      </c>
      <c r="D49" s="263" t="s">
        <v>43</v>
      </c>
      <c r="E49" s="263">
        <v>20</v>
      </c>
      <c r="F49" s="264">
        <v>1000</v>
      </c>
    </row>
    <row r="50" spans="1:6" x14ac:dyDescent="0.3">
      <c r="A50" s="263">
        <v>9</v>
      </c>
      <c r="B50" s="263" t="s">
        <v>980</v>
      </c>
      <c r="C50" s="263">
        <v>50</v>
      </c>
      <c r="D50" s="263" t="s">
        <v>43</v>
      </c>
      <c r="E50" s="263">
        <v>9.6</v>
      </c>
      <c r="F50" s="264">
        <v>480</v>
      </c>
    </row>
    <row r="51" spans="1:6" x14ac:dyDescent="0.3">
      <c r="A51" s="263">
        <v>10</v>
      </c>
      <c r="B51" s="263" t="s">
        <v>981</v>
      </c>
      <c r="C51" s="263">
        <v>2</v>
      </c>
      <c r="D51" s="263" t="s">
        <v>982</v>
      </c>
      <c r="E51" s="263">
        <v>120</v>
      </c>
      <c r="F51" s="264">
        <v>240</v>
      </c>
    </row>
    <row r="52" spans="1:6" x14ac:dyDescent="0.3">
      <c r="A52" s="263">
        <v>11</v>
      </c>
      <c r="B52" s="263" t="s">
        <v>983</v>
      </c>
      <c r="C52" s="263">
        <v>1</v>
      </c>
      <c r="D52" s="263" t="s">
        <v>44</v>
      </c>
      <c r="E52" s="263">
        <v>3840</v>
      </c>
      <c r="F52" s="264">
        <v>3840</v>
      </c>
    </row>
    <row r="53" spans="1:6" x14ac:dyDescent="0.3">
      <c r="A53" s="263">
        <v>12</v>
      </c>
      <c r="B53" s="263" t="s">
        <v>984</v>
      </c>
      <c r="C53" s="263">
        <v>1</v>
      </c>
      <c r="D53" s="263" t="s">
        <v>44</v>
      </c>
      <c r="E53" s="263">
        <v>3348</v>
      </c>
      <c r="F53" s="264">
        <v>3348</v>
      </c>
    </row>
    <row r="54" spans="1:6" x14ac:dyDescent="0.3">
      <c r="A54" s="263">
        <v>13</v>
      </c>
      <c r="B54" s="263" t="s">
        <v>985</v>
      </c>
      <c r="C54" s="276">
        <v>3</v>
      </c>
      <c r="D54" s="263" t="s">
        <v>44</v>
      </c>
      <c r="E54" s="263">
        <v>10200</v>
      </c>
      <c r="F54" s="264">
        <v>30600</v>
      </c>
    </row>
    <row r="55" spans="1:6" x14ac:dyDescent="0.3">
      <c r="A55" s="263">
        <v>14</v>
      </c>
      <c r="B55" s="263" t="s">
        <v>986</v>
      </c>
      <c r="C55" s="276">
        <v>3</v>
      </c>
      <c r="D55" s="263" t="s">
        <v>44</v>
      </c>
      <c r="E55" s="263">
        <v>4080</v>
      </c>
      <c r="F55" s="264">
        <v>12240</v>
      </c>
    </row>
    <row r="56" spans="1:6" x14ac:dyDescent="0.3">
      <c r="A56" s="262"/>
      <c r="B56" s="262"/>
      <c r="C56" s="262"/>
      <c r="D56" s="262"/>
      <c r="E56" s="269" t="s">
        <v>868</v>
      </c>
      <c r="F56" s="274">
        <v>97304.76999999999</v>
      </c>
    </row>
  </sheetData>
  <mergeCells count="5">
    <mergeCell ref="A41:F41"/>
    <mergeCell ref="A1:F1"/>
    <mergeCell ref="A2:F2"/>
    <mergeCell ref="A20:F20"/>
    <mergeCell ref="A4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J25" sqref="J25"/>
    </sheetView>
  </sheetViews>
  <sheetFormatPr defaultRowHeight="15.05" x14ac:dyDescent="0.3"/>
  <cols>
    <col min="1" max="1" width="9.109375" style="35"/>
    <col min="2" max="2" width="63.109375" style="9" customWidth="1"/>
    <col min="3" max="3" width="9.109375" style="36"/>
    <col min="4" max="4" width="14.109375" style="36" customWidth="1"/>
    <col min="5" max="5" width="13.109375" style="37" bestFit="1" customWidth="1"/>
    <col min="6" max="6" width="14.5546875" style="37" bestFit="1" customWidth="1"/>
    <col min="7" max="7" width="17.33203125" style="9" customWidth="1"/>
    <col min="8" max="8" width="16.88671875" style="9" customWidth="1"/>
    <col min="9" max="9" width="15.88671875" style="9" customWidth="1"/>
    <col min="10" max="252" width="9.109375" style="9"/>
    <col min="253" max="253" width="63.109375" style="9" customWidth="1"/>
    <col min="254" max="254" width="9.109375" style="9"/>
    <col min="255" max="255" width="14.109375" style="9" customWidth="1"/>
    <col min="256" max="256" width="12.109375" style="9" customWidth="1"/>
    <col min="257" max="257" width="12.44140625" style="9" customWidth="1"/>
    <col min="258" max="258" width="17.33203125" style="9" customWidth="1"/>
    <col min="259" max="259" width="16.88671875" style="9" customWidth="1"/>
    <col min="260" max="260" width="15.88671875" style="9" customWidth="1"/>
    <col min="261" max="508" width="9.109375" style="9"/>
    <col min="509" max="509" width="63.109375" style="9" customWidth="1"/>
    <col min="510" max="510" width="9.109375" style="9"/>
    <col min="511" max="511" width="14.109375" style="9" customWidth="1"/>
    <col min="512" max="512" width="12.109375" style="9" customWidth="1"/>
    <col min="513" max="513" width="12.44140625" style="9" customWidth="1"/>
    <col min="514" max="514" width="17.33203125" style="9" customWidth="1"/>
    <col min="515" max="515" width="16.88671875" style="9" customWidth="1"/>
    <col min="516" max="516" width="15.88671875" style="9" customWidth="1"/>
    <col min="517" max="764" width="9.109375" style="9"/>
    <col min="765" max="765" width="63.109375" style="9" customWidth="1"/>
    <col min="766" max="766" width="9.109375" style="9"/>
    <col min="767" max="767" width="14.109375" style="9" customWidth="1"/>
    <col min="768" max="768" width="12.109375" style="9" customWidth="1"/>
    <col min="769" max="769" width="12.44140625" style="9" customWidth="1"/>
    <col min="770" max="770" width="17.33203125" style="9" customWidth="1"/>
    <col min="771" max="771" width="16.88671875" style="9" customWidth="1"/>
    <col min="772" max="772" width="15.88671875" style="9" customWidth="1"/>
    <col min="773" max="1020" width="9.109375" style="9"/>
    <col min="1021" max="1021" width="63.109375" style="9" customWidth="1"/>
    <col min="1022" max="1022" width="9.109375" style="9"/>
    <col min="1023" max="1023" width="14.109375" style="9" customWidth="1"/>
    <col min="1024" max="1024" width="12.109375" style="9" customWidth="1"/>
    <col min="1025" max="1025" width="12.44140625" style="9" customWidth="1"/>
    <col min="1026" max="1026" width="17.33203125" style="9" customWidth="1"/>
    <col min="1027" max="1027" width="16.88671875" style="9" customWidth="1"/>
    <col min="1028" max="1028" width="15.88671875" style="9" customWidth="1"/>
    <col min="1029" max="1276" width="9.109375" style="9"/>
    <col min="1277" max="1277" width="63.109375" style="9" customWidth="1"/>
    <col min="1278" max="1278" width="9.109375" style="9"/>
    <col min="1279" max="1279" width="14.109375" style="9" customWidth="1"/>
    <col min="1280" max="1280" width="12.109375" style="9" customWidth="1"/>
    <col min="1281" max="1281" width="12.44140625" style="9" customWidth="1"/>
    <col min="1282" max="1282" width="17.33203125" style="9" customWidth="1"/>
    <col min="1283" max="1283" width="16.88671875" style="9" customWidth="1"/>
    <col min="1284" max="1284" width="15.88671875" style="9" customWidth="1"/>
    <col min="1285" max="1532" width="9.109375" style="9"/>
    <col min="1533" max="1533" width="63.109375" style="9" customWidth="1"/>
    <col min="1534" max="1534" width="9.109375" style="9"/>
    <col min="1535" max="1535" width="14.109375" style="9" customWidth="1"/>
    <col min="1536" max="1536" width="12.109375" style="9" customWidth="1"/>
    <col min="1537" max="1537" width="12.44140625" style="9" customWidth="1"/>
    <col min="1538" max="1538" width="17.33203125" style="9" customWidth="1"/>
    <col min="1539" max="1539" width="16.88671875" style="9" customWidth="1"/>
    <col min="1540" max="1540" width="15.88671875" style="9" customWidth="1"/>
    <col min="1541" max="1788" width="9.109375" style="9"/>
    <col min="1789" max="1789" width="63.109375" style="9" customWidth="1"/>
    <col min="1790" max="1790" width="9.109375" style="9"/>
    <col min="1791" max="1791" width="14.109375" style="9" customWidth="1"/>
    <col min="1792" max="1792" width="12.109375" style="9" customWidth="1"/>
    <col min="1793" max="1793" width="12.44140625" style="9" customWidth="1"/>
    <col min="1794" max="1794" width="17.33203125" style="9" customWidth="1"/>
    <col min="1795" max="1795" width="16.88671875" style="9" customWidth="1"/>
    <col min="1796" max="1796" width="15.88671875" style="9" customWidth="1"/>
    <col min="1797" max="2044" width="9.109375" style="9"/>
    <col min="2045" max="2045" width="63.109375" style="9" customWidth="1"/>
    <col min="2046" max="2046" width="9.109375" style="9"/>
    <col min="2047" max="2047" width="14.109375" style="9" customWidth="1"/>
    <col min="2048" max="2048" width="12.109375" style="9" customWidth="1"/>
    <col min="2049" max="2049" width="12.44140625" style="9" customWidth="1"/>
    <col min="2050" max="2050" width="17.33203125" style="9" customWidth="1"/>
    <col min="2051" max="2051" width="16.88671875" style="9" customWidth="1"/>
    <col min="2052" max="2052" width="15.88671875" style="9" customWidth="1"/>
    <col min="2053" max="2300" width="9.109375" style="9"/>
    <col min="2301" max="2301" width="63.109375" style="9" customWidth="1"/>
    <col min="2302" max="2302" width="9.109375" style="9"/>
    <col min="2303" max="2303" width="14.109375" style="9" customWidth="1"/>
    <col min="2304" max="2304" width="12.109375" style="9" customWidth="1"/>
    <col min="2305" max="2305" width="12.44140625" style="9" customWidth="1"/>
    <col min="2306" max="2306" width="17.33203125" style="9" customWidth="1"/>
    <col min="2307" max="2307" width="16.88671875" style="9" customWidth="1"/>
    <col min="2308" max="2308" width="15.88671875" style="9" customWidth="1"/>
    <col min="2309" max="2556" width="9.109375" style="9"/>
    <col min="2557" max="2557" width="63.109375" style="9" customWidth="1"/>
    <col min="2558" max="2558" width="9.109375" style="9"/>
    <col min="2559" max="2559" width="14.109375" style="9" customWidth="1"/>
    <col min="2560" max="2560" width="12.109375" style="9" customWidth="1"/>
    <col min="2561" max="2561" width="12.44140625" style="9" customWidth="1"/>
    <col min="2562" max="2562" width="17.33203125" style="9" customWidth="1"/>
    <col min="2563" max="2563" width="16.88671875" style="9" customWidth="1"/>
    <col min="2564" max="2564" width="15.88671875" style="9" customWidth="1"/>
    <col min="2565" max="2812" width="9.109375" style="9"/>
    <col min="2813" max="2813" width="63.109375" style="9" customWidth="1"/>
    <col min="2814" max="2814" width="9.109375" style="9"/>
    <col min="2815" max="2815" width="14.109375" style="9" customWidth="1"/>
    <col min="2816" max="2816" width="12.109375" style="9" customWidth="1"/>
    <col min="2817" max="2817" width="12.44140625" style="9" customWidth="1"/>
    <col min="2818" max="2818" width="17.33203125" style="9" customWidth="1"/>
    <col min="2819" max="2819" width="16.88671875" style="9" customWidth="1"/>
    <col min="2820" max="2820" width="15.88671875" style="9" customWidth="1"/>
    <col min="2821" max="3068" width="9.109375" style="9"/>
    <col min="3069" max="3069" width="63.109375" style="9" customWidth="1"/>
    <col min="3070" max="3070" width="9.109375" style="9"/>
    <col min="3071" max="3071" width="14.109375" style="9" customWidth="1"/>
    <col min="3072" max="3072" width="12.109375" style="9" customWidth="1"/>
    <col min="3073" max="3073" width="12.44140625" style="9" customWidth="1"/>
    <col min="3074" max="3074" width="17.33203125" style="9" customWidth="1"/>
    <col min="3075" max="3075" width="16.88671875" style="9" customWidth="1"/>
    <col min="3076" max="3076" width="15.88671875" style="9" customWidth="1"/>
    <col min="3077" max="3324" width="9.109375" style="9"/>
    <col min="3325" max="3325" width="63.109375" style="9" customWidth="1"/>
    <col min="3326" max="3326" width="9.109375" style="9"/>
    <col min="3327" max="3327" width="14.109375" style="9" customWidth="1"/>
    <col min="3328" max="3328" width="12.109375" style="9" customWidth="1"/>
    <col min="3329" max="3329" width="12.44140625" style="9" customWidth="1"/>
    <col min="3330" max="3330" width="17.33203125" style="9" customWidth="1"/>
    <col min="3331" max="3331" width="16.88671875" style="9" customWidth="1"/>
    <col min="3332" max="3332" width="15.88671875" style="9" customWidth="1"/>
    <col min="3333" max="3580" width="9.109375" style="9"/>
    <col min="3581" max="3581" width="63.109375" style="9" customWidth="1"/>
    <col min="3582" max="3582" width="9.109375" style="9"/>
    <col min="3583" max="3583" width="14.109375" style="9" customWidth="1"/>
    <col min="3584" max="3584" width="12.109375" style="9" customWidth="1"/>
    <col min="3585" max="3585" width="12.44140625" style="9" customWidth="1"/>
    <col min="3586" max="3586" width="17.33203125" style="9" customWidth="1"/>
    <col min="3587" max="3587" width="16.88671875" style="9" customWidth="1"/>
    <col min="3588" max="3588" width="15.88671875" style="9" customWidth="1"/>
    <col min="3589" max="3836" width="9.109375" style="9"/>
    <col min="3837" max="3837" width="63.109375" style="9" customWidth="1"/>
    <col min="3838" max="3838" width="9.109375" style="9"/>
    <col min="3839" max="3839" width="14.109375" style="9" customWidth="1"/>
    <col min="3840" max="3840" width="12.109375" style="9" customWidth="1"/>
    <col min="3841" max="3841" width="12.44140625" style="9" customWidth="1"/>
    <col min="3842" max="3842" width="17.33203125" style="9" customWidth="1"/>
    <col min="3843" max="3843" width="16.88671875" style="9" customWidth="1"/>
    <col min="3844" max="3844" width="15.88671875" style="9" customWidth="1"/>
    <col min="3845" max="4092" width="9.109375" style="9"/>
    <col min="4093" max="4093" width="63.109375" style="9" customWidth="1"/>
    <col min="4094" max="4094" width="9.109375" style="9"/>
    <col min="4095" max="4095" width="14.109375" style="9" customWidth="1"/>
    <col min="4096" max="4096" width="12.109375" style="9" customWidth="1"/>
    <col min="4097" max="4097" width="12.44140625" style="9" customWidth="1"/>
    <col min="4098" max="4098" width="17.33203125" style="9" customWidth="1"/>
    <col min="4099" max="4099" width="16.88671875" style="9" customWidth="1"/>
    <col min="4100" max="4100" width="15.88671875" style="9" customWidth="1"/>
    <col min="4101" max="4348" width="9.109375" style="9"/>
    <col min="4349" max="4349" width="63.109375" style="9" customWidth="1"/>
    <col min="4350" max="4350" width="9.109375" style="9"/>
    <col min="4351" max="4351" width="14.109375" style="9" customWidth="1"/>
    <col min="4352" max="4352" width="12.109375" style="9" customWidth="1"/>
    <col min="4353" max="4353" width="12.44140625" style="9" customWidth="1"/>
    <col min="4354" max="4354" width="17.33203125" style="9" customWidth="1"/>
    <col min="4355" max="4355" width="16.88671875" style="9" customWidth="1"/>
    <col min="4356" max="4356" width="15.88671875" style="9" customWidth="1"/>
    <col min="4357" max="4604" width="9.109375" style="9"/>
    <col min="4605" max="4605" width="63.109375" style="9" customWidth="1"/>
    <col min="4606" max="4606" width="9.109375" style="9"/>
    <col min="4607" max="4607" width="14.109375" style="9" customWidth="1"/>
    <col min="4608" max="4608" width="12.109375" style="9" customWidth="1"/>
    <col min="4609" max="4609" width="12.44140625" style="9" customWidth="1"/>
    <col min="4610" max="4610" width="17.33203125" style="9" customWidth="1"/>
    <col min="4611" max="4611" width="16.88671875" style="9" customWidth="1"/>
    <col min="4612" max="4612" width="15.88671875" style="9" customWidth="1"/>
    <col min="4613" max="4860" width="9.109375" style="9"/>
    <col min="4861" max="4861" width="63.109375" style="9" customWidth="1"/>
    <col min="4862" max="4862" width="9.109375" style="9"/>
    <col min="4863" max="4863" width="14.109375" style="9" customWidth="1"/>
    <col min="4864" max="4864" width="12.109375" style="9" customWidth="1"/>
    <col min="4865" max="4865" width="12.44140625" style="9" customWidth="1"/>
    <col min="4866" max="4866" width="17.33203125" style="9" customWidth="1"/>
    <col min="4867" max="4867" width="16.88671875" style="9" customWidth="1"/>
    <col min="4868" max="4868" width="15.88671875" style="9" customWidth="1"/>
    <col min="4869" max="5116" width="9.109375" style="9"/>
    <col min="5117" max="5117" width="63.109375" style="9" customWidth="1"/>
    <col min="5118" max="5118" width="9.109375" style="9"/>
    <col min="5119" max="5119" width="14.109375" style="9" customWidth="1"/>
    <col min="5120" max="5120" width="12.109375" style="9" customWidth="1"/>
    <col min="5121" max="5121" width="12.44140625" style="9" customWidth="1"/>
    <col min="5122" max="5122" width="17.33203125" style="9" customWidth="1"/>
    <col min="5123" max="5123" width="16.88671875" style="9" customWidth="1"/>
    <col min="5124" max="5124" width="15.88671875" style="9" customWidth="1"/>
    <col min="5125" max="5372" width="9.109375" style="9"/>
    <col min="5373" max="5373" width="63.109375" style="9" customWidth="1"/>
    <col min="5374" max="5374" width="9.109375" style="9"/>
    <col min="5375" max="5375" width="14.109375" style="9" customWidth="1"/>
    <col min="5376" max="5376" width="12.109375" style="9" customWidth="1"/>
    <col min="5377" max="5377" width="12.44140625" style="9" customWidth="1"/>
    <col min="5378" max="5378" width="17.33203125" style="9" customWidth="1"/>
    <col min="5379" max="5379" width="16.88671875" style="9" customWidth="1"/>
    <col min="5380" max="5380" width="15.88671875" style="9" customWidth="1"/>
    <col min="5381" max="5628" width="9.109375" style="9"/>
    <col min="5629" max="5629" width="63.109375" style="9" customWidth="1"/>
    <col min="5630" max="5630" width="9.109375" style="9"/>
    <col min="5631" max="5631" width="14.109375" style="9" customWidth="1"/>
    <col min="5632" max="5632" width="12.109375" style="9" customWidth="1"/>
    <col min="5633" max="5633" width="12.44140625" style="9" customWidth="1"/>
    <col min="5634" max="5634" width="17.33203125" style="9" customWidth="1"/>
    <col min="5635" max="5635" width="16.88671875" style="9" customWidth="1"/>
    <col min="5636" max="5636" width="15.88671875" style="9" customWidth="1"/>
    <col min="5637" max="5884" width="9.109375" style="9"/>
    <col min="5885" max="5885" width="63.109375" style="9" customWidth="1"/>
    <col min="5886" max="5886" width="9.109375" style="9"/>
    <col min="5887" max="5887" width="14.109375" style="9" customWidth="1"/>
    <col min="5888" max="5888" width="12.109375" style="9" customWidth="1"/>
    <col min="5889" max="5889" width="12.44140625" style="9" customWidth="1"/>
    <col min="5890" max="5890" width="17.33203125" style="9" customWidth="1"/>
    <col min="5891" max="5891" width="16.88671875" style="9" customWidth="1"/>
    <col min="5892" max="5892" width="15.88671875" style="9" customWidth="1"/>
    <col min="5893" max="6140" width="9.109375" style="9"/>
    <col min="6141" max="6141" width="63.109375" style="9" customWidth="1"/>
    <col min="6142" max="6142" width="9.109375" style="9"/>
    <col min="6143" max="6143" width="14.109375" style="9" customWidth="1"/>
    <col min="6144" max="6144" width="12.109375" style="9" customWidth="1"/>
    <col min="6145" max="6145" width="12.44140625" style="9" customWidth="1"/>
    <col min="6146" max="6146" width="17.33203125" style="9" customWidth="1"/>
    <col min="6147" max="6147" width="16.88671875" style="9" customWidth="1"/>
    <col min="6148" max="6148" width="15.88671875" style="9" customWidth="1"/>
    <col min="6149" max="6396" width="9.109375" style="9"/>
    <col min="6397" max="6397" width="63.109375" style="9" customWidth="1"/>
    <col min="6398" max="6398" width="9.109375" style="9"/>
    <col min="6399" max="6399" width="14.109375" style="9" customWidth="1"/>
    <col min="6400" max="6400" width="12.109375" style="9" customWidth="1"/>
    <col min="6401" max="6401" width="12.44140625" style="9" customWidth="1"/>
    <col min="6402" max="6402" width="17.33203125" style="9" customWidth="1"/>
    <col min="6403" max="6403" width="16.88671875" style="9" customWidth="1"/>
    <col min="6404" max="6404" width="15.88671875" style="9" customWidth="1"/>
    <col min="6405" max="6652" width="9.109375" style="9"/>
    <col min="6653" max="6653" width="63.109375" style="9" customWidth="1"/>
    <col min="6654" max="6654" width="9.109375" style="9"/>
    <col min="6655" max="6655" width="14.109375" style="9" customWidth="1"/>
    <col min="6656" max="6656" width="12.109375" style="9" customWidth="1"/>
    <col min="6657" max="6657" width="12.44140625" style="9" customWidth="1"/>
    <col min="6658" max="6658" width="17.33203125" style="9" customWidth="1"/>
    <col min="6659" max="6659" width="16.88671875" style="9" customWidth="1"/>
    <col min="6660" max="6660" width="15.88671875" style="9" customWidth="1"/>
    <col min="6661" max="6908" width="9.109375" style="9"/>
    <col min="6909" max="6909" width="63.109375" style="9" customWidth="1"/>
    <col min="6910" max="6910" width="9.109375" style="9"/>
    <col min="6911" max="6911" width="14.109375" style="9" customWidth="1"/>
    <col min="6912" max="6912" width="12.109375" style="9" customWidth="1"/>
    <col min="6913" max="6913" width="12.44140625" style="9" customWidth="1"/>
    <col min="6914" max="6914" width="17.33203125" style="9" customWidth="1"/>
    <col min="6915" max="6915" width="16.88671875" style="9" customWidth="1"/>
    <col min="6916" max="6916" width="15.88671875" style="9" customWidth="1"/>
    <col min="6917" max="7164" width="9.109375" style="9"/>
    <col min="7165" max="7165" width="63.109375" style="9" customWidth="1"/>
    <col min="7166" max="7166" width="9.109375" style="9"/>
    <col min="7167" max="7167" width="14.109375" style="9" customWidth="1"/>
    <col min="7168" max="7168" width="12.109375" style="9" customWidth="1"/>
    <col min="7169" max="7169" width="12.44140625" style="9" customWidth="1"/>
    <col min="7170" max="7170" width="17.33203125" style="9" customWidth="1"/>
    <col min="7171" max="7171" width="16.88671875" style="9" customWidth="1"/>
    <col min="7172" max="7172" width="15.88671875" style="9" customWidth="1"/>
    <col min="7173" max="7420" width="9.109375" style="9"/>
    <col min="7421" max="7421" width="63.109375" style="9" customWidth="1"/>
    <col min="7422" max="7422" width="9.109375" style="9"/>
    <col min="7423" max="7423" width="14.109375" style="9" customWidth="1"/>
    <col min="7424" max="7424" width="12.109375" style="9" customWidth="1"/>
    <col min="7425" max="7425" width="12.44140625" style="9" customWidth="1"/>
    <col min="7426" max="7426" width="17.33203125" style="9" customWidth="1"/>
    <col min="7427" max="7427" width="16.88671875" style="9" customWidth="1"/>
    <col min="7428" max="7428" width="15.88671875" style="9" customWidth="1"/>
    <col min="7429" max="7676" width="9.109375" style="9"/>
    <col min="7677" max="7677" width="63.109375" style="9" customWidth="1"/>
    <col min="7678" max="7678" width="9.109375" style="9"/>
    <col min="7679" max="7679" width="14.109375" style="9" customWidth="1"/>
    <col min="7680" max="7680" width="12.109375" style="9" customWidth="1"/>
    <col min="7681" max="7681" width="12.44140625" style="9" customWidth="1"/>
    <col min="7682" max="7682" width="17.33203125" style="9" customWidth="1"/>
    <col min="7683" max="7683" width="16.88671875" style="9" customWidth="1"/>
    <col min="7684" max="7684" width="15.88671875" style="9" customWidth="1"/>
    <col min="7685" max="7932" width="9.109375" style="9"/>
    <col min="7933" max="7933" width="63.109375" style="9" customWidth="1"/>
    <col min="7934" max="7934" width="9.109375" style="9"/>
    <col min="7935" max="7935" width="14.109375" style="9" customWidth="1"/>
    <col min="7936" max="7936" width="12.109375" style="9" customWidth="1"/>
    <col min="7937" max="7937" width="12.44140625" style="9" customWidth="1"/>
    <col min="7938" max="7938" width="17.33203125" style="9" customWidth="1"/>
    <col min="7939" max="7939" width="16.88671875" style="9" customWidth="1"/>
    <col min="7940" max="7940" width="15.88671875" style="9" customWidth="1"/>
    <col min="7941" max="8188" width="9.109375" style="9"/>
    <col min="8189" max="8189" width="63.109375" style="9" customWidth="1"/>
    <col min="8190" max="8190" width="9.109375" style="9"/>
    <col min="8191" max="8191" width="14.109375" style="9" customWidth="1"/>
    <col min="8192" max="8192" width="12.109375" style="9" customWidth="1"/>
    <col min="8193" max="8193" width="12.44140625" style="9" customWidth="1"/>
    <col min="8194" max="8194" width="17.33203125" style="9" customWidth="1"/>
    <col min="8195" max="8195" width="16.88671875" style="9" customWidth="1"/>
    <col min="8196" max="8196" width="15.88671875" style="9" customWidth="1"/>
    <col min="8197" max="8444" width="9.109375" style="9"/>
    <col min="8445" max="8445" width="63.109375" style="9" customWidth="1"/>
    <col min="8446" max="8446" width="9.109375" style="9"/>
    <col min="8447" max="8447" width="14.109375" style="9" customWidth="1"/>
    <col min="8448" max="8448" width="12.109375" style="9" customWidth="1"/>
    <col min="8449" max="8449" width="12.44140625" style="9" customWidth="1"/>
    <col min="8450" max="8450" width="17.33203125" style="9" customWidth="1"/>
    <col min="8451" max="8451" width="16.88671875" style="9" customWidth="1"/>
    <col min="8452" max="8452" width="15.88671875" style="9" customWidth="1"/>
    <col min="8453" max="8700" width="9.109375" style="9"/>
    <col min="8701" max="8701" width="63.109375" style="9" customWidth="1"/>
    <col min="8702" max="8702" width="9.109375" style="9"/>
    <col min="8703" max="8703" width="14.109375" style="9" customWidth="1"/>
    <col min="8704" max="8704" width="12.109375" style="9" customWidth="1"/>
    <col min="8705" max="8705" width="12.44140625" style="9" customWidth="1"/>
    <col min="8706" max="8706" width="17.33203125" style="9" customWidth="1"/>
    <col min="8707" max="8707" width="16.88671875" style="9" customWidth="1"/>
    <col min="8708" max="8708" width="15.88671875" style="9" customWidth="1"/>
    <col min="8709" max="8956" width="9.109375" style="9"/>
    <col min="8957" max="8957" width="63.109375" style="9" customWidth="1"/>
    <col min="8958" max="8958" width="9.109375" style="9"/>
    <col min="8959" max="8959" width="14.109375" style="9" customWidth="1"/>
    <col min="8960" max="8960" width="12.109375" style="9" customWidth="1"/>
    <col min="8961" max="8961" width="12.44140625" style="9" customWidth="1"/>
    <col min="8962" max="8962" width="17.33203125" style="9" customWidth="1"/>
    <col min="8963" max="8963" width="16.88671875" style="9" customWidth="1"/>
    <col min="8964" max="8964" width="15.88671875" style="9" customWidth="1"/>
    <col min="8965" max="9212" width="9.109375" style="9"/>
    <col min="9213" max="9213" width="63.109375" style="9" customWidth="1"/>
    <col min="9214" max="9214" width="9.109375" style="9"/>
    <col min="9215" max="9215" width="14.109375" style="9" customWidth="1"/>
    <col min="9216" max="9216" width="12.109375" style="9" customWidth="1"/>
    <col min="9217" max="9217" width="12.44140625" style="9" customWidth="1"/>
    <col min="9218" max="9218" width="17.33203125" style="9" customWidth="1"/>
    <col min="9219" max="9219" width="16.88671875" style="9" customWidth="1"/>
    <col min="9220" max="9220" width="15.88671875" style="9" customWidth="1"/>
    <col min="9221" max="9468" width="9.109375" style="9"/>
    <col min="9469" max="9469" width="63.109375" style="9" customWidth="1"/>
    <col min="9470" max="9470" width="9.109375" style="9"/>
    <col min="9471" max="9471" width="14.109375" style="9" customWidth="1"/>
    <col min="9472" max="9472" width="12.109375" style="9" customWidth="1"/>
    <col min="9473" max="9473" width="12.44140625" style="9" customWidth="1"/>
    <col min="9474" max="9474" width="17.33203125" style="9" customWidth="1"/>
    <col min="9475" max="9475" width="16.88671875" style="9" customWidth="1"/>
    <col min="9476" max="9476" width="15.88671875" style="9" customWidth="1"/>
    <col min="9477" max="9724" width="9.109375" style="9"/>
    <col min="9725" max="9725" width="63.109375" style="9" customWidth="1"/>
    <col min="9726" max="9726" width="9.109375" style="9"/>
    <col min="9727" max="9727" width="14.109375" style="9" customWidth="1"/>
    <col min="9728" max="9728" width="12.109375" style="9" customWidth="1"/>
    <col min="9729" max="9729" width="12.44140625" style="9" customWidth="1"/>
    <col min="9730" max="9730" width="17.33203125" style="9" customWidth="1"/>
    <col min="9731" max="9731" width="16.88671875" style="9" customWidth="1"/>
    <col min="9732" max="9732" width="15.88671875" style="9" customWidth="1"/>
    <col min="9733" max="9980" width="9.109375" style="9"/>
    <col min="9981" max="9981" width="63.109375" style="9" customWidth="1"/>
    <col min="9982" max="9982" width="9.109375" style="9"/>
    <col min="9983" max="9983" width="14.109375" style="9" customWidth="1"/>
    <col min="9984" max="9984" width="12.109375" style="9" customWidth="1"/>
    <col min="9985" max="9985" width="12.44140625" style="9" customWidth="1"/>
    <col min="9986" max="9986" width="17.33203125" style="9" customWidth="1"/>
    <col min="9987" max="9987" width="16.88671875" style="9" customWidth="1"/>
    <col min="9988" max="9988" width="15.88671875" style="9" customWidth="1"/>
    <col min="9989" max="10236" width="9.109375" style="9"/>
    <col min="10237" max="10237" width="63.109375" style="9" customWidth="1"/>
    <col min="10238" max="10238" width="9.109375" style="9"/>
    <col min="10239" max="10239" width="14.109375" style="9" customWidth="1"/>
    <col min="10240" max="10240" width="12.109375" style="9" customWidth="1"/>
    <col min="10241" max="10241" width="12.44140625" style="9" customWidth="1"/>
    <col min="10242" max="10242" width="17.33203125" style="9" customWidth="1"/>
    <col min="10243" max="10243" width="16.88671875" style="9" customWidth="1"/>
    <col min="10244" max="10244" width="15.88671875" style="9" customWidth="1"/>
    <col min="10245" max="10492" width="9.109375" style="9"/>
    <col min="10493" max="10493" width="63.109375" style="9" customWidth="1"/>
    <col min="10494" max="10494" width="9.109375" style="9"/>
    <col min="10495" max="10495" width="14.109375" style="9" customWidth="1"/>
    <col min="10496" max="10496" width="12.109375" style="9" customWidth="1"/>
    <col min="10497" max="10497" width="12.44140625" style="9" customWidth="1"/>
    <col min="10498" max="10498" width="17.33203125" style="9" customWidth="1"/>
    <col min="10499" max="10499" width="16.88671875" style="9" customWidth="1"/>
    <col min="10500" max="10500" width="15.88671875" style="9" customWidth="1"/>
    <col min="10501" max="10748" width="9.109375" style="9"/>
    <col min="10749" max="10749" width="63.109375" style="9" customWidth="1"/>
    <col min="10750" max="10750" width="9.109375" style="9"/>
    <col min="10751" max="10751" width="14.109375" style="9" customWidth="1"/>
    <col min="10752" max="10752" width="12.109375" style="9" customWidth="1"/>
    <col min="10753" max="10753" width="12.44140625" style="9" customWidth="1"/>
    <col min="10754" max="10754" width="17.33203125" style="9" customWidth="1"/>
    <col min="10755" max="10755" width="16.88671875" style="9" customWidth="1"/>
    <col min="10756" max="10756" width="15.88671875" style="9" customWidth="1"/>
    <col min="10757" max="11004" width="9.109375" style="9"/>
    <col min="11005" max="11005" width="63.109375" style="9" customWidth="1"/>
    <col min="11006" max="11006" width="9.109375" style="9"/>
    <col min="11007" max="11007" width="14.109375" style="9" customWidth="1"/>
    <col min="11008" max="11008" width="12.109375" style="9" customWidth="1"/>
    <col min="11009" max="11009" width="12.44140625" style="9" customWidth="1"/>
    <col min="11010" max="11010" width="17.33203125" style="9" customWidth="1"/>
    <col min="11011" max="11011" width="16.88671875" style="9" customWidth="1"/>
    <col min="11012" max="11012" width="15.88671875" style="9" customWidth="1"/>
    <col min="11013" max="11260" width="9.109375" style="9"/>
    <col min="11261" max="11261" width="63.109375" style="9" customWidth="1"/>
    <col min="11262" max="11262" width="9.109375" style="9"/>
    <col min="11263" max="11263" width="14.109375" style="9" customWidth="1"/>
    <col min="11264" max="11264" width="12.109375" style="9" customWidth="1"/>
    <col min="11265" max="11265" width="12.44140625" style="9" customWidth="1"/>
    <col min="11266" max="11266" width="17.33203125" style="9" customWidth="1"/>
    <col min="11267" max="11267" width="16.88671875" style="9" customWidth="1"/>
    <col min="11268" max="11268" width="15.88671875" style="9" customWidth="1"/>
    <col min="11269" max="11516" width="9.109375" style="9"/>
    <col min="11517" max="11517" width="63.109375" style="9" customWidth="1"/>
    <col min="11518" max="11518" width="9.109375" style="9"/>
    <col min="11519" max="11519" width="14.109375" style="9" customWidth="1"/>
    <col min="11520" max="11520" width="12.109375" style="9" customWidth="1"/>
    <col min="11521" max="11521" width="12.44140625" style="9" customWidth="1"/>
    <col min="11522" max="11522" width="17.33203125" style="9" customWidth="1"/>
    <col min="11523" max="11523" width="16.88671875" style="9" customWidth="1"/>
    <col min="11524" max="11524" width="15.88671875" style="9" customWidth="1"/>
    <col min="11525" max="11772" width="9.109375" style="9"/>
    <col min="11773" max="11773" width="63.109375" style="9" customWidth="1"/>
    <col min="11774" max="11774" width="9.109375" style="9"/>
    <col min="11775" max="11775" width="14.109375" style="9" customWidth="1"/>
    <col min="11776" max="11776" width="12.109375" style="9" customWidth="1"/>
    <col min="11777" max="11777" width="12.44140625" style="9" customWidth="1"/>
    <col min="11778" max="11778" width="17.33203125" style="9" customWidth="1"/>
    <col min="11779" max="11779" width="16.88671875" style="9" customWidth="1"/>
    <col min="11780" max="11780" width="15.88671875" style="9" customWidth="1"/>
    <col min="11781" max="12028" width="9.109375" style="9"/>
    <col min="12029" max="12029" width="63.109375" style="9" customWidth="1"/>
    <col min="12030" max="12030" width="9.109375" style="9"/>
    <col min="12031" max="12031" width="14.109375" style="9" customWidth="1"/>
    <col min="12032" max="12032" width="12.109375" style="9" customWidth="1"/>
    <col min="12033" max="12033" width="12.44140625" style="9" customWidth="1"/>
    <col min="12034" max="12034" width="17.33203125" style="9" customWidth="1"/>
    <col min="12035" max="12035" width="16.88671875" style="9" customWidth="1"/>
    <col min="12036" max="12036" width="15.88671875" style="9" customWidth="1"/>
    <col min="12037" max="12284" width="9.109375" style="9"/>
    <col min="12285" max="12285" width="63.109375" style="9" customWidth="1"/>
    <col min="12286" max="12286" width="9.109375" style="9"/>
    <col min="12287" max="12287" width="14.109375" style="9" customWidth="1"/>
    <col min="12288" max="12288" width="12.109375" style="9" customWidth="1"/>
    <col min="12289" max="12289" width="12.44140625" style="9" customWidth="1"/>
    <col min="12290" max="12290" width="17.33203125" style="9" customWidth="1"/>
    <col min="12291" max="12291" width="16.88671875" style="9" customWidth="1"/>
    <col min="12292" max="12292" width="15.88671875" style="9" customWidth="1"/>
    <col min="12293" max="12540" width="9.109375" style="9"/>
    <col min="12541" max="12541" width="63.109375" style="9" customWidth="1"/>
    <col min="12542" max="12542" width="9.109375" style="9"/>
    <col min="12543" max="12543" width="14.109375" style="9" customWidth="1"/>
    <col min="12544" max="12544" width="12.109375" style="9" customWidth="1"/>
    <col min="12545" max="12545" width="12.44140625" style="9" customWidth="1"/>
    <col min="12546" max="12546" width="17.33203125" style="9" customWidth="1"/>
    <col min="12547" max="12547" width="16.88671875" style="9" customWidth="1"/>
    <col min="12548" max="12548" width="15.88671875" style="9" customWidth="1"/>
    <col min="12549" max="12796" width="9.109375" style="9"/>
    <col min="12797" max="12797" width="63.109375" style="9" customWidth="1"/>
    <col min="12798" max="12798" width="9.109375" style="9"/>
    <col min="12799" max="12799" width="14.109375" style="9" customWidth="1"/>
    <col min="12800" max="12800" width="12.109375" style="9" customWidth="1"/>
    <col min="12801" max="12801" width="12.44140625" style="9" customWidth="1"/>
    <col min="12802" max="12802" width="17.33203125" style="9" customWidth="1"/>
    <col min="12803" max="12803" width="16.88671875" style="9" customWidth="1"/>
    <col min="12804" max="12804" width="15.88671875" style="9" customWidth="1"/>
    <col min="12805" max="13052" width="9.109375" style="9"/>
    <col min="13053" max="13053" width="63.109375" style="9" customWidth="1"/>
    <col min="13054" max="13054" width="9.109375" style="9"/>
    <col min="13055" max="13055" width="14.109375" style="9" customWidth="1"/>
    <col min="13056" max="13056" width="12.109375" style="9" customWidth="1"/>
    <col min="13057" max="13057" width="12.44140625" style="9" customWidth="1"/>
    <col min="13058" max="13058" width="17.33203125" style="9" customWidth="1"/>
    <col min="13059" max="13059" width="16.88671875" style="9" customWidth="1"/>
    <col min="13060" max="13060" width="15.88671875" style="9" customWidth="1"/>
    <col min="13061" max="13308" width="9.109375" style="9"/>
    <col min="13309" max="13309" width="63.109375" style="9" customWidth="1"/>
    <col min="13310" max="13310" width="9.109375" style="9"/>
    <col min="13311" max="13311" width="14.109375" style="9" customWidth="1"/>
    <col min="13312" max="13312" width="12.109375" style="9" customWidth="1"/>
    <col min="13313" max="13313" width="12.44140625" style="9" customWidth="1"/>
    <col min="13314" max="13314" width="17.33203125" style="9" customWidth="1"/>
    <col min="13315" max="13315" width="16.88671875" style="9" customWidth="1"/>
    <col min="13316" max="13316" width="15.88671875" style="9" customWidth="1"/>
    <col min="13317" max="13564" width="9.109375" style="9"/>
    <col min="13565" max="13565" width="63.109375" style="9" customWidth="1"/>
    <col min="13566" max="13566" width="9.109375" style="9"/>
    <col min="13567" max="13567" width="14.109375" style="9" customWidth="1"/>
    <col min="13568" max="13568" width="12.109375" style="9" customWidth="1"/>
    <col min="13569" max="13569" width="12.44140625" style="9" customWidth="1"/>
    <col min="13570" max="13570" width="17.33203125" style="9" customWidth="1"/>
    <col min="13571" max="13571" width="16.88671875" style="9" customWidth="1"/>
    <col min="13572" max="13572" width="15.88671875" style="9" customWidth="1"/>
    <col min="13573" max="13820" width="9.109375" style="9"/>
    <col min="13821" max="13821" width="63.109375" style="9" customWidth="1"/>
    <col min="13822" max="13822" width="9.109375" style="9"/>
    <col min="13823" max="13823" width="14.109375" style="9" customWidth="1"/>
    <col min="13824" max="13824" width="12.109375" style="9" customWidth="1"/>
    <col min="13825" max="13825" width="12.44140625" style="9" customWidth="1"/>
    <col min="13826" max="13826" width="17.33203125" style="9" customWidth="1"/>
    <col min="13827" max="13827" width="16.88671875" style="9" customWidth="1"/>
    <col min="13828" max="13828" width="15.88671875" style="9" customWidth="1"/>
    <col min="13829" max="14076" width="9.109375" style="9"/>
    <col min="14077" max="14077" width="63.109375" style="9" customWidth="1"/>
    <col min="14078" max="14078" width="9.109375" style="9"/>
    <col min="14079" max="14079" width="14.109375" style="9" customWidth="1"/>
    <col min="14080" max="14080" width="12.109375" style="9" customWidth="1"/>
    <col min="14081" max="14081" width="12.44140625" style="9" customWidth="1"/>
    <col min="14082" max="14082" width="17.33203125" style="9" customWidth="1"/>
    <col min="14083" max="14083" width="16.88671875" style="9" customWidth="1"/>
    <col min="14084" max="14084" width="15.88671875" style="9" customWidth="1"/>
    <col min="14085" max="14332" width="9.109375" style="9"/>
    <col min="14333" max="14333" width="63.109375" style="9" customWidth="1"/>
    <col min="14334" max="14334" width="9.109375" style="9"/>
    <col min="14335" max="14335" width="14.109375" style="9" customWidth="1"/>
    <col min="14336" max="14336" width="12.109375" style="9" customWidth="1"/>
    <col min="14337" max="14337" width="12.44140625" style="9" customWidth="1"/>
    <col min="14338" max="14338" width="17.33203125" style="9" customWidth="1"/>
    <col min="14339" max="14339" width="16.88671875" style="9" customWidth="1"/>
    <col min="14340" max="14340" width="15.88671875" style="9" customWidth="1"/>
    <col min="14341" max="14588" width="9.109375" style="9"/>
    <col min="14589" max="14589" width="63.109375" style="9" customWidth="1"/>
    <col min="14590" max="14590" width="9.109375" style="9"/>
    <col min="14591" max="14591" width="14.109375" style="9" customWidth="1"/>
    <col min="14592" max="14592" width="12.109375" style="9" customWidth="1"/>
    <col min="14593" max="14593" width="12.44140625" style="9" customWidth="1"/>
    <col min="14594" max="14594" width="17.33203125" style="9" customWidth="1"/>
    <col min="14595" max="14595" width="16.88671875" style="9" customWidth="1"/>
    <col min="14596" max="14596" width="15.88671875" style="9" customWidth="1"/>
    <col min="14597" max="14844" width="9.109375" style="9"/>
    <col min="14845" max="14845" width="63.109375" style="9" customWidth="1"/>
    <col min="14846" max="14846" width="9.109375" style="9"/>
    <col min="14847" max="14847" width="14.109375" style="9" customWidth="1"/>
    <col min="14848" max="14848" width="12.109375" style="9" customWidth="1"/>
    <col min="14849" max="14849" width="12.44140625" style="9" customWidth="1"/>
    <col min="14850" max="14850" width="17.33203125" style="9" customWidth="1"/>
    <col min="14851" max="14851" width="16.88671875" style="9" customWidth="1"/>
    <col min="14852" max="14852" width="15.88671875" style="9" customWidth="1"/>
    <col min="14853" max="15100" width="9.109375" style="9"/>
    <col min="15101" max="15101" width="63.109375" style="9" customWidth="1"/>
    <col min="15102" max="15102" width="9.109375" style="9"/>
    <col min="15103" max="15103" width="14.109375" style="9" customWidth="1"/>
    <col min="15104" max="15104" width="12.109375" style="9" customWidth="1"/>
    <col min="15105" max="15105" width="12.44140625" style="9" customWidth="1"/>
    <col min="15106" max="15106" width="17.33203125" style="9" customWidth="1"/>
    <col min="15107" max="15107" width="16.88671875" style="9" customWidth="1"/>
    <col min="15108" max="15108" width="15.88671875" style="9" customWidth="1"/>
    <col min="15109" max="15356" width="9.109375" style="9"/>
    <col min="15357" max="15357" width="63.109375" style="9" customWidth="1"/>
    <col min="15358" max="15358" width="9.109375" style="9"/>
    <col min="15359" max="15359" width="14.109375" style="9" customWidth="1"/>
    <col min="15360" max="15360" width="12.109375" style="9" customWidth="1"/>
    <col min="15361" max="15361" width="12.44140625" style="9" customWidth="1"/>
    <col min="15362" max="15362" width="17.33203125" style="9" customWidth="1"/>
    <col min="15363" max="15363" width="16.88671875" style="9" customWidth="1"/>
    <col min="15364" max="15364" width="15.88671875" style="9" customWidth="1"/>
    <col min="15365" max="15612" width="9.109375" style="9"/>
    <col min="15613" max="15613" width="63.109375" style="9" customWidth="1"/>
    <col min="15614" max="15614" width="9.109375" style="9"/>
    <col min="15615" max="15615" width="14.109375" style="9" customWidth="1"/>
    <col min="15616" max="15616" width="12.109375" style="9" customWidth="1"/>
    <col min="15617" max="15617" width="12.44140625" style="9" customWidth="1"/>
    <col min="15618" max="15618" width="17.33203125" style="9" customWidth="1"/>
    <col min="15619" max="15619" width="16.88671875" style="9" customWidth="1"/>
    <col min="15620" max="15620" width="15.88671875" style="9" customWidth="1"/>
    <col min="15621" max="15868" width="9.109375" style="9"/>
    <col min="15869" max="15869" width="63.109375" style="9" customWidth="1"/>
    <col min="15870" max="15870" width="9.109375" style="9"/>
    <col min="15871" max="15871" width="14.109375" style="9" customWidth="1"/>
    <col min="15872" max="15872" width="12.109375" style="9" customWidth="1"/>
    <col min="15873" max="15873" width="12.44140625" style="9" customWidth="1"/>
    <col min="15874" max="15874" width="17.33203125" style="9" customWidth="1"/>
    <col min="15875" max="15875" width="16.88671875" style="9" customWidth="1"/>
    <col min="15876" max="15876" width="15.88671875" style="9" customWidth="1"/>
    <col min="15877" max="16124" width="9.109375" style="9"/>
    <col min="16125" max="16125" width="63.109375" style="9" customWidth="1"/>
    <col min="16126" max="16126" width="9.109375" style="9"/>
    <col min="16127" max="16127" width="14.109375" style="9" customWidth="1"/>
    <col min="16128" max="16128" width="12.109375" style="9" customWidth="1"/>
    <col min="16129" max="16129" width="12.44140625" style="9" customWidth="1"/>
    <col min="16130" max="16130" width="17.33203125" style="9" customWidth="1"/>
    <col min="16131" max="16131" width="16.88671875" style="9" customWidth="1"/>
    <col min="16132" max="16132" width="15.88671875" style="9" customWidth="1"/>
    <col min="16133" max="16384" width="9.109375" style="9"/>
  </cols>
  <sheetData>
    <row r="1" spans="1:10" x14ac:dyDescent="0.3">
      <c r="A1" s="1388" t="s">
        <v>22</v>
      </c>
      <c r="B1" s="1389" t="s">
        <v>1</v>
      </c>
      <c r="C1" s="1390" t="s">
        <v>23</v>
      </c>
      <c r="D1" s="1441" t="s">
        <v>24</v>
      </c>
      <c r="E1" s="1392" t="s">
        <v>25</v>
      </c>
      <c r="F1" s="1392"/>
      <c r="G1" s="1392" t="s">
        <v>26</v>
      </c>
      <c r="H1" s="1392"/>
      <c r="I1" s="1392" t="s">
        <v>27</v>
      </c>
    </row>
    <row r="2" spans="1:10" x14ac:dyDescent="0.3">
      <c r="A2" s="1388"/>
      <c r="B2" s="1389"/>
      <c r="C2" s="1390"/>
      <c r="D2" s="1441"/>
      <c r="E2" s="10" t="s">
        <v>28</v>
      </c>
      <c r="F2" s="10" t="s">
        <v>29</v>
      </c>
      <c r="G2" s="10" t="s">
        <v>28</v>
      </c>
      <c r="H2" s="10" t="s">
        <v>30</v>
      </c>
      <c r="I2" s="1392"/>
    </row>
    <row r="3" spans="1:10" x14ac:dyDescent="0.3">
      <c r="A3" s="10"/>
      <c r="B3" s="10" t="s">
        <v>1128</v>
      </c>
      <c r="C3" s="10"/>
      <c r="D3" s="10"/>
      <c r="E3" s="10"/>
      <c r="F3" s="10"/>
      <c r="G3" s="10"/>
      <c r="H3" s="10"/>
      <c r="I3" s="329"/>
    </row>
    <row r="4" spans="1:10" x14ac:dyDescent="0.3">
      <c r="A4" s="39" t="s">
        <v>849</v>
      </c>
      <c r="B4" s="41" t="s">
        <v>1108</v>
      </c>
      <c r="C4" s="42" t="s">
        <v>44</v>
      </c>
      <c r="D4" s="328">
        <v>1</v>
      </c>
      <c r="E4" s="44"/>
      <c r="F4" s="44"/>
      <c r="G4" s="44">
        <f t="shared" ref="G4:H4" si="0">SUM(G5)</f>
        <v>64000</v>
      </c>
      <c r="H4" s="44">
        <f t="shared" si="0"/>
        <v>5383744.5599999996</v>
      </c>
      <c r="I4" s="44">
        <f>SUM(I5,I6,I12)</f>
        <v>8358136.2266666666</v>
      </c>
    </row>
    <row r="5" spans="1:10" x14ac:dyDescent="0.3">
      <c r="A5" s="23" t="s">
        <v>1109</v>
      </c>
      <c r="B5" s="29" t="s">
        <v>1126</v>
      </c>
      <c r="C5" s="30" t="s">
        <v>44</v>
      </c>
      <c r="D5" s="69">
        <v>1</v>
      </c>
      <c r="E5" s="28">
        <v>64000</v>
      </c>
      <c r="F5" s="28">
        <v>5383744.5599999996</v>
      </c>
      <c r="G5" s="28">
        <f t="shared" ref="G5:G15" si="1">D5*E5</f>
        <v>64000</v>
      </c>
      <c r="H5" s="28">
        <f t="shared" ref="H5:H15" si="2">D5*F5</f>
        <v>5383744.5599999996</v>
      </c>
      <c r="I5" s="28">
        <f t="shared" ref="I5:I15" si="3">G5+H5</f>
        <v>5447744.5599999996</v>
      </c>
    </row>
    <row r="6" spans="1:10" x14ac:dyDescent="0.3">
      <c r="A6" s="39" t="s">
        <v>851</v>
      </c>
      <c r="B6" s="41" t="s">
        <v>1127</v>
      </c>
      <c r="C6" s="42" t="s">
        <v>44</v>
      </c>
      <c r="D6" s="330">
        <v>1</v>
      </c>
      <c r="E6" s="44"/>
      <c r="F6" s="44"/>
      <c r="G6" s="44">
        <f t="shared" ref="G6:H6" si="4">SUM(G7:G11)</f>
        <v>259950</v>
      </c>
      <c r="H6" s="44">
        <f t="shared" si="4"/>
        <v>383775</v>
      </c>
      <c r="I6" s="44">
        <f>SUM(I7:I11)</f>
        <v>643725</v>
      </c>
    </row>
    <row r="7" spans="1:10" x14ac:dyDescent="0.3">
      <c r="A7" s="23" t="s">
        <v>1129</v>
      </c>
      <c r="B7" s="45" t="s">
        <v>1117</v>
      </c>
      <c r="C7" s="30" t="s">
        <v>44</v>
      </c>
      <c r="D7" s="69">
        <v>1</v>
      </c>
      <c r="E7" s="28">
        <v>30000</v>
      </c>
      <c r="F7" s="28">
        <v>30000</v>
      </c>
      <c r="G7" s="28">
        <f t="shared" si="1"/>
        <v>30000</v>
      </c>
      <c r="H7" s="28">
        <f t="shared" si="2"/>
        <v>30000</v>
      </c>
      <c r="I7" s="28">
        <f t="shared" si="3"/>
        <v>60000</v>
      </c>
    </row>
    <row r="8" spans="1:10" x14ac:dyDescent="0.3">
      <c r="A8" s="23" t="s">
        <v>1130</v>
      </c>
      <c r="B8" s="45" t="s">
        <v>1112</v>
      </c>
      <c r="C8" s="30" t="s">
        <v>1110</v>
      </c>
      <c r="D8" s="69">
        <v>45</v>
      </c>
      <c r="E8" s="28">
        <v>555</v>
      </c>
      <c r="F8" s="28">
        <v>1100</v>
      </c>
      <c r="G8" s="28">
        <f t="shared" si="1"/>
        <v>24975</v>
      </c>
      <c r="H8" s="28">
        <f t="shared" si="2"/>
        <v>49500</v>
      </c>
      <c r="I8" s="28">
        <f t="shared" si="3"/>
        <v>74475</v>
      </c>
    </row>
    <row r="9" spans="1:10" x14ac:dyDescent="0.3">
      <c r="A9" s="23" t="s">
        <v>1131</v>
      </c>
      <c r="B9" s="45" t="s">
        <v>1111</v>
      </c>
      <c r="C9" s="30" t="s">
        <v>1110</v>
      </c>
      <c r="D9" s="69">
        <v>45</v>
      </c>
      <c r="E9" s="71">
        <v>555</v>
      </c>
      <c r="F9" s="28">
        <v>895</v>
      </c>
      <c r="G9" s="28">
        <f t="shared" si="1"/>
        <v>24975</v>
      </c>
      <c r="H9" s="28">
        <f t="shared" si="2"/>
        <v>40275</v>
      </c>
      <c r="I9" s="28">
        <f t="shared" si="3"/>
        <v>65250</v>
      </c>
    </row>
    <row r="10" spans="1:10" x14ac:dyDescent="0.3">
      <c r="A10" s="23" t="s">
        <v>1132</v>
      </c>
      <c r="B10" s="45" t="s">
        <v>1113</v>
      </c>
      <c r="C10" s="30" t="s">
        <v>44</v>
      </c>
      <c r="D10" s="34">
        <v>42</v>
      </c>
      <c r="E10" s="71"/>
      <c r="F10" s="28"/>
      <c r="G10" s="28">
        <f t="shared" si="1"/>
        <v>0</v>
      </c>
      <c r="H10" s="28">
        <f t="shared" si="2"/>
        <v>0</v>
      </c>
      <c r="I10" s="28">
        <f t="shared" si="3"/>
        <v>0</v>
      </c>
      <c r="J10" s="9" t="s">
        <v>1116</v>
      </c>
    </row>
    <row r="11" spans="1:10" x14ac:dyDescent="0.3">
      <c r="A11" s="23" t="s">
        <v>1133</v>
      </c>
      <c r="B11" s="45" t="s">
        <v>1114</v>
      </c>
      <c r="C11" s="30" t="s">
        <v>44</v>
      </c>
      <c r="D11" s="34">
        <v>12</v>
      </c>
      <c r="E11" s="71"/>
      <c r="F11" s="28">
        <v>22000</v>
      </c>
      <c r="G11" s="28">
        <v>180000</v>
      </c>
      <c r="H11" s="28">
        <f t="shared" si="2"/>
        <v>264000</v>
      </c>
      <c r="I11" s="28">
        <f t="shared" si="3"/>
        <v>444000</v>
      </c>
    </row>
    <row r="12" spans="1:10" x14ac:dyDescent="0.3">
      <c r="A12" s="23" t="s">
        <v>555</v>
      </c>
      <c r="B12" s="63" t="s">
        <v>1134</v>
      </c>
      <c r="C12" s="30"/>
      <c r="D12" s="34"/>
      <c r="E12" s="71"/>
      <c r="F12" s="28"/>
      <c r="G12" s="44">
        <f t="shared" ref="G12:H12" si="5">SUM(G13:G15)</f>
        <v>2200000</v>
      </c>
      <c r="H12" s="44">
        <f t="shared" si="5"/>
        <v>66666.666666666672</v>
      </c>
      <c r="I12" s="44">
        <f>SUM(I13:I15)</f>
        <v>2266666.6666666665</v>
      </c>
    </row>
    <row r="13" spans="1:10" x14ac:dyDescent="0.3">
      <c r="A13" s="23" t="s">
        <v>1137</v>
      </c>
      <c r="B13" s="45" t="s">
        <v>1135</v>
      </c>
      <c r="C13" s="30" t="s">
        <v>1115</v>
      </c>
      <c r="D13" s="34">
        <v>10</v>
      </c>
      <c r="E13" s="71">
        <f>210000/3</f>
        <v>70000</v>
      </c>
      <c r="F13" s="28"/>
      <c r="G13" s="28">
        <f t="shared" si="1"/>
        <v>700000</v>
      </c>
      <c r="H13" s="28">
        <f t="shared" si="2"/>
        <v>0</v>
      </c>
      <c r="I13" s="28">
        <f t="shared" si="3"/>
        <v>700000</v>
      </c>
    </row>
    <row r="14" spans="1:10" x14ac:dyDescent="0.3">
      <c r="A14" s="23" t="s">
        <v>1138</v>
      </c>
      <c r="B14" s="45" t="s">
        <v>1192</v>
      </c>
      <c r="C14" s="30" t="s">
        <v>1115</v>
      </c>
      <c r="D14" s="34">
        <v>10</v>
      </c>
      <c r="E14" s="71">
        <v>150000</v>
      </c>
      <c r="F14" s="28"/>
      <c r="G14" s="28">
        <f t="shared" ref="G14" si="6">D14*E14</f>
        <v>1500000</v>
      </c>
      <c r="H14" s="28">
        <f t="shared" ref="H14" si="7">D14*F14</f>
        <v>0</v>
      </c>
      <c r="I14" s="28">
        <f t="shared" ref="I14" si="8">G14+H14</f>
        <v>1500000</v>
      </c>
    </row>
    <row r="15" spans="1:10" x14ac:dyDescent="0.3">
      <c r="A15" s="23" t="s">
        <v>1193</v>
      </c>
      <c r="B15" s="45" t="s">
        <v>1136</v>
      </c>
      <c r="C15" s="30" t="s">
        <v>1115</v>
      </c>
      <c r="D15" s="34">
        <v>10</v>
      </c>
      <c r="E15" s="71"/>
      <c r="F15" s="28">
        <f>20000/3</f>
        <v>6666.666666666667</v>
      </c>
      <c r="G15" s="28">
        <f t="shared" si="1"/>
        <v>0</v>
      </c>
      <c r="H15" s="28">
        <f t="shared" si="2"/>
        <v>66666.666666666672</v>
      </c>
      <c r="I15" s="28">
        <f t="shared" si="3"/>
        <v>66666.666666666672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honeticPr fontId="38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opLeftCell="A19" zoomScale="80" zoomScaleNormal="80" workbookViewId="0">
      <selection activeCell="K38" sqref="K38"/>
    </sheetView>
  </sheetViews>
  <sheetFormatPr defaultRowHeight="15.05" x14ac:dyDescent="0.3"/>
  <cols>
    <col min="1" max="1" width="9.109375" style="679"/>
    <col min="2" max="2" width="76" style="631" customWidth="1"/>
    <col min="3" max="3" width="9.109375" style="680"/>
    <col min="4" max="4" width="14.109375" style="680" customWidth="1"/>
    <col min="5" max="5" width="12.88671875" style="681" customWidth="1"/>
    <col min="6" max="6" width="16.88671875" style="681" customWidth="1"/>
    <col min="7" max="7" width="16.5546875" style="631" customWidth="1"/>
    <col min="8" max="8" width="17.109375" style="631" customWidth="1"/>
    <col min="9" max="9" width="22.109375" style="631" customWidth="1"/>
    <col min="10" max="10" width="9.109375" style="631"/>
    <col min="11" max="11" width="14.33203125" style="631" bestFit="1" customWidth="1"/>
    <col min="12" max="257" width="9.109375" style="631"/>
    <col min="258" max="258" width="76" style="631" customWidth="1"/>
    <col min="259" max="259" width="9.109375" style="631"/>
    <col min="260" max="260" width="14.109375" style="631" customWidth="1"/>
    <col min="261" max="261" width="12.88671875" style="631" customWidth="1"/>
    <col min="262" max="262" width="16.88671875" style="631" customWidth="1"/>
    <col min="263" max="263" width="16.5546875" style="631" customWidth="1"/>
    <col min="264" max="264" width="17.109375" style="631" customWidth="1"/>
    <col min="265" max="265" width="22.109375" style="631" customWidth="1"/>
    <col min="266" max="266" width="9.109375" style="631"/>
    <col min="267" max="267" width="14.33203125" style="631" bestFit="1" customWidth="1"/>
    <col min="268" max="513" width="9.109375" style="631"/>
    <col min="514" max="514" width="76" style="631" customWidth="1"/>
    <col min="515" max="515" width="9.109375" style="631"/>
    <col min="516" max="516" width="14.109375" style="631" customWidth="1"/>
    <col min="517" max="517" width="12.88671875" style="631" customWidth="1"/>
    <col min="518" max="518" width="16.88671875" style="631" customWidth="1"/>
    <col min="519" max="519" width="16.5546875" style="631" customWidth="1"/>
    <col min="520" max="520" width="17.109375" style="631" customWidth="1"/>
    <col min="521" max="521" width="22.109375" style="631" customWidth="1"/>
    <col min="522" max="522" width="9.109375" style="631"/>
    <col min="523" max="523" width="14.33203125" style="631" bestFit="1" customWidth="1"/>
    <col min="524" max="769" width="9.109375" style="631"/>
    <col min="770" max="770" width="76" style="631" customWidth="1"/>
    <col min="771" max="771" width="9.109375" style="631"/>
    <col min="772" max="772" width="14.109375" style="631" customWidth="1"/>
    <col min="773" max="773" width="12.88671875" style="631" customWidth="1"/>
    <col min="774" max="774" width="16.88671875" style="631" customWidth="1"/>
    <col min="775" max="775" width="16.5546875" style="631" customWidth="1"/>
    <col min="776" max="776" width="17.109375" style="631" customWidth="1"/>
    <col min="777" max="777" width="22.109375" style="631" customWidth="1"/>
    <col min="778" max="778" width="9.109375" style="631"/>
    <col min="779" max="779" width="14.33203125" style="631" bestFit="1" customWidth="1"/>
    <col min="780" max="1025" width="9.109375" style="631"/>
    <col min="1026" max="1026" width="76" style="631" customWidth="1"/>
    <col min="1027" max="1027" width="9.109375" style="631"/>
    <col min="1028" max="1028" width="14.109375" style="631" customWidth="1"/>
    <col min="1029" max="1029" width="12.88671875" style="631" customWidth="1"/>
    <col min="1030" max="1030" width="16.88671875" style="631" customWidth="1"/>
    <col min="1031" max="1031" width="16.5546875" style="631" customWidth="1"/>
    <col min="1032" max="1032" width="17.109375" style="631" customWidth="1"/>
    <col min="1033" max="1033" width="22.109375" style="631" customWidth="1"/>
    <col min="1034" max="1034" width="9.109375" style="631"/>
    <col min="1035" max="1035" width="14.33203125" style="631" bestFit="1" customWidth="1"/>
    <col min="1036" max="1281" width="9.109375" style="631"/>
    <col min="1282" max="1282" width="76" style="631" customWidth="1"/>
    <col min="1283" max="1283" width="9.109375" style="631"/>
    <col min="1284" max="1284" width="14.109375" style="631" customWidth="1"/>
    <col min="1285" max="1285" width="12.88671875" style="631" customWidth="1"/>
    <col min="1286" max="1286" width="16.88671875" style="631" customWidth="1"/>
    <col min="1287" max="1287" width="16.5546875" style="631" customWidth="1"/>
    <col min="1288" max="1288" width="17.109375" style="631" customWidth="1"/>
    <col min="1289" max="1289" width="22.109375" style="631" customWidth="1"/>
    <col min="1290" max="1290" width="9.109375" style="631"/>
    <col min="1291" max="1291" width="14.33203125" style="631" bestFit="1" customWidth="1"/>
    <col min="1292" max="1537" width="9.109375" style="631"/>
    <col min="1538" max="1538" width="76" style="631" customWidth="1"/>
    <col min="1539" max="1539" width="9.109375" style="631"/>
    <col min="1540" max="1540" width="14.109375" style="631" customWidth="1"/>
    <col min="1541" max="1541" width="12.88671875" style="631" customWidth="1"/>
    <col min="1542" max="1542" width="16.88671875" style="631" customWidth="1"/>
    <col min="1543" max="1543" width="16.5546875" style="631" customWidth="1"/>
    <col min="1544" max="1544" width="17.109375" style="631" customWidth="1"/>
    <col min="1545" max="1545" width="22.109375" style="631" customWidth="1"/>
    <col min="1546" max="1546" width="9.109375" style="631"/>
    <col min="1547" max="1547" width="14.33203125" style="631" bestFit="1" customWidth="1"/>
    <col min="1548" max="1793" width="9.109375" style="631"/>
    <col min="1794" max="1794" width="76" style="631" customWidth="1"/>
    <col min="1795" max="1795" width="9.109375" style="631"/>
    <col min="1796" max="1796" width="14.109375" style="631" customWidth="1"/>
    <col min="1797" max="1797" width="12.88671875" style="631" customWidth="1"/>
    <col min="1798" max="1798" width="16.88671875" style="631" customWidth="1"/>
    <col min="1799" max="1799" width="16.5546875" style="631" customWidth="1"/>
    <col min="1800" max="1800" width="17.109375" style="631" customWidth="1"/>
    <col min="1801" max="1801" width="22.109375" style="631" customWidth="1"/>
    <col min="1802" max="1802" width="9.109375" style="631"/>
    <col min="1803" max="1803" width="14.33203125" style="631" bestFit="1" customWidth="1"/>
    <col min="1804" max="2049" width="9.109375" style="631"/>
    <col min="2050" max="2050" width="76" style="631" customWidth="1"/>
    <col min="2051" max="2051" width="9.109375" style="631"/>
    <col min="2052" max="2052" width="14.109375" style="631" customWidth="1"/>
    <col min="2053" max="2053" width="12.88671875" style="631" customWidth="1"/>
    <col min="2054" max="2054" width="16.88671875" style="631" customWidth="1"/>
    <col min="2055" max="2055" width="16.5546875" style="631" customWidth="1"/>
    <col min="2056" max="2056" width="17.109375" style="631" customWidth="1"/>
    <col min="2057" max="2057" width="22.109375" style="631" customWidth="1"/>
    <col min="2058" max="2058" width="9.109375" style="631"/>
    <col min="2059" max="2059" width="14.33203125" style="631" bestFit="1" customWidth="1"/>
    <col min="2060" max="2305" width="9.109375" style="631"/>
    <col min="2306" max="2306" width="76" style="631" customWidth="1"/>
    <col min="2307" max="2307" width="9.109375" style="631"/>
    <col min="2308" max="2308" width="14.109375" style="631" customWidth="1"/>
    <col min="2309" max="2309" width="12.88671875" style="631" customWidth="1"/>
    <col min="2310" max="2310" width="16.88671875" style="631" customWidth="1"/>
    <col min="2311" max="2311" width="16.5546875" style="631" customWidth="1"/>
    <col min="2312" max="2312" width="17.109375" style="631" customWidth="1"/>
    <col min="2313" max="2313" width="22.109375" style="631" customWidth="1"/>
    <col min="2314" max="2314" width="9.109375" style="631"/>
    <col min="2315" max="2315" width="14.33203125" style="631" bestFit="1" customWidth="1"/>
    <col min="2316" max="2561" width="9.109375" style="631"/>
    <col min="2562" max="2562" width="76" style="631" customWidth="1"/>
    <col min="2563" max="2563" width="9.109375" style="631"/>
    <col min="2564" max="2564" width="14.109375" style="631" customWidth="1"/>
    <col min="2565" max="2565" width="12.88671875" style="631" customWidth="1"/>
    <col min="2566" max="2566" width="16.88671875" style="631" customWidth="1"/>
    <col min="2567" max="2567" width="16.5546875" style="631" customWidth="1"/>
    <col min="2568" max="2568" width="17.109375" style="631" customWidth="1"/>
    <col min="2569" max="2569" width="22.109375" style="631" customWidth="1"/>
    <col min="2570" max="2570" width="9.109375" style="631"/>
    <col min="2571" max="2571" width="14.33203125" style="631" bestFit="1" customWidth="1"/>
    <col min="2572" max="2817" width="9.109375" style="631"/>
    <col min="2818" max="2818" width="76" style="631" customWidth="1"/>
    <col min="2819" max="2819" width="9.109375" style="631"/>
    <col min="2820" max="2820" width="14.109375" style="631" customWidth="1"/>
    <col min="2821" max="2821" width="12.88671875" style="631" customWidth="1"/>
    <col min="2822" max="2822" width="16.88671875" style="631" customWidth="1"/>
    <col min="2823" max="2823" width="16.5546875" style="631" customWidth="1"/>
    <col min="2824" max="2824" width="17.109375" style="631" customWidth="1"/>
    <col min="2825" max="2825" width="22.109375" style="631" customWidth="1"/>
    <col min="2826" max="2826" width="9.109375" style="631"/>
    <col min="2827" max="2827" width="14.33203125" style="631" bestFit="1" customWidth="1"/>
    <col min="2828" max="3073" width="9.109375" style="631"/>
    <col min="3074" max="3074" width="76" style="631" customWidth="1"/>
    <col min="3075" max="3075" width="9.109375" style="631"/>
    <col min="3076" max="3076" width="14.109375" style="631" customWidth="1"/>
    <col min="3077" max="3077" width="12.88671875" style="631" customWidth="1"/>
    <col min="3078" max="3078" width="16.88671875" style="631" customWidth="1"/>
    <col min="3079" max="3079" width="16.5546875" style="631" customWidth="1"/>
    <col min="3080" max="3080" width="17.109375" style="631" customWidth="1"/>
    <col min="3081" max="3081" width="22.109375" style="631" customWidth="1"/>
    <col min="3082" max="3082" width="9.109375" style="631"/>
    <col min="3083" max="3083" width="14.33203125" style="631" bestFit="1" customWidth="1"/>
    <col min="3084" max="3329" width="9.109375" style="631"/>
    <col min="3330" max="3330" width="76" style="631" customWidth="1"/>
    <col min="3331" max="3331" width="9.109375" style="631"/>
    <col min="3332" max="3332" width="14.109375" style="631" customWidth="1"/>
    <col min="3333" max="3333" width="12.88671875" style="631" customWidth="1"/>
    <col min="3334" max="3334" width="16.88671875" style="631" customWidth="1"/>
    <col min="3335" max="3335" width="16.5546875" style="631" customWidth="1"/>
    <col min="3336" max="3336" width="17.109375" style="631" customWidth="1"/>
    <col min="3337" max="3337" width="22.109375" style="631" customWidth="1"/>
    <col min="3338" max="3338" width="9.109375" style="631"/>
    <col min="3339" max="3339" width="14.33203125" style="631" bestFit="1" customWidth="1"/>
    <col min="3340" max="3585" width="9.109375" style="631"/>
    <col min="3586" max="3586" width="76" style="631" customWidth="1"/>
    <col min="3587" max="3587" width="9.109375" style="631"/>
    <col min="3588" max="3588" width="14.109375" style="631" customWidth="1"/>
    <col min="3589" max="3589" width="12.88671875" style="631" customWidth="1"/>
    <col min="3590" max="3590" width="16.88671875" style="631" customWidth="1"/>
    <col min="3591" max="3591" width="16.5546875" style="631" customWidth="1"/>
    <col min="3592" max="3592" width="17.109375" style="631" customWidth="1"/>
    <col min="3593" max="3593" width="22.109375" style="631" customWidth="1"/>
    <col min="3594" max="3594" width="9.109375" style="631"/>
    <col min="3595" max="3595" width="14.33203125" style="631" bestFit="1" customWidth="1"/>
    <col min="3596" max="3841" width="9.109375" style="631"/>
    <col min="3842" max="3842" width="76" style="631" customWidth="1"/>
    <col min="3843" max="3843" width="9.109375" style="631"/>
    <col min="3844" max="3844" width="14.109375" style="631" customWidth="1"/>
    <col min="3845" max="3845" width="12.88671875" style="631" customWidth="1"/>
    <col min="3846" max="3846" width="16.88671875" style="631" customWidth="1"/>
    <col min="3847" max="3847" width="16.5546875" style="631" customWidth="1"/>
    <col min="3848" max="3848" width="17.109375" style="631" customWidth="1"/>
    <col min="3849" max="3849" width="22.109375" style="631" customWidth="1"/>
    <col min="3850" max="3850" width="9.109375" style="631"/>
    <col min="3851" max="3851" width="14.33203125" style="631" bestFit="1" customWidth="1"/>
    <col min="3852" max="4097" width="9.109375" style="631"/>
    <col min="4098" max="4098" width="76" style="631" customWidth="1"/>
    <col min="4099" max="4099" width="9.109375" style="631"/>
    <col min="4100" max="4100" width="14.109375" style="631" customWidth="1"/>
    <col min="4101" max="4101" width="12.88671875" style="631" customWidth="1"/>
    <col min="4102" max="4102" width="16.88671875" style="631" customWidth="1"/>
    <col min="4103" max="4103" width="16.5546875" style="631" customWidth="1"/>
    <col min="4104" max="4104" width="17.109375" style="631" customWidth="1"/>
    <col min="4105" max="4105" width="22.109375" style="631" customWidth="1"/>
    <col min="4106" max="4106" width="9.109375" style="631"/>
    <col min="4107" max="4107" width="14.33203125" style="631" bestFit="1" customWidth="1"/>
    <col min="4108" max="4353" width="9.109375" style="631"/>
    <col min="4354" max="4354" width="76" style="631" customWidth="1"/>
    <col min="4355" max="4355" width="9.109375" style="631"/>
    <col min="4356" max="4356" width="14.109375" style="631" customWidth="1"/>
    <col min="4357" max="4357" width="12.88671875" style="631" customWidth="1"/>
    <col min="4358" max="4358" width="16.88671875" style="631" customWidth="1"/>
    <col min="4359" max="4359" width="16.5546875" style="631" customWidth="1"/>
    <col min="4360" max="4360" width="17.109375" style="631" customWidth="1"/>
    <col min="4361" max="4361" width="22.109375" style="631" customWidth="1"/>
    <col min="4362" max="4362" width="9.109375" style="631"/>
    <col min="4363" max="4363" width="14.33203125" style="631" bestFit="1" customWidth="1"/>
    <col min="4364" max="4609" width="9.109375" style="631"/>
    <col min="4610" max="4610" width="76" style="631" customWidth="1"/>
    <col min="4611" max="4611" width="9.109375" style="631"/>
    <col min="4612" max="4612" width="14.109375" style="631" customWidth="1"/>
    <col min="4613" max="4613" width="12.88671875" style="631" customWidth="1"/>
    <col min="4614" max="4614" width="16.88671875" style="631" customWidth="1"/>
    <col min="4615" max="4615" width="16.5546875" style="631" customWidth="1"/>
    <col min="4616" max="4616" width="17.109375" style="631" customWidth="1"/>
    <col min="4617" max="4617" width="22.109375" style="631" customWidth="1"/>
    <col min="4618" max="4618" width="9.109375" style="631"/>
    <col min="4619" max="4619" width="14.33203125" style="631" bestFit="1" customWidth="1"/>
    <col min="4620" max="4865" width="9.109375" style="631"/>
    <col min="4866" max="4866" width="76" style="631" customWidth="1"/>
    <col min="4867" max="4867" width="9.109375" style="631"/>
    <col min="4868" max="4868" width="14.109375" style="631" customWidth="1"/>
    <col min="4869" max="4869" width="12.88671875" style="631" customWidth="1"/>
    <col min="4870" max="4870" width="16.88671875" style="631" customWidth="1"/>
    <col min="4871" max="4871" width="16.5546875" style="631" customWidth="1"/>
    <col min="4872" max="4872" width="17.109375" style="631" customWidth="1"/>
    <col min="4873" max="4873" width="22.109375" style="631" customWidth="1"/>
    <col min="4874" max="4874" width="9.109375" style="631"/>
    <col min="4875" max="4875" width="14.33203125" style="631" bestFit="1" customWidth="1"/>
    <col min="4876" max="5121" width="9.109375" style="631"/>
    <col min="5122" max="5122" width="76" style="631" customWidth="1"/>
    <col min="5123" max="5123" width="9.109375" style="631"/>
    <col min="5124" max="5124" width="14.109375" style="631" customWidth="1"/>
    <col min="5125" max="5125" width="12.88671875" style="631" customWidth="1"/>
    <col min="5126" max="5126" width="16.88671875" style="631" customWidth="1"/>
    <col min="5127" max="5127" width="16.5546875" style="631" customWidth="1"/>
    <col min="5128" max="5128" width="17.109375" style="631" customWidth="1"/>
    <col min="5129" max="5129" width="22.109375" style="631" customWidth="1"/>
    <col min="5130" max="5130" width="9.109375" style="631"/>
    <col min="5131" max="5131" width="14.33203125" style="631" bestFit="1" customWidth="1"/>
    <col min="5132" max="5377" width="9.109375" style="631"/>
    <col min="5378" max="5378" width="76" style="631" customWidth="1"/>
    <col min="5379" max="5379" width="9.109375" style="631"/>
    <col min="5380" max="5380" width="14.109375" style="631" customWidth="1"/>
    <col min="5381" max="5381" width="12.88671875" style="631" customWidth="1"/>
    <col min="5382" max="5382" width="16.88671875" style="631" customWidth="1"/>
    <col min="5383" max="5383" width="16.5546875" style="631" customWidth="1"/>
    <col min="5384" max="5384" width="17.109375" style="631" customWidth="1"/>
    <col min="5385" max="5385" width="22.109375" style="631" customWidth="1"/>
    <col min="5386" max="5386" width="9.109375" style="631"/>
    <col min="5387" max="5387" width="14.33203125" style="631" bestFit="1" customWidth="1"/>
    <col min="5388" max="5633" width="9.109375" style="631"/>
    <col min="5634" max="5634" width="76" style="631" customWidth="1"/>
    <col min="5635" max="5635" width="9.109375" style="631"/>
    <col min="5636" max="5636" width="14.109375" style="631" customWidth="1"/>
    <col min="5637" max="5637" width="12.88671875" style="631" customWidth="1"/>
    <col min="5638" max="5638" width="16.88671875" style="631" customWidth="1"/>
    <col min="5639" max="5639" width="16.5546875" style="631" customWidth="1"/>
    <col min="5640" max="5640" width="17.109375" style="631" customWidth="1"/>
    <col min="5641" max="5641" width="22.109375" style="631" customWidth="1"/>
    <col min="5642" max="5642" width="9.109375" style="631"/>
    <col min="5643" max="5643" width="14.33203125" style="631" bestFit="1" customWidth="1"/>
    <col min="5644" max="5889" width="9.109375" style="631"/>
    <col min="5890" max="5890" width="76" style="631" customWidth="1"/>
    <col min="5891" max="5891" width="9.109375" style="631"/>
    <col min="5892" max="5892" width="14.109375" style="631" customWidth="1"/>
    <col min="5893" max="5893" width="12.88671875" style="631" customWidth="1"/>
    <col min="5894" max="5894" width="16.88671875" style="631" customWidth="1"/>
    <col min="5895" max="5895" width="16.5546875" style="631" customWidth="1"/>
    <col min="5896" max="5896" width="17.109375" style="631" customWidth="1"/>
    <col min="5897" max="5897" width="22.109375" style="631" customWidth="1"/>
    <col min="5898" max="5898" width="9.109375" style="631"/>
    <col min="5899" max="5899" width="14.33203125" style="631" bestFit="1" customWidth="1"/>
    <col min="5900" max="6145" width="9.109375" style="631"/>
    <col min="6146" max="6146" width="76" style="631" customWidth="1"/>
    <col min="6147" max="6147" width="9.109375" style="631"/>
    <col min="6148" max="6148" width="14.109375" style="631" customWidth="1"/>
    <col min="6149" max="6149" width="12.88671875" style="631" customWidth="1"/>
    <col min="6150" max="6150" width="16.88671875" style="631" customWidth="1"/>
    <col min="6151" max="6151" width="16.5546875" style="631" customWidth="1"/>
    <col min="6152" max="6152" width="17.109375" style="631" customWidth="1"/>
    <col min="6153" max="6153" width="22.109375" style="631" customWidth="1"/>
    <col min="6154" max="6154" width="9.109375" style="631"/>
    <col min="6155" max="6155" width="14.33203125" style="631" bestFit="1" customWidth="1"/>
    <col min="6156" max="6401" width="9.109375" style="631"/>
    <col min="6402" max="6402" width="76" style="631" customWidth="1"/>
    <col min="6403" max="6403" width="9.109375" style="631"/>
    <col min="6404" max="6404" width="14.109375" style="631" customWidth="1"/>
    <col min="6405" max="6405" width="12.88671875" style="631" customWidth="1"/>
    <col min="6406" max="6406" width="16.88671875" style="631" customWidth="1"/>
    <col min="6407" max="6407" width="16.5546875" style="631" customWidth="1"/>
    <col min="6408" max="6408" width="17.109375" style="631" customWidth="1"/>
    <col min="6409" max="6409" width="22.109375" style="631" customWidth="1"/>
    <col min="6410" max="6410" width="9.109375" style="631"/>
    <col min="6411" max="6411" width="14.33203125" style="631" bestFit="1" customWidth="1"/>
    <col min="6412" max="6657" width="9.109375" style="631"/>
    <col min="6658" max="6658" width="76" style="631" customWidth="1"/>
    <col min="6659" max="6659" width="9.109375" style="631"/>
    <col min="6660" max="6660" width="14.109375" style="631" customWidth="1"/>
    <col min="6661" max="6661" width="12.88671875" style="631" customWidth="1"/>
    <col min="6662" max="6662" width="16.88671875" style="631" customWidth="1"/>
    <col min="6663" max="6663" width="16.5546875" style="631" customWidth="1"/>
    <col min="6664" max="6664" width="17.109375" style="631" customWidth="1"/>
    <col min="6665" max="6665" width="22.109375" style="631" customWidth="1"/>
    <col min="6666" max="6666" width="9.109375" style="631"/>
    <col min="6667" max="6667" width="14.33203125" style="631" bestFit="1" customWidth="1"/>
    <col min="6668" max="6913" width="9.109375" style="631"/>
    <col min="6914" max="6914" width="76" style="631" customWidth="1"/>
    <col min="6915" max="6915" width="9.109375" style="631"/>
    <col min="6916" max="6916" width="14.109375" style="631" customWidth="1"/>
    <col min="6917" max="6917" width="12.88671875" style="631" customWidth="1"/>
    <col min="6918" max="6918" width="16.88671875" style="631" customWidth="1"/>
    <col min="6919" max="6919" width="16.5546875" style="631" customWidth="1"/>
    <col min="6920" max="6920" width="17.109375" style="631" customWidth="1"/>
    <col min="6921" max="6921" width="22.109375" style="631" customWidth="1"/>
    <col min="6922" max="6922" width="9.109375" style="631"/>
    <col min="6923" max="6923" width="14.33203125" style="631" bestFit="1" customWidth="1"/>
    <col min="6924" max="7169" width="9.109375" style="631"/>
    <col min="7170" max="7170" width="76" style="631" customWidth="1"/>
    <col min="7171" max="7171" width="9.109375" style="631"/>
    <col min="7172" max="7172" width="14.109375" style="631" customWidth="1"/>
    <col min="7173" max="7173" width="12.88671875" style="631" customWidth="1"/>
    <col min="7174" max="7174" width="16.88671875" style="631" customWidth="1"/>
    <col min="7175" max="7175" width="16.5546875" style="631" customWidth="1"/>
    <col min="7176" max="7176" width="17.109375" style="631" customWidth="1"/>
    <col min="7177" max="7177" width="22.109375" style="631" customWidth="1"/>
    <col min="7178" max="7178" width="9.109375" style="631"/>
    <col min="7179" max="7179" width="14.33203125" style="631" bestFit="1" customWidth="1"/>
    <col min="7180" max="7425" width="9.109375" style="631"/>
    <col min="7426" max="7426" width="76" style="631" customWidth="1"/>
    <col min="7427" max="7427" width="9.109375" style="631"/>
    <col min="7428" max="7428" width="14.109375" style="631" customWidth="1"/>
    <col min="7429" max="7429" width="12.88671875" style="631" customWidth="1"/>
    <col min="7430" max="7430" width="16.88671875" style="631" customWidth="1"/>
    <col min="7431" max="7431" width="16.5546875" style="631" customWidth="1"/>
    <col min="7432" max="7432" width="17.109375" style="631" customWidth="1"/>
    <col min="7433" max="7433" width="22.109375" style="631" customWidth="1"/>
    <col min="7434" max="7434" width="9.109375" style="631"/>
    <col min="7435" max="7435" width="14.33203125" style="631" bestFit="1" customWidth="1"/>
    <col min="7436" max="7681" width="9.109375" style="631"/>
    <col min="7682" max="7682" width="76" style="631" customWidth="1"/>
    <col min="7683" max="7683" width="9.109375" style="631"/>
    <col min="7684" max="7684" width="14.109375" style="631" customWidth="1"/>
    <col min="7685" max="7685" width="12.88671875" style="631" customWidth="1"/>
    <col min="7686" max="7686" width="16.88671875" style="631" customWidth="1"/>
    <col min="7687" max="7687" width="16.5546875" style="631" customWidth="1"/>
    <col min="7688" max="7688" width="17.109375" style="631" customWidth="1"/>
    <col min="7689" max="7689" width="22.109375" style="631" customWidth="1"/>
    <col min="7690" max="7690" width="9.109375" style="631"/>
    <col min="7691" max="7691" width="14.33203125" style="631" bestFit="1" customWidth="1"/>
    <col min="7692" max="7937" width="9.109375" style="631"/>
    <col min="7938" max="7938" width="76" style="631" customWidth="1"/>
    <col min="7939" max="7939" width="9.109375" style="631"/>
    <col min="7940" max="7940" width="14.109375" style="631" customWidth="1"/>
    <col min="7941" max="7941" width="12.88671875" style="631" customWidth="1"/>
    <col min="7942" max="7942" width="16.88671875" style="631" customWidth="1"/>
    <col min="7943" max="7943" width="16.5546875" style="631" customWidth="1"/>
    <col min="7944" max="7944" width="17.109375" style="631" customWidth="1"/>
    <col min="7945" max="7945" width="22.109375" style="631" customWidth="1"/>
    <col min="7946" max="7946" width="9.109375" style="631"/>
    <col min="7947" max="7947" width="14.33203125" style="631" bestFit="1" customWidth="1"/>
    <col min="7948" max="8193" width="9.109375" style="631"/>
    <col min="8194" max="8194" width="76" style="631" customWidth="1"/>
    <col min="8195" max="8195" width="9.109375" style="631"/>
    <col min="8196" max="8196" width="14.109375" style="631" customWidth="1"/>
    <col min="8197" max="8197" width="12.88671875" style="631" customWidth="1"/>
    <col min="8198" max="8198" width="16.88671875" style="631" customWidth="1"/>
    <col min="8199" max="8199" width="16.5546875" style="631" customWidth="1"/>
    <col min="8200" max="8200" width="17.109375" style="631" customWidth="1"/>
    <col min="8201" max="8201" width="22.109375" style="631" customWidth="1"/>
    <col min="8202" max="8202" width="9.109375" style="631"/>
    <col min="8203" max="8203" width="14.33203125" style="631" bestFit="1" customWidth="1"/>
    <col min="8204" max="8449" width="9.109375" style="631"/>
    <col min="8450" max="8450" width="76" style="631" customWidth="1"/>
    <col min="8451" max="8451" width="9.109375" style="631"/>
    <col min="8452" max="8452" width="14.109375" style="631" customWidth="1"/>
    <col min="8453" max="8453" width="12.88671875" style="631" customWidth="1"/>
    <col min="8454" max="8454" width="16.88671875" style="631" customWidth="1"/>
    <col min="8455" max="8455" width="16.5546875" style="631" customWidth="1"/>
    <col min="8456" max="8456" width="17.109375" style="631" customWidth="1"/>
    <col min="8457" max="8457" width="22.109375" style="631" customWidth="1"/>
    <col min="8458" max="8458" width="9.109375" style="631"/>
    <col min="8459" max="8459" width="14.33203125" style="631" bestFit="1" customWidth="1"/>
    <col min="8460" max="8705" width="9.109375" style="631"/>
    <col min="8706" max="8706" width="76" style="631" customWidth="1"/>
    <col min="8707" max="8707" width="9.109375" style="631"/>
    <col min="8708" max="8708" width="14.109375" style="631" customWidth="1"/>
    <col min="8709" max="8709" width="12.88671875" style="631" customWidth="1"/>
    <col min="8710" max="8710" width="16.88671875" style="631" customWidth="1"/>
    <col min="8711" max="8711" width="16.5546875" style="631" customWidth="1"/>
    <col min="8712" max="8712" width="17.109375" style="631" customWidth="1"/>
    <col min="8713" max="8713" width="22.109375" style="631" customWidth="1"/>
    <col min="8714" max="8714" width="9.109375" style="631"/>
    <col min="8715" max="8715" width="14.33203125" style="631" bestFit="1" customWidth="1"/>
    <col min="8716" max="8961" width="9.109375" style="631"/>
    <col min="8962" max="8962" width="76" style="631" customWidth="1"/>
    <col min="8963" max="8963" width="9.109375" style="631"/>
    <col min="8964" max="8964" width="14.109375" style="631" customWidth="1"/>
    <col min="8965" max="8965" width="12.88671875" style="631" customWidth="1"/>
    <col min="8966" max="8966" width="16.88671875" style="631" customWidth="1"/>
    <col min="8967" max="8967" width="16.5546875" style="631" customWidth="1"/>
    <col min="8968" max="8968" width="17.109375" style="631" customWidth="1"/>
    <col min="8969" max="8969" width="22.109375" style="631" customWidth="1"/>
    <col min="8970" max="8970" width="9.109375" style="631"/>
    <col min="8971" max="8971" width="14.33203125" style="631" bestFit="1" customWidth="1"/>
    <col min="8972" max="9217" width="9.109375" style="631"/>
    <col min="9218" max="9218" width="76" style="631" customWidth="1"/>
    <col min="9219" max="9219" width="9.109375" style="631"/>
    <col min="9220" max="9220" width="14.109375" style="631" customWidth="1"/>
    <col min="9221" max="9221" width="12.88671875" style="631" customWidth="1"/>
    <col min="9222" max="9222" width="16.88671875" style="631" customWidth="1"/>
    <col min="9223" max="9223" width="16.5546875" style="631" customWidth="1"/>
    <col min="9224" max="9224" width="17.109375" style="631" customWidth="1"/>
    <col min="9225" max="9225" width="22.109375" style="631" customWidth="1"/>
    <col min="9226" max="9226" width="9.109375" style="631"/>
    <col min="9227" max="9227" width="14.33203125" style="631" bestFit="1" customWidth="1"/>
    <col min="9228" max="9473" width="9.109375" style="631"/>
    <col min="9474" max="9474" width="76" style="631" customWidth="1"/>
    <col min="9475" max="9475" width="9.109375" style="631"/>
    <col min="9476" max="9476" width="14.109375" style="631" customWidth="1"/>
    <col min="9477" max="9477" width="12.88671875" style="631" customWidth="1"/>
    <col min="9478" max="9478" width="16.88671875" style="631" customWidth="1"/>
    <col min="9479" max="9479" width="16.5546875" style="631" customWidth="1"/>
    <col min="9480" max="9480" width="17.109375" style="631" customWidth="1"/>
    <col min="9481" max="9481" width="22.109375" style="631" customWidth="1"/>
    <col min="9482" max="9482" width="9.109375" style="631"/>
    <col min="9483" max="9483" width="14.33203125" style="631" bestFit="1" customWidth="1"/>
    <col min="9484" max="9729" width="9.109375" style="631"/>
    <col min="9730" max="9730" width="76" style="631" customWidth="1"/>
    <col min="9731" max="9731" width="9.109375" style="631"/>
    <col min="9732" max="9732" width="14.109375" style="631" customWidth="1"/>
    <col min="9733" max="9733" width="12.88671875" style="631" customWidth="1"/>
    <col min="9734" max="9734" width="16.88671875" style="631" customWidth="1"/>
    <col min="9735" max="9735" width="16.5546875" style="631" customWidth="1"/>
    <col min="9736" max="9736" width="17.109375" style="631" customWidth="1"/>
    <col min="9737" max="9737" width="22.109375" style="631" customWidth="1"/>
    <col min="9738" max="9738" width="9.109375" style="631"/>
    <col min="9739" max="9739" width="14.33203125" style="631" bestFit="1" customWidth="1"/>
    <col min="9740" max="9985" width="9.109375" style="631"/>
    <col min="9986" max="9986" width="76" style="631" customWidth="1"/>
    <col min="9987" max="9987" width="9.109375" style="631"/>
    <col min="9988" max="9988" width="14.109375" style="631" customWidth="1"/>
    <col min="9989" max="9989" width="12.88671875" style="631" customWidth="1"/>
    <col min="9990" max="9990" width="16.88671875" style="631" customWidth="1"/>
    <col min="9991" max="9991" width="16.5546875" style="631" customWidth="1"/>
    <col min="9992" max="9992" width="17.109375" style="631" customWidth="1"/>
    <col min="9993" max="9993" width="22.109375" style="631" customWidth="1"/>
    <col min="9994" max="9994" width="9.109375" style="631"/>
    <col min="9995" max="9995" width="14.33203125" style="631" bestFit="1" customWidth="1"/>
    <col min="9996" max="10241" width="9.109375" style="631"/>
    <col min="10242" max="10242" width="76" style="631" customWidth="1"/>
    <col min="10243" max="10243" width="9.109375" style="631"/>
    <col min="10244" max="10244" width="14.109375" style="631" customWidth="1"/>
    <col min="10245" max="10245" width="12.88671875" style="631" customWidth="1"/>
    <col min="10246" max="10246" width="16.88671875" style="631" customWidth="1"/>
    <col min="10247" max="10247" width="16.5546875" style="631" customWidth="1"/>
    <col min="10248" max="10248" width="17.109375" style="631" customWidth="1"/>
    <col min="10249" max="10249" width="22.109375" style="631" customWidth="1"/>
    <col min="10250" max="10250" width="9.109375" style="631"/>
    <col min="10251" max="10251" width="14.33203125" style="631" bestFit="1" customWidth="1"/>
    <col min="10252" max="10497" width="9.109375" style="631"/>
    <col min="10498" max="10498" width="76" style="631" customWidth="1"/>
    <col min="10499" max="10499" width="9.109375" style="631"/>
    <col min="10500" max="10500" width="14.109375" style="631" customWidth="1"/>
    <col min="10501" max="10501" width="12.88671875" style="631" customWidth="1"/>
    <col min="10502" max="10502" width="16.88671875" style="631" customWidth="1"/>
    <col min="10503" max="10503" width="16.5546875" style="631" customWidth="1"/>
    <col min="10504" max="10504" width="17.109375" style="631" customWidth="1"/>
    <col min="10505" max="10505" width="22.109375" style="631" customWidth="1"/>
    <col min="10506" max="10506" width="9.109375" style="631"/>
    <col min="10507" max="10507" width="14.33203125" style="631" bestFit="1" customWidth="1"/>
    <col min="10508" max="10753" width="9.109375" style="631"/>
    <col min="10754" max="10754" width="76" style="631" customWidth="1"/>
    <col min="10755" max="10755" width="9.109375" style="631"/>
    <col min="10756" max="10756" width="14.109375" style="631" customWidth="1"/>
    <col min="10757" max="10757" width="12.88671875" style="631" customWidth="1"/>
    <col min="10758" max="10758" width="16.88671875" style="631" customWidth="1"/>
    <col min="10759" max="10759" width="16.5546875" style="631" customWidth="1"/>
    <col min="10760" max="10760" width="17.109375" style="631" customWidth="1"/>
    <col min="10761" max="10761" width="22.109375" style="631" customWidth="1"/>
    <col min="10762" max="10762" width="9.109375" style="631"/>
    <col min="10763" max="10763" width="14.33203125" style="631" bestFit="1" customWidth="1"/>
    <col min="10764" max="11009" width="9.109375" style="631"/>
    <col min="11010" max="11010" width="76" style="631" customWidth="1"/>
    <col min="11011" max="11011" width="9.109375" style="631"/>
    <col min="11012" max="11012" width="14.109375" style="631" customWidth="1"/>
    <col min="11013" max="11013" width="12.88671875" style="631" customWidth="1"/>
    <col min="11014" max="11014" width="16.88671875" style="631" customWidth="1"/>
    <col min="11015" max="11015" width="16.5546875" style="631" customWidth="1"/>
    <col min="11016" max="11016" width="17.109375" style="631" customWidth="1"/>
    <col min="11017" max="11017" width="22.109375" style="631" customWidth="1"/>
    <col min="11018" max="11018" width="9.109375" style="631"/>
    <col min="11019" max="11019" width="14.33203125" style="631" bestFit="1" customWidth="1"/>
    <col min="11020" max="11265" width="9.109375" style="631"/>
    <col min="11266" max="11266" width="76" style="631" customWidth="1"/>
    <col min="11267" max="11267" width="9.109375" style="631"/>
    <col min="11268" max="11268" width="14.109375" style="631" customWidth="1"/>
    <col min="11269" max="11269" width="12.88671875" style="631" customWidth="1"/>
    <col min="11270" max="11270" width="16.88671875" style="631" customWidth="1"/>
    <col min="11271" max="11271" width="16.5546875" style="631" customWidth="1"/>
    <col min="11272" max="11272" width="17.109375" style="631" customWidth="1"/>
    <col min="11273" max="11273" width="22.109375" style="631" customWidth="1"/>
    <col min="11274" max="11274" width="9.109375" style="631"/>
    <col min="11275" max="11275" width="14.33203125" style="631" bestFit="1" customWidth="1"/>
    <col min="11276" max="11521" width="9.109375" style="631"/>
    <col min="11522" max="11522" width="76" style="631" customWidth="1"/>
    <col min="11523" max="11523" width="9.109375" style="631"/>
    <col min="11524" max="11524" width="14.109375" style="631" customWidth="1"/>
    <col min="11525" max="11525" width="12.88671875" style="631" customWidth="1"/>
    <col min="11526" max="11526" width="16.88671875" style="631" customWidth="1"/>
    <col min="11527" max="11527" width="16.5546875" style="631" customWidth="1"/>
    <col min="11528" max="11528" width="17.109375" style="631" customWidth="1"/>
    <col min="11529" max="11529" width="22.109375" style="631" customWidth="1"/>
    <col min="11530" max="11530" width="9.109375" style="631"/>
    <col min="11531" max="11531" width="14.33203125" style="631" bestFit="1" customWidth="1"/>
    <col min="11532" max="11777" width="9.109375" style="631"/>
    <col min="11778" max="11778" width="76" style="631" customWidth="1"/>
    <col min="11779" max="11779" width="9.109375" style="631"/>
    <col min="11780" max="11780" width="14.109375" style="631" customWidth="1"/>
    <col min="11781" max="11781" width="12.88671875" style="631" customWidth="1"/>
    <col min="11782" max="11782" width="16.88671875" style="631" customWidth="1"/>
    <col min="11783" max="11783" width="16.5546875" style="631" customWidth="1"/>
    <col min="11784" max="11784" width="17.109375" style="631" customWidth="1"/>
    <col min="11785" max="11785" width="22.109375" style="631" customWidth="1"/>
    <col min="11786" max="11786" width="9.109375" style="631"/>
    <col min="11787" max="11787" width="14.33203125" style="631" bestFit="1" customWidth="1"/>
    <col min="11788" max="12033" width="9.109375" style="631"/>
    <col min="12034" max="12034" width="76" style="631" customWidth="1"/>
    <col min="12035" max="12035" width="9.109375" style="631"/>
    <col min="12036" max="12036" width="14.109375" style="631" customWidth="1"/>
    <col min="12037" max="12037" width="12.88671875" style="631" customWidth="1"/>
    <col min="12038" max="12038" width="16.88671875" style="631" customWidth="1"/>
    <col min="12039" max="12039" width="16.5546875" style="631" customWidth="1"/>
    <col min="12040" max="12040" width="17.109375" style="631" customWidth="1"/>
    <col min="12041" max="12041" width="22.109375" style="631" customWidth="1"/>
    <col min="12042" max="12042" width="9.109375" style="631"/>
    <col min="12043" max="12043" width="14.33203125" style="631" bestFit="1" customWidth="1"/>
    <col min="12044" max="12289" width="9.109375" style="631"/>
    <col min="12290" max="12290" width="76" style="631" customWidth="1"/>
    <col min="12291" max="12291" width="9.109375" style="631"/>
    <col min="12292" max="12292" width="14.109375" style="631" customWidth="1"/>
    <col min="12293" max="12293" width="12.88671875" style="631" customWidth="1"/>
    <col min="12294" max="12294" width="16.88671875" style="631" customWidth="1"/>
    <col min="12295" max="12295" width="16.5546875" style="631" customWidth="1"/>
    <col min="12296" max="12296" width="17.109375" style="631" customWidth="1"/>
    <col min="12297" max="12297" width="22.109375" style="631" customWidth="1"/>
    <col min="12298" max="12298" width="9.109375" style="631"/>
    <col min="12299" max="12299" width="14.33203125" style="631" bestFit="1" customWidth="1"/>
    <col min="12300" max="12545" width="9.109375" style="631"/>
    <col min="12546" max="12546" width="76" style="631" customWidth="1"/>
    <col min="12547" max="12547" width="9.109375" style="631"/>
    <col min="12548" max="12548" width="14.109375" style="631" customWidth="1"/>
    <col min="12549" max="12549" width="12.88671875" style="631" customWidth="1"/>
    <col min="12550" max="12550" width="16.88671875" style="631" customWidth="1"/>
    <col min="12551" max="12551" width="16.5546875" style="631" customWidth="1"/>
    <col min="12552" max="12552" width="17.109375" style="631" customWidth="1"/>
    <col min="12553" max="12553" width="22.109375" style="631" customWidth="1"/>
    <col min="12554" max="12554" width="9.109375" style="631"/>
    <col min="12555" max="12555" width="14.33203125" style="631" bestFit="1" customWidth="1"/>
    <col min="12556" max="12801" width="9.109375" style="631"/>
    <col min="12802" max="12802" width="76" style="631" customWidth="1"/>
    <col min="12803" max="12803" width="9.109375" style="631"/>
    <col min="12804" max="12804" width="14.109375" style="631" customWidth="1"/>
    <col min="12805" max="12805" width="12.88671875" style="631" customWidth="1"/>
    <col min="12806" max="12806" width="16.88671875" style="631" customWidth="1"/>
    <col min="12807" max="12807" width="16.5546875" style="631" customWidth="1"/>
    <col min="12808" max="12808" width="17.109375" style="631" customWidth="1"/>
    <col min="12809" max="12809" width="22.109375" style="631" customWidth="1"/>
    <col min="12810" max="12810" width="9.109375" style="631"/>
    <col min="12811" max="12811" width="14.33203125" style="631" bestFit="1" customWidth="1"/>
    <col min="12812" max="13057" width="9.109375" style="631"/>
    <col min="13058" max="13058" width="76" style="631" customWidth="1"/>
    <col min="13059" max="13059" width="9.109375" style="631"/>
    <col min="13060" max="13060" width="14.109375" style="631" customWidth="1"/>
    <col min="13061" max="13061" width="12.88671875" style="631" customWidth="1"/>
    <col min="13062" max="13062" width="16.88671875" style="631" customWidth="1"/>
    <col min="13063" max="13063" width="16.5546875" style="631" customWidth="1"/>
    <col min="13064" max="13064" width="17.109375" style="631" customWidth="1"/>
    <col min="13065" max="13065" width="22.109375" style="631" customWidth="1"/>
    <col min="13066" max="13066" width="9.109375" style="631"/>
    <col min="13067" max="13067" width="14.33203125" style="631" bestFit="1" customWidth="1"/>
    <col min="13068" max="13313" width="9.109375" style="631"/>
    <col min="13314" max="13314" width="76" style="631" customWidth="1"/>
    <col min="13315" max="13315" width="9.109375" style="631"/>
    <col min="13316" max="13316" width="14.109375" style="631" customWidth="1"/>
    <col min="13317" max="13317" width="12.88671875" style="631" customWidth="1"/>
    <col min="13318" max="13318" width="16.88671875" style="631" customWidth="1"/>
    <col min="13319" max="13319" width="16.5546875" style="631" customWidth="1"/>
    <col min="13320" max="13320" width="17.109375" style="631" customWidth="1"/>
    <col min="13321" max="13321" width="22.109375" style="631" customWidth="1"/>
    <col min="13322" max="13322" width="9.109375" style="631"/>
    <col min="13323" max="13323" width="14.33203125" style="631" bestFit="1" customWidth="1"/>
    <col min="13324" max="13569" width="9.109375" style="631"/>
    <col min="13570" max="13570" width="76" style="631" customWidth="1"/>
    <col min="13571" max="13571" width="9.109375" style="631"/>
    <col min="13572" max="13572" width="14.109375" style="631" customWidth="1"/>
    <col min="13573" max="13573" width="12.88671875" style="631" customWidth="1"/>
    <col min="13574" max="13574" width="16.88671875" style="631" customWidth="1"/>
    <col min="13575" max="13575" width="16.5546875" style="631" customWidth="1"/>
    <col min="13576" max="13576" width="17.109375" style="631" customWidth="1"/>
    <col min="13577" max="13577" width="22.109375" style="631" customWidth="1"/>
    <col min="13578" max="13578" width="9.109375" style="631"/>
    <col min="13579" max="13579" width="14.33203125" style="631" bestFit="1" customWidth="1"/>
    <col min="13580" max="13825" width="9.109375" style="631"/>
    <col min="13826" max="13826" width="76" style="631" customWidth="1"/>
    <col min="13827" max="13827" width="9.109375" style="631"/>
    <col min="13828" max="13828" width="14.109375" style="631" customWidth="1"/>
    <col min="13829" max="13829" width="12.88671875" style="631" customWidth="1"/>
    <col min="13830" max="13830" width="16.88671875" style="631" customWidth="1"/>
    <col min="13831" max="13831" width="16.5546875" style="631" customWidth="1"/>
    <col min="13832" max="13832" width="17.109375" style="631" customWidth="1"/>
    <col min="13833" max="13833" width="22.109375" style="631" customWidth="1"/>
    <col min="13834" max="13834" width="9.109375" style="631"/>
    <col min="13835" max="13835" width="14.33203125" style="631" bestFit="1" customWidth="1"/>
    <col min="13836" max="14081" width="9.109375" style="631"/>
    <col min="14082" max="14082" width="76" style="631" customWidth="1"/>
    <col min="14083" max="14083" width="9.109375" style="631"/>
    <col min="14084" max="14084" width="14.109375" style="631" customWidth="1"/>
    <col min="14085" max="14085" width="12.88671875" style="631" customWidth="1"/>
    <col min="14086" max="14086" width="16.88671875" style="631" customWidth="1"/>
    <col min="14087" max="14087" width="16.5546875" style="631" customWidth="1"/>
    <col min="14088" max="14088" width="17.109375" style="631" customWidth="1"/>
    <col min="14089" max="14089" width="22.109375" style="631" customWidth="1"/>
    <col min="14090" max="14090" width="9.109375" style="631"/>
    <col min="14091" max="14091" width="14.33203125" style="631" bestFit="1" customWidth="1"/>
    <col min="14092" max="14337" width="9.109375" style="631"/>
    <col min="14338" max="14338" width="76" style="631" customWidth="1"/>
    <col min="14339" max="14339" width="9.109375" style="631"/>
    <col min="14340" max="14340" width="14.109375" style="631" customWidth="1"/>
    <col min="14341" max="14341" width="12.88671875" style="631" customWidth="1"/>
    <col min="14342" max="14342" width="16.88671875" style="631" customWidth="1"/>
    <col min="14343" max="14343" width="16.5546875" style="631" customWidth="1"/>
    <col min="14344" max="14344" width="17.109375" style="631" customWidth="1"/>
    <col min="14345" max="14345" width="22.109375" style="631" customWidth="1"/>
    <col min="14346" max="14346" width="9.109375" style="631"/>
    <col min="14347" max="14347" width="14.33203125" style="631" bestFit="1" customWidth="1"/>
    <col min="14348" max="14593" width="9.109375" style="631"/>
    <col min="14594" max="14594" width="76" style="631" customWidth="1"/>
    <col min="14595" max="14595" width="9.109375" style="631"/>
    <col min="14596" max="14596" width="14.109375" style="631" customWidth="1"/>
    <col min="14597" max="14597" width="12.88671875" style="631" customWidth="1"/>
    <col min="14598" max="14598" width="16.88671875" style="631" customWidth="1"/>
    <col min="14599" max="14599" width="16.5546875" style="631" customWidth="1"/>
    <col min="14600" max="14600" width="17.109375" style="631" customWidth="1"/>
    <col min="14601" max="14601" width="22.109375" style="631" customWidth="1"/>
    <col min="14602" max="14602" width="9.109375" style="631"/>
    <col min="14603" max="14603" width="14.33203125" style="631" bestFit="1" customWidth="1"/>
    <col min="14604" max="14849" width="9.109375" style="631"/>
    <col min="14850" max="14850" width="76" style="631" customWidth="1"/>
    <col min="14851" max="14851" width="9.109375" style="631"/>
    <col min="14852" max="14852" width="14.109375" style="631" customWidth="1"/>
    <col min="14853" max="14853" width="12.88671875" style="631" customWidth="1"/>
    <col min="14854" max="14854" width="16.88671875" style="631" customWidth="1"/>
    <col min="14855" max="14855" width="16.5546875" style="631" customWidth="1"/>
    <col min="14856" max="14856" width="17.109375" style="631" customWidth="1"/>
    <col min="14857" max="14857" width="22.109375" style="631" customWidth="1"/>
    <col min="14858" max="14858" width="9.109375" style="631"/>
    <col min="14859" max="14859" width="14.33203125" style="631" bestFit="1" customWidth="1"/>
    <col min="14860" max="15105" width="9.109375" style="631"/>
    <col min="15106" max="15106" width="76" style="631" customWidth="1"/>
    <col min="15107" max="15107" width="9.109375" style="631"/>
    <col min="15108" max="15108" width="14.109375" style="631" customWidth="1"/>
    <col min="15109" max="15109" width="12.88671875" style="631" customWidth="1"/>
    <col min="15110" max="15110" width="16.88671875" style="631" customWidth="1"/>
    <col min="15111" max="15111" width="16.5546875" style="631" customWidth="1"/>
    <col min="15112" max="15112" width="17.109375" style="631" customWidth="1"/>
    <col min="15113" max="15113" width="22.109375" style="631" customWidth="1"/>
    <col min="15114" max="15114" width="9.109375" style="631"/>
    <col min="15115" max="15115" width="14.33203125" style="631" bestFit="1" customWidth="1"/>
    <col min="15116" max="15361" width="9.109375" style="631"/>
    <col min="15362" max="15362" width="76" style="631" customWidth="1"/>
    <col min="15363" max="15363" width="9.109375" style="631"/>
    <col min="15364" max="15364" width="14.109375" style="631" customWidth="1"/>
    <col min="15365" max="15365" width="12.88671875" style="631" customWidth="1"/>
    <col min="15366" max="15366" width="16.88671875" style="631" customWidth="1"/>
    <col min="15367" max="15367" width="16.5546875" style="631" customWidth="1"/>
    <col min="15368" max="15368" width="17.109375" style="631" customWidth="1"/>
    <col min="15369" max="15369" width="22.109375" style="631" customWidth="1"/>
    <col min="15370" max="15370" width="9.109375" style="631"/>
    <col min="15371" max="15371" width="14.33203125" style="631" bestFit="1" customWidth="1"/>
    <col min="15372" max="15617" width="9.109375" style="631"/>
    <col min="15618" max="15618" width="76" style="631" customWidth="1"/>
    <col min="15619" max="15619" width="9.109375" style="631"/>
    <col min="15620" max="15620" width="14.109375" style="631" customWidth="1"/>
    <col min="15621" max="15621" width="12.88671875" style="631" customWidth="1"/>
    <col min="15622" max="15622" width="16.88671875" style="631" customWidth="1"/>
    <col min="15623" max="15623" width="16.5546875" style="631" customWidth="1"/>
    <col min="15624" max="15624" width="17.109375" style="631" customWidth="1"/>
    <col min="15625" max="15625" width="22.109375" style="631" customWidth="1"/>
    <col min="15626" max="15626" width="9.109375" style="631"/>
    <col min="15627" max="15627" width="14.33203125" style="631" bestFit="1" customWidth="1"/>
    <col min="15628" max="15873" width="9.109375" style="631"/>
    <col min="15874" max="15874" width="76" style="631" customWidth="1"/>
    <col min="15875" max="15875" width="9.109375" style="631"/>
    <col min="15876" max="15876" width="14.109375" style="631" customWidth="1"/>
    <col min="15877" max="15877" width="12.88671875" style="631" customWidth="1"/>
    <col min="15878" max="15878" width="16.88671875" style="631" customWidth="1"/>
    <col min="15879" max="15879" width="16.5546875" style="631" customWidth="1"/>
    <col min="15880" max="15880" width="17.109375" style="631" customWidth="1"/>
    <col min="15881" max="15881" width="22.109375" style="631" customWidth="1"/>
    <col min="15882" max="15882" width="9.109375" style="631"/>
    <col min="15883" max="15883" width="14.33203125" style="631" bestFit="1" customWidth="1"/>
    <col min="15884" max="16129" width="9.109375" style="631"/>
    <col min="16130" max="16130" width="76" style="631" customWidth="1"/>
    <col min="16131" max="16131" width="9.109375" style="631"/>
    <col min="16132" max="16132" width="14.109375" style="631" customWidth="1"/>
    <col min="16133" max="16133" width="12.88671875" style="631" customWidth="1"/>
    <col min="16134" max="16134" width="16.88671875" style="631" customWidth="1"/>
    <col min="16135" max="16135" width="16.5546875" style="631" customWidth="1"/>
    <col min="16136" max="16136" width="17.109375" style="631" customWidth="1"/>
    <col min="16137" max="16137" width="22.109375" style="631" customWidth="1"/>
    <col min="16138" max="16138" width="9.109375" style="631"/>
    <col min="16139" max="16139" width="14.33203125" style="631" bestFit="1" customWidth="1"/>
    <col min="16140" max="16384" width="9.109375" style="631"/>
  </cols>
  <sheetData>
    <row r="1" spans="1:10" x14ac:dyDescent="0.3">
      <c r="A1" s="1444" t="s">
        <v>22</v>
      </c>
      <c r="B1" s="1445" t="s">
        <v>1</v>
      </c>
      <c r="C1" s="1446" t="s">
        <v>23</v>
      </c>
      <c r="D1" s="1447" t="s">
        <v>24</v>
      </c>
      <c r="E1" s="1448" t="s">
        <v>25</v>
      </c>
      <c r="F1" s="1448"/>
      <c r="G1" s="1449" t="s">
        <v>26</v>
      </c>
      <c r="H1" s="1449"/>
      <c r="I1" s="1442" t="s">
        <v>27</v>
      </c>
    </row>
    <row r="2" spans="1:10" x14ac:dyDescent="0.3">
      <c r="A2" s="1444"/>
      <c r="B2" s="1445"/>
      <c r="C2" s="1446"/>
      <c r="D2" s="1447"/>
      <c r="E2" s="632" t="s">
        <v>28</v>
      </c>
      <c r="F2" s="632" t="s">
        <v>29</v>
      </c>
      <c r="G2" s="633" t="s">
        <v>28</v>
      </c>
      <c r="H2" s="633" t="s">
        <v>30</v>
      </c>
      <c r="I2" s="1443"/>
      <c r="J2" s="634"/>
    </row>
    <row r="3" spans="1:10" ht="21.8" customHeight="1" thickBot="1" x14ac:dyDescent="0.35">
      <c r="A3" s="635" t="s">
        <v>1799</v>
      </c>
      <c r="B3" s="636" t="s">
        <v>1077</v>
      </c>
      <c r="C3" s="637"/>
      <c r="D3" s="638"/>
      <c r="E3" s="639"/>
      <c r="F3" s="639"/>
      <c r="G3" s="640"/>
      <c r="H3" s="640"/>
      <c r="I3" s="641">
        <f>SUM(I30+I24+I14+I4+I38,I43,I48)</f>
        <v>10560723.18266</v>
      </c>
    </row>
    <row r="4" spans="1:10" ht="15.65" x14ac:dyDescent="0.3">
      <c r="A4" s="642" t="s">
        <v>1800</v>
      </c>
      <c r="B4" s="643" t="s">
        <v>1159</v>
      </c>
      <c r="C4" s="644" t="s">
        <v>74</v>
      </c>
      <c r="D4" s="645">
        <f>501.34+733.6+49.59+18.5328+215.34+130.66+9.46+321.31+54.38+276.11+577.95+148.85+29.52+471.5</f>
        <v>3538.1427999999996</v>
      </c>
      <c r="E4" s="646">
        <f>PRODUCT(G4,1/D4)</f>
        <v>900.00000000000011</v>
      </c>
      <c r="F4" s="646">
        <f>PRODUCT(H4,1/D4)</f>
        <v>1062.6039750741547</v>
      </c>
      <c r="G4" s="646">
        <f>SUM(G5:G13)</f>
        <v>3184328.52</v>
      </c>
      <c r="H4" s="646">
        <f>SUM(H5:H13)</f>
        <v>3759644.60366</v>
      </c>
      <c r="I4" s="647">
        <f>G4+H4</f>
        <v>6943973.12366</v>
      </c>
    </row>
    <row r="5" spans="1:10" ht="15.65" x14ac:dyDescent="0.3">
      <c r="A5" s="648" t="s">
        <v>1801</v>
      </c>
      <c r="B5" s="649" t="s">
        <v>1160</v>
      </c>
      <c r="C5" s="650" t="s">
        <v>1161</v>
      </c>
      <c r="D5" s="651">
        <f>PRODUCT(D4,0.15,1/10)</f>
        <v>53.072141999999999</v>
      </c>
      <c r="E5" s="652">
        <v>150</v>
      </c>
      <c r="F5" s="653">
        <v>850</v>
      </c>
      <c r="G5" s="654">
        <f>D4*E5</f>
        <v>530721.41999999993</v>
      </c>
      <c r="H5" s="653">
        <f>PRODUCT(D5,F5)</f>
        <v>45111.320699999997</v>
      </c>
      <c r="I5" s="655">
        <f t="shared" ref="I5:I47" si="0">G5+H5</f>
        <v>575832.74069999997</v>
      </c>
    </row>
    <row r="6" spans="1:10" ht="15.65" x14ac:dyDescent="0.3">
      <c r="A6" s="648" t="s">
        <v>1802</v>
      </c>
      <c r="B6" s="649" t="s">
        <v>1162</v>
      </c>
      <c r="C6" s="650" t="s">
        <v>1163</v>
      </c>
      <c r="D6" s="656">
        <f>PRODUCT(D4,0.15,1.1)</f>
        <v>583.79356200000007</v>
      </c>
      <c r="E6" s="657">
        <v>140</v>
      </c>
      <c r="F6" s="653">
        <v>4070</v>
      </c>
      <c r="G6" s="658">
        <f>D4*E6</f>
        <v>495339.99199999997</v>
      </c>
      <c r="H6" s="653">
        <f t="shared" ref="H6:H13" si="1">PRODUCT(D6,F6)</f>
        <v>2376039.79734</v>
      </c>
      <c r="I6" s="655">
        <f t="shared" si="0"/>
        <v>2871379.7893400001</v>
      </c>
    </row>
    <row r="7" spans="1:10" ht="15.65" x14ac:dyDescent="0.3">
      <c r="A7" s="648" t="s">
        <v>1803</v>
      </c>
      <c r="B7" s="649" t="s">
        <v>1164</v>
      </c>
      <c r="C7" s="650" t="s">
        <v>96</v>
      </c>
      <c r="D7" s="651">
        <f>PRODUCT(D4,6)</f>
        <v>21228.856799999998</v>
      </c>
      <c r="E7" s="657">
        <v>0</v>
      </c>
      <c r="F7" s="653">
        <v>10.5</v>
      </c>
      <c r="G7" s="654">
        <f>D4*E7</f>
        <v>0</v>
      </c>
      <c r="H7" s="653">
        <f t="shared" si="1"/>
        <v>222902.99639999997</v>
      </c>
      <c r="I7" s="655">
        <f t="shared" si="0"/>
        <v>222902.99639999997</v>
      </c>
    </row>
    <row r="8" spans="1:10" ht="15.65" x14ac:dyDescent="0.3">
      <c r="A8" s="648" t="s">
        <v>1804</v>
      </c>
      <c r="B8" s="649" t="s">
        <v>1165</v>
      </c>
      <c r="C8" s="650" t="s">
        <v>1166</v>
      </c>
      <c r="D8" s="651">
        <f>PRODUCT(D4,1.1,1/50)</f>
        <v>77.839141599999991</v>
      </c>
      <c r="E8" s="657">
        <v>0</v>
      </c>
      <c r="F8" s="653">
        <v>1650</v>
      </c>
      <c r="G8" s="654">
        <f>D4*E8</f>
        <v>0</v>
      </c>
      <c r="H8" s="653">
        <f t="shared" si="1"/>
        <v>128434.58363999998</v>
      </c>
      <c r="I8" s="655">
        <f t="shared" si="0"/>
        <v>128434.58363999998</v>
      </c>
    </row>
    <row r="9" spans="1:10" ht="15.65" x14ac:dyDescent="0.3">
      <c r="A9" s="648" t="s">
        <v>1805</v>
      </c>
      <c r="B9" s="659" t="s">
        <v>1168</v>
      </c>
      <c r="C9" s="660" t="s">
        <v>1169</v>
      </c>
      <c r="D9" s="651">
        <f>PRODUCT(D4,6,1/25)</f>
        <v>849.15427199999988</v>
      </c>
      <c r="E9" s="657">
        <v>160</v>
      </c>
      <c r="F9" s="660">
        <v>360</v>
      </c>
      <c r="G9" s="661">
        <f>D4*E9</f>
        <v>566102.848</v>
      </c>
      <c r="H9" s="653">
        <f t="shared" si="1"/>
        <v>305695.53791999997</v>
      </c>
      <c r="I9" s="662">
        <f t="shared" si="0"/>
        <v>871798.38592000003</v>
      </c>
    </row>
    <row r="10" spans="1:10" ht="15.65" x14ac:dyDescent="0.3">
      <c r="A10" s="648" t="s">
        <v>1806</v>
      </c>
      <c r="B10" s="663" t="s">
        <v>1170</v>
      </c>
      <c r="C10" s="650" t="s">
        <v>1169</v>
      </c>
      <c r="D10" s="651">
        <f>PRODUCT(D4,6,1/25)</f>
        <v>849.15427199999988</v>
      </c>
      <c r="E10" s="657">
        <v>160</v>
      </c>
      <c r="F10" s="653">
        <v>425</v>
      </c>
      <c r="G10" s="658">
        <f>D4*E10</f>
        <v>566102.848</v>
      </c>
      <c r="H10" s="653">
        <f t="shared" si="1"/>
        <v>360890.56559999997</v>
      </c>
      <c r="I10" s="664">
        <f t="shared" si="0"/>
        <v>926993.41359999997</v>
      </c>
    </row>
    <row r="11" spans="1:10" ht="15.65" x14ac:dyDescent="0.3">
      <c r="A11" s="648" t="s">
        <v>1807</v>
      </c>
      <c r="B11" s="649" t="s">
        <v>1171</v>
      </c>
      <c r="C11" s="650" t="s">
        <v>1161</v>
      </c>
      <c r="D11" s="651">
        <f>PRODUCT(D4,0.15,1/10)</f>
        <v>53.072141999999999</v>
      </c>
      <c r="E11" s="657">
        <v>150</v>
      </c>
      <c r="F11" s="653">
        <v>850</v>
      </c>
      <c r="G11" s="654">
        <f>D4*E11</f>
        <v>530721.41999999993</v>
      </c>
      <c r="H11" s="653">
        <f t="shared" si="1"/>
        <v>45111.320699999997</v>
      </c>
      <c r="I11" s="664">
        <f t="shared" si="0"/>
        <v>575832.74069999997</v>
      </c>
    </row>
    <row r="12" spans="1:10" ht="31.3" x14ac:dyDescent="0.3">
      <c r="A12" s="648" t="s">
        <v>1808</v>
      </c>
      <c r="B12" s="649" t="s">
        <v>1850</v>
      </c>
      <c r="C12" s="650" t="s">
        <v>1169</v>
      </c>
      <c r="D12" s="651">
        <f>PRODUCT(D4,3,1/25)</f>
        <v>424.57713599999994</v>
      </c>
      <c r="E12" s="652">
        <v>140</v>
      </c>
      <c r="F12" s="653">
        <v>635</v>
      </c>
      <c r="G12" s="654">
        <f>D4*E12</f>
        <v>495339.99199999997</v>
      </c>
      <c r="H12" s="653">
        <f t="shared" si="1"/>
        <v>269606.48135999998</v>
      </c>
      <c r="I12" s="664">
        <f t="shared" si="0"/>
        <v>764946.47335999995</v>
      </c>
    </row>
    <row r="13" spans="1:10" ht="15.65" x14ac:dyDescent="0.3">
      <c r="A13" s="648" t="s">
        <v>1809</v>
      </c>
      <c r="B13" s="649" t="s">
        <v>1173</v>
      </c>
      <c r="C13" s="650" t="s">
        <v>1174</v>
      </c>
      <c r="D13" s="656">
        <f>ROUND((72.06*2+66.74*2+22.8+22.3+6.6+4.29)/2.5,0)</f>
        <v>133</v>
      </c>
      <c r="E13" s="657">
        <v>0</v>
      </c>
      <c r="F13" s="653">
        <v>44</v>
      </c>
      <c r="G13" s="654">
        <f>D4*E13</f>
        <v>0</v>
      </c>
      <c r="H13" s="653">
        <f t="shared" si="1"/>
        <v>5852</v>
      </c>
      <c r="I13" s="664">
        <f t="shared" si="0"/>
        <v>5852</v>
      </c>
    </row>
    <row r="14" spans="1:10" ht="15.65" x14ac:dyDescent="0.3">
      <c r="A14" s="642" t="s">
        <v>1810</v>
      </c>
      <c r="B14" s="643" t="s">
        <v>1175</v>
      </c>
      <c r="C14" s="644" t="s">
        <v>74</v>
      </c>
      <c r="D14" s="645">
        <f>102.14+15.62+280.65</f>
        <v>398.40999999999997</v>
      </c>
      <c r="E14" s="646">
        <f>PRODUCT(G14,1/D14)</f>
        <v>900.00000000000011</v>
      </c>
      <c r="F14" s="646">
        <f>PRODUCT(H14,1/D14)</f>
        <v>842.29063276524198</v>
      </c>
      <c r="G14" s="646">
        <f>SUM(G15:G23)</f>
        <v>358569</v>
      </c>
      <c r="H14" s="646">
        <f>SUM(H15:H23)</f>
        <v>335577.01100000006</v>
      </c>
      <c r="I14" s="647">
        <f>G14+H14</f>
        <v>694146.01100000006</v>
      </c>
    </row>
    <row r="15" spans="1:10" ht="15.65" x14ac:dyDescent="0.3">
      <c r="A15" s="648" t="s">
        <v>1811</v>
      </c>
      <c r="B15" s="649" t="s">
        <v>1160</v>
      </c>
      <c r="C15" s="650" t="s">
        <v>1161</v>
      </c>
      <c r="D15" s="651">
        <f>PRODUCT(D14,0.15,1/10)</f>
        <v>5.9761499999999996</v>
      </c>
      <c r="E15" s="652">
        <v>150</v>
      </c>
      <c r="F15" s="653">
        <v>850</v>
      </c>
      <c r="G15" s="654">
        <f>D14*E15</f>
        <v>59761.499999999993</v>
      </c>
      <c r="H15" s="653">
        <f>PRODUCT(D15,F15)</f>
        <v>5079.7275</v>
      </c>
      <c r="I15" s="664">
        <f t="shared" si="0"/>
        <v>64841.227499999994</v>
      </c>
    </row>
    <row r="16" spans="1:10" ht="15.65" x14ac:dyDescent="0.3">
      <c r="A16" s="648" t="s">
        <v>1812</v>
      </c>
      <c r="B16" s="649" t="s">
        <v>1176</v>
      </c>
      <c r="C16" s="650" t="s">
        <v>1163</v>
      </c>
      <c r="D16" s="656">
        <f>PRODUCT(D14,0.1,1.1)</f>
        <v>43.825100000000006</v>
      </c>
      <c r="E16" s="657">
        <v>140</v>
      </c>
      <c r="F16" s="653">
        <v>4070</v>
      </c>
      <c r="G16" s="654">
        <f>D14*E16</f>
        <v>55777.399999999994</v>
      </c>
      <c r="H16" s="653">
        <f t="shared" ref="H16:H23" si="2">PRODUCT(D16,F16)</f>
        <v>178368.15700000004</v>
      </c>
      <c r="I16" s="664">
        <f t="shared" si="0"/>
        <v>234145.55700000003</v>
      </c>
    </row>
    <row r="17" spans="1:9" ht="15.65" x14ac:dyDescent="0.3">
      <c r="A17" s="648" t="s">
        <v>1813</v>
      </c>
      <c r="B17" s="649" t="s">
        <v>1177</v>
      </c>
      <c r="C17" s="650" t="s">
        <v>96</v>
      </c>
      <c r="D17" s="651">
        <f>PRODUCT(D14,6)</f>
        <v>2390.46</v>
      </c>
      <c r="E17" s="657">
        <v>0</v>
      </c>
      <c r="F17" s="653">
        <v>10.5</v>
      </c>
      <c r="G17" s="654">
        <f>D14*E17</f>
        <v>0</v>
      </c>
      <c r="H17" s="653">
        <f t="shared" si="2"/>
        <v>25099.83</v>
      </c>
      <c r="I17" s="664">
        <f t="shared" si="0"/>
        <v>25099.83</v>
      </c>
    </row>
    <row r="18" spans="1:9" ht="15.65" x14ac:dyDescent="0.3">
      <c r="A18" s="648" t="s">
        <v>1814</v>
      </c>
      <c r="B18" s="649" t="s">
        <v>1165</v>
      </c>
      <c r="C18" s="650" t="s">
        <v>1166</v>
      </c>
      <c r="D18" s="651">
        <f>PRODUCT(D14,1.1,1/50)</f>
        <v>8.7650199999999998</v>
      </c>
      <c r="E18" s="657">
        <v>0</v>
      </c>
      <c r="F18" s="653">
        <v>1650</v>
      </c>
      <c r="G18" s="654">
        <f>D14*E18</f>
        <v>0</v>
      </c>
      <c r="H18" s="653">
        <f t="shared" si="2"/>
        <v>14462.282999999999</v>
      </c>
      <c r="I18" s="664">
        <f t="shared" si="0"/>
        <v>14462.282999999999</v>
      </c>
    </row>
    <row r="19" spans="1:9" ht="15.65" x14ac:dyDescent="0.3">
      <c r="A19" s="648" t="s">
        <v>1815</v>
      </c>
      <c r="B19" s="659" t="s">
        <v>1168</v>
      </c>
      <c r="C19" s="660" t="s">
        <v>1169</v>
      </c>
      <c r="D19" s="651">
        <f>PRODUCT(D14,6,1/25)</f>
        <v>95.618400000000008</v>
      </c>
      <c r="E19" s="657">
        <v>160</v>
      </c>
      <c r="F19" s="660">
        <v>360</v>
      </c>
      <c r="G19" s="665">
        <f>D14*E19</f>
        <v>63745.599999999991</v>
      </c>
      <c r="H19" s="653">
        <f t="shared" si="2"/>
        <v>34422.624000000003</v>
      </c>
      <c r="I19" s="662">
        <f>G19+H19</f>
        <v>98168.223999999987</v>
      </c>
    </row>
    <row r="20" spans="1:9" ht="15.65" x14ac:dyDescent="0.3">
      <c r="A20" s="648" t="s">
        <v>1816</v>
      </c>
      <c r="B20" s="663" t="s">
        <v>1170</v>
      </c>
      <c r="C20" s="650" t="s">
        <v>1169</v>
      </c>
      <c r="D20" s="651">
        <f>PRODUCT(D14,6,1/25)</f>
        <v>95.618400000000008</v>
      </c>
      <c r="E20" s="657">
        <v>160</v>
      </c>
      <c r="F20" s="653">
        <v>425</v>
      </c>
      <c r="G20" s="654">
        <f>D14*E20</f>
        <v>63745.599999999991</v>
      </c>
      <c r="H20" s="653">
        <f t="shared" si="2"/>
        <v>40637.820000000007</v>
      </c>
      <c r="I20" s="664">
        <f t="shared" si="0"/>
        <v>104383.42</v>
      </c>
    </row>
    <row r="21" spans="1:9" ht="15.65" x14ac:dyDescent="0.3">
      <c r="A21" s="648" t="s">
        <v>1817</v>
      </c>
      <c r="B21" s="649" t="s">
        <v>1171</v>
      </c>
      <c r="C21" s="650" t="s">
        <v>1161</v>
      </c>
      <c r="D21" s="651">
        <f>PRODUCT(D14,0.15,1/10)</f>
        <v>5.9761499999999996</v>
      </c>
      <c r="E21" s="657">
        <v>150</v>
      </c>
      <c r="F21" s="653">
        <v>850</v>
      </c>
      <c r="G21" s="654">
        <f>D14*E21</f>
        <v>59761.499999999993</v>
      </c>
      <c r="H21" s="653">
        <f t="shared" si="2"/>
        <v>5079.7275</v>
      </c>
      <c r="I21" s="664">
        <f t="shared" si="0"/>
        <v>64841.227499999994</v>
      </c>
    </row>
    <row r="22" spans="1:9" ht="31.3" x14ac:dyDescent="0.3">
      <c r="A22" s="648" t="s">
        <v>1818</v>
      </c>
      <c r="B22" s="649" t="s">
        <v>1172</v>
      </c>
      <c r="C22" s="650" t="s">
        <v>1169</v>
      </c>
      <c r="D22" s="651">
        <f>PRODUCT(D14,3,1/25)</f>
        <v>47.809200000000004</v>
      </c>
      <c r="E22" s="657">
        <v>140</v>
      </c>
      <c r="F22" s="653">
        <v>635</v>
      </c>
      <c r="G22" s="654">
        <f>D14*E22</f>
        <v>55777.399999999994</v>
      </c>
      <c r="H22" s="653">
        <f t="shared" si="2"/>
        <v>30358.842000000004</v>
      </c>
      <c r="I22" s="664">
        <f t="shared" si="0"/>
        <v>86136.241999999998</v>
      </c>
    </row>
    <row r="23" spans="1:9" ht="15.65" x14ac:dyDescent="0.3">
      <c r="A23" s="648" t="s">
        <v>1819</v>
      </c>
      <c r="B23" s="649" t="s">
        <v>1173</v>
      </c>
      <c r="C23" s="650" t="s">
        <v>1174</v>
      </c>
      <c r="D23" s="656">
        <f>ROUND((19.22*2+10.98*2+3.52+4.915*9+3.98*2+0.935)/2.5,0)</f>
        <v>47</v>
      </c>
      <c r="E23" s="652">
        <v>0</v>
      </c>
      <c r="F23" s="653">
        <v>44</v>
      </c>
      <c r="G23" s="654">
        <f>D14*E23</f>
        <v>0</v>
      </c>
      <c r="H23" s="653">
        <f t="shared" si="2"/>
        <v>2068</v>
      </c>
      <c r="I23" s="666">
        <f t="shared" si="0"/>
        <v>2068</v>
      </c>
    </row>
    <row r="24" spans="1:9" ht="15.65" x14ac:dyDescent="0.3">
      <c r="A24" s="642" t="s">
        <v>1820</v>
      </c>
      <c r="B24" s="643" t="s">
        <v>1178</v>
      </c>
      <c r="C24" s="644" t="s">
        <v>74</v>
      </c>
      <c r="D24" s="645">
        <f>201.08+163.7922+6.19+251.92+225.94+234.94</f>
        <v>1083.8622</v>
      </c>
      <c r="E24" s="646">
        <f>PRODUCT(G24,1/D24)</f>
        <v>600</v>
      </c>
      <c r="F24" s="646">
        <f>PRODUCT(H24,1/D24)</f>
        <v>240</v>
      </c>
      <c r="G24" s="646">
        <f>SUM(G25:G29)</f>
        <v>650317.32000000007</v>
      </c>
      <c r="H24" s="646">
        <f>SUM(H25:H29)</f>
        <v>260126.92800000001</v>
      </c>
      <c r="I24" s="667">
        <f t="shared" si="0"/>
        <v>910444.24800000014</v>
      </c>
    </row>
    <row r="25" spans="1:9" ht="15.65" x14ac:dyDescent="0.3">
      <c r="A25" s="648" t="s">
        <v>1821</v>
      </c>
      <c r="B25" s="649" t="s">
        <v>1160</v>
      </c>
      <c r="C25" s="650" t="s">
        <v>1161</v>
      </c>
      <c r="D25" s="651">
        <f>PRODUCT(D24,0.15,1/10)</f>
        <v>16.257933000000001</v>
      </c>
      <c r="E25" s="652">
        <v>150</v>
      </c>
      <c r="F25" s="653">
        <v>850</v>
      </c>
      <c r="G25" s="654">
        <f>D24*E25</f>
        <v>162579.33000000002</v>
      </c>
      <c r="H25" s="653">
        <f>PRODUCT(D25,F25)</f>
        <v>13819.243050000001</v>
      </c>
      <c r="I25" s="668">
        <f t="shared" si="0"/>
        <v>176398.57305000001</v>
      </c>
    </row>
    <row r="26" spans="1:9" ht="15.65" x14ac:dyDescent="0.3">
      <c r="A26" s="648" t="s">
        <v>1822</v>
      </c>
      <c r="B26" s="649" t="s">
        <v>1165</v>
      </c>
      <c r="C26" s="650" t="s">
        <v>1166</v>
      </c>
      <c r="D26" s="651">
        <f>PRODUCT(D24,1.1,1/50)</f>
        <v>23.844968400000003</v>
      </c>
      <c r="E26" s="669">
        <v>0</v>
      </c>
      <c r="F26" s="653">
        <v>1650</v>
      </c>
      <c r="G26" s="654">
        <f>D24*E26</f>
        <v>0</v>
      </c>
      <c r="H26" s="653">
        <f>PRODUCT(D26,F26)</f>
        <v>39344.197860000007</v>
      </c>
      <c r="I26" s="668">
        <f t="shared" si="0"/>
        <v>39344.197860000007</v>
      </c>
    </row>
    <row r="27" spans="1:9" ht="15.65" x14ac:dyDescent="0.3">
      <c r="A27" s="648" t="s">
        <v>1823</v>
      </c>
      <c r="B27" s="663" t="s">
        <v>1170</v>
      </c>
      <c r="C27" s="650" t="s">
        <v>1169</v>
      </c>
      <c r="D27" s="651">
        <f>PRODUCT(D24,6,1/25)</f>
        <v>260.12692800000002</v>
      </c>
      <c r="E27" s="669">
        <v>160</v>
      </c>
      <c r="F27" s="653">
        <v>425</v>
      </c>
      <c r="G27" s="654">
        <f>D24*E27</f>
        <v>173417.95199999999</v>
      </c>
      <c r="H27" s="653">
        <f>PRODUCT(D27,F27)</f>
        <v>110553.94440000001</v>
      </c>
      <c r="I27" s="668">
        <f t="shared" si="0"/>
        <v>283971.89639999997</v>
      </c>
    </row>
    <row r="28" spans="1:9" ht="15.65" x14ac:dyDescent="0.3">
      <c r="A28" s="648" t="s">
        <v>1824</v>
      </c>
      <c r="B28" s="649" t="s">
        <v>1179</v>
      </c>
      <c r="C28" s="650" t="s">
        <v>1161</v>
      </c>
      <c r="D28" s="651">
        <f>PRODUCT(D24,0.15,1/10)</f>
        <v>16.257933000000001</v>
      </c>
      <c r="E28" s="652">
        <v>150</v>
      </c>
      <c r="F28" s="653">
        <v>850</v>
      </c>
      <c r="G28" s="654">
        <f>D24*E28</f>
        <v>162579.33000000002</v>
      </c>
      <c r="H28" s="653">
        <f>PRODUCT(D28,F28)</f>
        <v>13819.243050000001</v>
      </c>
      <c r="I28" s="668">
        <f t="shared" si="0"/>
        <v>176398.57305000001</v>
      </c>
    </row>
    <row r="29" spans="1:9" ht="31.3" x14ac:dyDescent="0.3">
      <c r="A29" s="648" t="s">
        <v>1825</v>
      </c>
      <c r="B29" s="649" t="s">
        <v>1850</v>
      </c>
      <c r="C29" s="650" t="s">
        <v>1169</v>
      </c>
      <c r="D29" s="651">
        <f>PRODUCT(D24,3,1/25)</f>
        <v>130.06346400000001</v>
      </c>
      <c r="E29" s="669">
        <v>140</v>
      </c>
      <c r="F29" s="653">
        <v>635</v>
      </c>
      <c r="G29" s="654">
        <f>D24*E29</f>
        <v>151740.70800000001</v>
      </c>
      <c r="H29" s="653">
        <f>PRODUCT(D29,F29)</f>
        <v>82590.299640000012</v>
      </c>
      <c r="I29" s="668">
        <f t="shared" si="0"/>
        <v>234331.00764000003</v>
      </c>
    </row>
    <row r="30" spans="1:9" ht="15.65" x14ac:dyDescent="0.3">
      <c r="A30" s="648" t="s">
        <v>1826</v>
      </c>
      <c r="B30" s="643" t="s">
        <v>1180</v>
      </c>
      <c r="C30" s="644" t="s">
        <v>74</v>
      </c>
      <c r="D30" s="670">
        <f>160.41+125.44+222.15</f>
        <v>508</v>
      </c>
      <c r="E30" s="646">
        <f>PRODUCT(G30,1/D30)</f>
        <v>450</v>
      </c>
      <c r="F30" s="646">
        <f>PRODUCT(H30,1/D30)</f>
        <v>644.64803149606303</v>
      </c>
      <c r="G30" s="646">
        <f>SUM(G31:G37)</f>
        <v>228600</v>
      </c>
      <c r="H30" s="646">
        <f>SUM(H31:H37)</f>
        <v>327481.2</v>
      </c>
      <c r="I30" s="667">
        <f t="shared" si="0"/>
        <v>556081.19999999995</v>
      </c>
    </row>
    <row r="31" spans="1:9" ht="15.65" x14ac:dyDescent="0.3">
      <c r="A31" s="648" t="s">
        <v>1827</v>
      </c>
      <c r="B31" s="649" t="s">
        <v>1165</v>
      </c>
      <c r="C31" s="650" t="s">
        <v>1166</v>
      </c>
      <c r="D31" s="651">
        <f>PRODUCT(D30,1.1,1/50)</f>
        <v>11.176000000000002</v>
      </c>
      <c r="E31" s="669">
        <v>0</v>
      </c>
      <c r="F31" s="653">
        <v>1650</v>
      </c>
      <c r="G31" s="654">
        <f>D30*E31</f>
        <v>0</v>
      </c>
      <c r="H31" s="653">
        <f t="shared" ref="H31:H37" si="3">PRODUCT(D31,F31)</f>
        <v>18440.400000000001</v>
      </c>
      <c r="I31" s="666">
        <f t="shared" si="0"/>
        <v>18440.400000000001</v>
      </c>
    </row>
    <row r="32" spans="1:9" ht="15.65" x14ac:dyDescent="0.3">
      <c r="A32" s="642" t="s">
        <v>1828</v>
      </c>
      <c r="B32" s="663" t="s">
        <v>1170</v>
      </c>
      <c r="C32" s="650" t="s">
        <v>1169</v>
      </c>
      <c r="D32" s="651">
        <f>PRODUCT(D30,6,1/25)</f>
        <v>121.92</v>
      </c>
      <c r="E32" s="669">
        <v>160</v>
      </c>
      <c r="F32" s="653">
        <v>425</v>
      </c>
      <c r="G32" s="654">
        <f>D30*E32</f>
        <v>81280</v>
      </c>
      <c r="H32" s="653">
        <f t="shared" si="3"/>
        <v>51816</v>
      </c>
      <c r="I32" s="666">
        <f t="shared" si="0"/>
        <v>133096</v>
      </c>
    </row>
    <row r="33" spans="1:11" ht="15.65" x14ac:dyDescent="0.3">
      <c r="A33" s="648" t="s">
        <v>1829</v>
      </c>
      <c r="B33" s="649" t="s">
        <v>1179</v>
      </c>
      <c r="C33" s="650" t="s">
        <v>1161</v>
      </c>
      <c r="D33" s="651">
        <f>PRODUCT(D30,0.15,1/10)</f>
        <v>7.620000000000001</v>
      </c>
      <c r="E33" s="652">
        <v>150</v>
      </c>
      <c r="F33" s="653">
        <v>850</v>
      </c>
      <c r="G33" s="654">
        <f>D30*E33</f>
        <v>76200</v>
      </c>
      <c r="H33" s="653">
        <f t="shared" si="3"/>
        <v>6477.0000000000009</v>
      </c>
      <c r="I33" s="664">
        <f>G33+H33</f>
        <v>82677</v>
      </c>
    </row>
    <row r="34" spans="1:11" ht="31.3" x14ac:dyDescent="0.3">
      <c r="A34" s="648" t="s">
        <v>1830</v>
      </c>
      <c r="B34" s="649" t="s">
        <v>1850</v>
      </c>
      <c r="C34" s="650" t="s">
        <v>1169</v>
      </c>
      <c r="D34" s="651">
        <f>PRODUCT(D30,3,1/25)</f>
        <v>60.96</v>
      </c>
      <c r="E34" s="669">
        <v>140</v>
      </c>
      <c r="F34" s="653">
        <v>635</v>
      </c>
      <c r="G34" s="654">
        <f>D30*E34</f>
        <v>71120</v>
      </c>
      <c r="H34" s="653">
        <f t="shared" si="3"/>
        <v>38709.599999999999</v>
      </c>
      <c r="I34" s="664">
        <f t="shared" si="0"/>
        <v>109829.6</v>
      </c>
    </row>
    <row r="35" spans="1:11" ht="15.65" x14ac:dyDescent="0.3">
      <c r="A35" s="648" t="s">
        <v>1831</v>
      </c>
      <c r="B35" s="649" t="s">
        <v>1173</v>
      </c>
      <c r="C35" s="650" t="s">
        <v>1174</v>
      </c>
      <c r="D35" s="656">
        <f>ROUND(((0.8*3*5)+(1.5*6*23+1.3*2*23+1.77*2*8*23)+(1*2*3+2.1*2+1.79*2*2)+(1.485*2*23+1.485*23+1.13+0.62+1.485*4*23+1.13*4)+(2.42*2*9*23+2.44*2+1.65*24+1.65*5+2.05*3*23+2.29*2*2+2.45*2*2)+(1.24*2+1.35*2*24+1.35*2*23+1.04*2*2+2.1*2+2.79*2+2.76*2*23+2.79*2*23+1.79*2+1.85*2))/2.5,0)</f>
        <v>1126</v>
      </c>
      <c r="E35" s="669">
        <v>0</v>
      </c>
      <c r="F35" s="653">
        <v>44</v>
      </c>
      <c r="G35" s="654">
        <f t="shared" ref="G35:G42" si="4">D35*E35</f>
        <v>0</v>
      </c>
      <c r="H35" s="653">
        <f t="shared" si="3"/>
        <v>49544</v>
      </c>
      <c r="I35" s="664">
        <f t="shared" si="0"/>
        <v>49544</v>
      </c>
    </row>
    <row r="36" spans="1:11" ht="15.65" x14ac:dyDescent="0.3">
      <c r="A36" s="648" t="s">
        <v>1832</v>
      </c>
      <c r="B36" s="649" t="s">
        <v>1181</v>
      </c>
      <c r="C36" s="650" t="s">
        <v>1174</v>
      </c>
      <c r="D36" s="656">
        <f>ROUND(((1.5*6*23+1.3*2*23+0.8*5)+(5.58*2*23+8.4*23+6.77*23))/2.5,0)</f>
        <v>351</v>
      </c>
      <c r="E36" s="669">
        <v>0</v>
      </c>
      <c r="F36" s="653">
        <v>125</v>
      </c>
      <c r="G36" s="654">
        <f t="shared" si="4"/>
        <v>0</v>
      </c>
      <c r="H36" s="653">
        <f t="shared" si="3"/>
        <v>43875</v>
      </c>
      <c r="I36" s="664">
        <f t="shared" si="0"/>
        <v>43875</v>
      </c>
    </row>
    <row r="37" spans="1:11" ht="15.65" x14ac:dyDescent="0.3">
      <c r="A37" s="648" t="s">
        <v>1833</v>
      </c>
      <c r="B37" s="649" t="s">
        <v>1182</v>
      </c>
      <c r="C37" s="671" t="s">
        <v>318</v>
      </c>
      <c r="D37" s="672">
        <f>((0.8*4*5+1.3*2*2*23+1.77*2*8*23+1.5*2*6*23)+(2.44*2+1.65*2+2.42*2*9*23+1.65*2*6*23+2.05*2*3*23+2.74*2+1.45*2*2+2.44*2))/2.5</f>
        <v>1186.1920000000002</v>
      </c>
      <c r="E37" s="657">
        <v>0</v>
      </c>
      <c r="F37" s="653">
        <v>100</v>
      </c>
      <c r="G37" s="654">
        <f t="shared" si="4"/>
        <v>0</v>
      </c>
      <c r="H37" s="653">
        <f t="shared" si="3"/>
        <v>118619.20000000003</v>
      </c>
      <c r="I37" s="664">
        <f t="shared" si="0"/>
        <v>118619.20000000003</v>
      </c>
    </row>
    <row r="38" spans="1:11" s="675" customFormat="1" ht="15.65" x14ac:dyDescent="0.3">
      <c r="A38" s="642" t="s">
        <v>1834</v>
      </c>
      <c r="B38" s="643" t="s">
        <v>1183</v>
      </c>
      <c r="C38" s="644" t="s">
        <v>1184</v>
      </c>
      <c r="D38" s="645">
        <f>D40+D41+D42</f>
        <v>5471.99</v>
      </c>
      <c r="E38" s="673">
        <v>140</v>
      </c>
      <c r="F38" s="646">
        <f>PRODUCT(H38,1/D38)</f>
        <v>100.05500741046676</v>
      </c>
      <c r="G38" s="674">
        <f>D38*E38</f>
        <v>766078.6</v>
      </c>
      <c r="H38" s="646">
        <f>SUM(H39:H42)</f>
        <v>547500</v>
      </c>
      <c r="I38" s="647">
        <f>G38+H38</f>
        <v>1313578.6000000001</v>
      </c>
      <c r="K38" s="676"/>
    </row>
    <row r="39" spans="1:11" ht="15.65" x14ac:dyDescent="0.3">
      <c r="A39" s="648" t="s">
        <v>1835</v>
      </c>
      <c r="B39" s="649" t="s">
        <v>1185</v>
      </c>
      <c r="C39" s="656" t="s">
        <v>44</v>
      </c>
      <c r="D39" s="650">
        <f>ROUND((0.4*D38)/15,0)</f>
        <v>146</v>
      </c>
      <c r="E39" s="657"/>
      <c r="F39" s="677">
        <v>3750</v>
      </c>
      <c r="G39" s="654">
        <f t="shared" si="4"/>
        <v>0</v>
      </c>
      <c r="H39" s="653">
        <f>PRODUCT(D39,F39)</f>
        <v>547500</v>
      </c>
      <c r="I39" s="664">
        <f t="shared" si="0"/>
        <v>547500</v>
      </c>
    </row>
    <row r="40" spans="1:11" ht="15.65" x14ac:dyDescent="0.3">
      <c r="A40" s="648"/>
      <c r="B40" s="643" t="s">
        <v>1186</v>
      </c>
      <c r="C40" s="644" t="s">
        <v>1184</v>
      </c>
      <c r="D40" s="645">
        <f>49.59+215.34+102.14+163.79+15.62+9.46+6.19+61.04+54.38+234.94+29.52+225.94+21.8+21.8</f>
        <v>1211.55</v>
      </c>
      <c r="E40" s="657"/>
      <c r="F40" s="678"/>
      <c r="G40" s="654">
        <f t="shared" si="4"/>
        <v>0</v>
      </c>
      <c r="H40" s="664">
        <f>D40*F40</f>
        <v>0</v>
      </c>
      <c r="I40" s="664">
        <f t="shared" si="0"/>
        <v>0</v>
      </c>
    </row>
    <row r="41" spans="1:11" ht="15.65" x14ac:dyDescent="0.3">
      <c r="A41" s="648"/>
      <c r="B41" s="643" t="s">
        <v>1187</v>
      </c>
      <c r="C41" s="644" t="s">
        <v>1184</v>
      </c>
      <c r="D41" s="645">
        <f>501.34+733.6+201.08+18.53+130.66+26.87+41.77+321.31+276.11+55.39+42.16+577.95+251.92+471.5+97.25+63.46+280.65</f>
        <v>4091.5499999999997</v>
      </c>
      <c r="E41" s="657"/>
      <c r="F41" s="678"/>
      <c r="G41" s="654">
        <f t="shared" si="4"/>
        <v>0</v>
      </c>
      <c r="H41" s="664">
        <f>D41*F41</f>
        <v>0</v>
      </c>
      <c r="I41" s="664">
        <f t="shared" si="0"/>
        <v>0</v>
      </c>
    </row>
    <row r="42" spans="1:11" ht="15.65" x14ac:dyDescent="0.3">
      <c r="A42" s="648"/>
      <c r="B42" s="643" t="s">
        <v>1188</v>
      </c>
      <c r="C42" s="645" t="s">
        <v>74</v>
      </c>
      <c r="D42" s="644">
        <f>148.85+20.04</f>
        <v>168.89</v>
      </c>
      <c r="E42" s="657"/>
      <c r="F42" s="678"/>
      <c r="G42" s="678">
        <f t="shared" si="4"/>
        <v>0</v>
      </c>
      <c r="H42" s="664">
        <f>D42*F42</f>
        <v>0</v>
      </c>
      <c r="I42" s="664">
        <f t="shared" si="0"/>
        <v>0</v>
      </c>
    </row>
    <row r="43" spans="1:11" ht="15.65" x14ac:dyDescent="0.3">
      <c r="A43" s="905" t="s">
        <v>2457</v>
      </c>
      <c r="B43" s="895" t="s">
        <v>1155</v>
      </c>
      <c r="C43" s="896" t="s">
        <v>44</v>
      </c>
      <c r="D43" s="897">
        <v>230</v>
      </c>
      <c r="E43" s="906">
        <v>290</v>
      </c>
      <c r="F43" s="907">
        <v>200</v>
      </c>
      <c r="G43" s="908">
        <f>D43*E43</f>
        <v>66700</v>
      </c>
      <c r="H43" s="909">
        <f t="shared" ref="H43:H47" si="5">D43*F43</f>
        <v>46000</v>
      </c>
      <c r="I43" s="909">
        <f t="shared" si="0"/>
        <v>112700</v>
      </c>
    </row>
    <row r="44" spans="1:11" ht="15.65" x14ac:dyDescent="0.3">
      <c r="A44" s="910" t="s">
        <v>2458</v>
      </c>
      <c r="B44" s="899" t="s">
        <v>739</v>
      </c>
      <c r="C44" s="900" t="s">
        <v>62</v>
      </c>
      <c r="D44" s="844">
        <f>1.61*2*115/1000</f>
        <v>0.37030000000000002</v>
      </c>
      <c r="E44" s="911"/>
      <c r="F44" s="912">
        <v>106477.049</v>
      </c>
      <c r="G44" s="913">
        <f t="shared" ref="G44:G47" si="6">D44*E44</f>
        <v>0</v>
      </c>
      <c r="H44" s="914">
        <f t="shared" si="5"/>
        <v>39428.451244700002</v>
      </c>
      <c r="I44" s="914">
        <f t="shared" si="0"/>
        <v>39428.451244700002</v>
      </c>
    </row>
    <row r="45" spans="1:11" x14ac:dyDescent="0.3">
      <c r="A45" s="910" t="s">
        <v>2459</v>
      </c>
      <c r="B45" s="899" t="s">
        <v>740</v>
      </c>
      <c r="C45" s="900" t="s">
        <v>62</v>
      </c>
      <c r="D45" s="844">
        <f>2.81*2*115/1000</f>
        <v>0.6463000000000001</v>
      </c>
      <c r="E45" s="915"/>
      <c r="F45" s="912">
        <v>106477.049</v>
      </c>
      <c r="G45" s="913">
        <f t="shared" si="6"/>
        <v>0</v>
      </c>
      <c r="H45" s="914">
        <f t="shared" si="5"/>
        <v>68816.116768700012</v>
      </c>
      <c r="I45" s="914">
        <f t="shared" si="0"/>
        <v>68816.116768700012</v>
      </c>
    </row>
    <row r="46" spans="1:11" x14ac:dyDescent="0.3">
      <c r="A46" s="910" t="s">
        <v>2460</v>
      </c>
      <c r="B46" s="899" t="s">
        <v>741</v>
      </c>
      <c r="C46" s="900" t="s">
        <v>62</v>
      </c>
      <c r="D46" s="844">
        <f>0.38*2*115/1000</f>
        <v>8.7400000000000005E-2</v>
      </c>
      <c r="E46" s="915"/>
      <c r="F46" s="912">
        <v>106477.049</v>
      </c>
      <c r="G46" s="913">
        <f t="shared" si="6"/>
        <v>0</v>
      </c>
      <c r="H46" s="914">
        <f t="shared" si="5"/>
        <v>9306.0940826000005</v>
      </c>
      <c r="I46" s="914">
        <f t="shared" si="0"/>
        <v>9306.0940826000005</v>
      </c>
    </row>
    <row r="47" spans="1:11" x14ac:dyDescent="0.3">
      <c r="A47" s="910" t="s">
        <v>2461</v>
      </c>
      <c r="B47" s="899" t="s">
        <v>749</v>
      </c>
      <c r="C47" s="900" t="s">
        <v>44</v>
      </c>
      <c r="D47" s="901">
        <f>8*115</f>
        <v>920</v>
      </c>
      <c r="E47" s="915"/>
      <c r="F47" s="808">
        <v>11.9</v>
      </c>
      <c r="G47" s="310">
        <f t="shared" si="6"/>
        <v>0</v>
      </c>
      <c r="H47" s="914">
        <f t="shared" si="5"/>
        <v>10948</v>
      </c>
      <c r="I47" s="914">
        <f t="shared" si="0"/>
        <v>10948</v>
      </c>
    </row>
    <row r="48" spans="1:11" ht="15.65" x14ac:dyDescent="0.3">
      <c r="A48" s="905" t="s">
        <v>2462</v>
      </c>
      <c r="B48" s="916" t="s">
        <v>2463</v>
      </c>
      <c r="C48" s="917" t="s">
        <v>281</v>
      </c>
      <c r="D48" s="918">
        <f>ROUND((1.65*23+2.05*23+1.5*23+1.3*23+1.65*24+1.5*2*23+1.65*23+2.05*23+0.8*5+1.5*3*23+1.65*3*23+2.05*23+1.35*2*2*24+1.04*2*2),0)</f>
        <v>745</v>
      </c>
      <c r="E48" s="919">
        <v>40</v>
      </c>
      <c r="F48" s="919"/>
      <c r="G48" s="772">
        <f>D48*E48</f>
        <v>29800</v>
      </c>
      <c r="H48" s="920">
        <f>D48*F48</f>
        <v>0</v>
      </c>
      <c r="I48" s="920">
        <f>G48+H48</f>
        <v>29800</v>
      </c>
    </row>
    <row r="49" spans="1:9" ht="15.65" x14ac:dyDescent="0.3">
      <c r="A49" s="921" t="s">
        <v>2464</v>
      </c>
      <c r="B49" s="922" t="s">
        <v>2465</v>
      </c>
      <c r="C49" s="923" t="s">
        <v>74</v>
      </c>
      <c r="D49" s="924">
        <f>D48*0.25</f>
        <v>186.25</v>
      </c>
      <c r="E49" s="815"/>
      <c r="F49" s="815">
        <v>432.49</v>
      </c>
      <c r="G49" s="310"/>
      <c r="H49" s="925">
        <f>D49*F49</f>
        <v>80551.262499999997</v>
      </c>
      <c r="I49" s="925">
        <f>G49+H49</f>
        <v>80551.262499999997</v>
      </c>
    </row>
  </sheetData>
  <mergeCells count="7">
    <mergeCell ref="I1:I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Удор</vt:lpstr>
      <vt:lpstr>Общая</vt:lpstr>
      <vt:lpstr>Общая себестоимость</vt:lpstr>
      <vt:lpstr>Р.1</vt:lpstr>
      <vt:lpstr>Р.2</vt:lpstr>
      <vt:lpstr>КЖ</vt:lpstr>
      <vt:lpstr>АС</vt:lpstr>
      <vt:lpstr>СФТК-Weber</vt:lpstr>
      <vt:lpstr>НВФ</vt:lpstr>
      <vt:lpstr>АР-Неправильно</vt:lpstr>
      <vt:lpstr>Двери</vt:lpstr>
      <vt:lpstr>Кровля</vt:lpstr>
      <vt:lpstr>Отделка</vt:lpstr>
      <vt:lpstr>Разные работы</vt:lpstr>
      <vt:lpstr>В</vt:lpstr>
      <vt:lpstr>К</vt:lpstr>
      <vt:lpstr>Лифты</vt:lpstr>
      <vt:lpstr>От</vt:lpstr>
      <vt:lpstr>Вт</vt:lpstr>
      <vt:lpstr>Сводная Сафин</vt:lpstr>
      <vt:lpstr>ВГ</vt:lpstr>
      <vt:lpstr>ЭОМ</vt:lpstr>
      <vt:lpstr>СС</vt:lpstr>
      <vt:lpstr>ОС</vt:lpstr>
      <vt:lpstr>АК</vt:lpstr>
      <vt:lpstr>КБ</vt:lpstr>
      <vt:lpstr>СФТК-Ceresit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pi@mstagency.ru</cp:lastModifiedBy>
  <cp:lastPrinted>2020-06-02T10:06:40Z</cp:lastPrinted>
  <dcterms:created xsi:type="dcterms:W3CDTF">2015-06-05T18:19:34Z</dcterms:created>
  <dcterms:modified xsi:type="dcterms:W3CDTF">2020-06-04T10:10:14Z</dcterms:modified>
</cp:coreProperties>
</file>