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umerus\Documents\ИнтерСтрой !!!\"/>
    </mc:Choice>
  </mc:AlternateContent>
  <bookViews>
    <workbookView xWindow="0" yWindow="0" windowWidth="18348" windowHeight="7608"/>
  </bookViews>
  <sheets>
    <sheet name="Себестоимость" sheetId="1" r:id="rId1"/>
    <sheet name="наряд" sheetId="3" r:id="rId2"/>
    <sheet name="Финансирование" sheetId="2" r:id="rId3"/>
    <sheet name="Лист1" sheetId="4" r:id="rId4"/>
  </sheets>
  <externalReferences>
    <externalReference r:id="rId5"/>
  </externalReferences>
  <definedNames>
    <definedName name="_xlnm._FilterDatabase" localSheetId="0" hidden="1">Себестоимость!$A$13:$IY$749</definedName>
  </definedNames>
  <calcPr calcId="162913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1" i="1" l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4" i="1"/>
  <c r="L23" i="1"/>
  <c r="L22" i="1"/>
  <c r="K746" i="1"/>
  <c r="K745" i="1"/>
  <c r="K742" i="1"/>
  <c r="L698" i="1"/>
  <c r="K697" i="1"/>
  <c r="L577" i="1"/>
  <c r="L546" i="1"/>
  <c r="L545" i="1"/>
  <c r="L522" i="1"/>
  <c r="K521" i="1"/>
  <c r="K326" i="1"/>
  <c r="L322" i="1"/>
  <c r="L321" i="1"/>
  <c r="L317" i="1"/>
  <c r="K314" i="1"/>
  <c r="L294" i="1"/>
  <c r="K238" i="1"/>
  <c r="L218" i="1"/>
  <c r="K214" i="1"/>
  <c r="L213" i="1"/>
  <c r="K210" i="1"/>
  <c r="L209" i="1"/>
  <c r="L194" i="1"/>
  <c r="L193" i="1"/>
  <c r="L190" i="1"/>
  <c r="L189" i="1"/>
  <c r="L186" i="1"/>
  <c r="L185" i="1"/>
  <c r="K182" i="1"/>
  <c r="L166" i="1"/>
  <c r="L165" i="1"/>
  <c r="K162" i="1"/>
  <c r="L161" i="1"/>
  <c r="L158" i="1"/>
  <c r="L153" i="1"/>
  <c r="L150" i="1"/>
  <c r="L149" i="1"/>
  <c r="L146" i="1"/>
  <c r="L145" i="1"/>
  <c r="L142" i="1"/>
  <c r="L126" i="1"/>
  <c r="K125" i="1"/>
  <c r="L122" i="1"/>
  <c r="K121" i="1"/>
  <c r="L98" i="1"/>
  <c r="L94" i="1"/>
  <c r="L93" i="1"/>
  <c r="L90" i="1"/>
  <c r="L89" i="1"/>
  <c r="L86" i="1"/>
  <c r="L82" i="1"/>
  <c r="L81" i="1"/>
  <c r="L78" i="1"/>
  <c r="L77" i="1"/>
  <c r="L74" i="1"/>
  <c r="L73" i="1"/>
  <c r="L70" i="1"/>
  <c r="K66" i="1"/>
  <c r="L65" i="1"/>
  <c r="L62" i="1"/>
  <c r="L61" i="1"/>
  <c r="L58" i="1"/>
  <c r="K57" i="1"/>
  <c r="K54" i="1"/>
  <c r="Z53" i="1"/>
  <c r="Z52" i="1"/>
  <c r="Z50" i="1"/>
  <c r="Z49" i="1"/>
  <c r="Z47" i="1"/>
  <c r="Z46" i="1"/>
  <c r="K46" i="1" s="1"/>
  <c r="Z43" i="1"/>
  <c r="Z40" i="1"/>
  <c r="Z38" i="1"/>
  <c r="K38" i="1" s="1"/>
  <c r="Z36" i="1"/>
  <c r="Z30" i="1"/>
  <c r="K30" i="1" s="1"/>
  <c r="Z28" i="1"/>
  <c r="Z25" i="1"/>
  <c r="K25" i="1" s="1"/>
  <c r="L20" i="1"/>
  <c r="L751" i="1"/>
  <c r="K751" i="1"/>
  <c r="L749" i="1"/>
  <c r="K749" i="1"/>
  <c r="L748" i="1"/>
  <c r="L747" i="1"/>
  <c r="K747" i="1"/>
  <c r="L746" i="1"/>
  <c r="L745" i="1"/>
  <c r="L744" i="1"/>
  <c r="K744" i="1"/>
  <c r="L743" i="1"/>
  <c r="K743" i="1"/>
  <c r="L742" i="1"/>
  <c r="L741" i="1"/>
  <c r="K741" i="1"/>
  <c r="L740" i="1"/>
  <c r="K740" i="1"/>
  <c r="L739" i="1"/>
  <c r="L738" i="1"/>
  <c r="K738" i="1"/>
  <c r="L737" i="1"/>
  <c r="K737" i="1"/>
  <c r="L736" i="1"/>
  <c r="K736" i="1"/>
  <c r="L735" i="1"/>
  <c r="K735" i="1"/>
  <c r="L734" i="1"/>
  <c r="K734" i="1"/>
  <c r="L733" i="1"/>
  <c r="K733" i="1"/>
  <c r="L732" i="1"/>
  <c r="K732" i="1"/>
  <c r="L731" i="1"/>
  <c r="K731" i="1"/>
  <c r="L730" i="1"/>
  <c r="K730" i="1"/>
  <c r="L729" i="1"/>
  <c r="K729" i="1"/>
  <c r="L728" i="1"/>
  <c r="K728" i="1"/>
  <c r="L727" i="1"/>
  <c r="K727" i="1"/>
  <c r="L726" i="1"/>
  <c r="K726" i="1"/>
  <c r="L725" i="1"/>
  <c r="K725" i="1"/>
  <c r="L724" i="1"/>
  <c r="K724" i="1"/>
  <c r="L723" i="1"/>
  <c r="K723" i="1"/>
  <c r="L722" i="1"/>
  <c r="K722" i="1"/>
  <c r="L721" i="1"/>
  <c r="K721" i="1"/>
  <c r="L720" i="1"/>
  <c r="K720" i="1"/>
  <c r="L719" i="1"/>
  <c r="K719" i="1"/>
  <c r="L718" i="1"/>
  <c r="K718" i="1"/>
  <c r="L717" i="1"/>
  <c r="K717" i="1"/>
  <c r="L716" i="1"/>
  <c r="K716" i="1"/>
  <c r="L715" i="1"/>
  <c r="K715" i="1"/>
  <c r="L714" i="1"/>
  <c r="K714" i="1"/>
  <c r="L713" i="1"/>
  <c r="K713" i="1"/>
  <c r="L712" i="1"/>
  <c r="K712" i="1"/>
  <c r="L711" i="1"/>
  <c r="K711" i="1"/>
  <c r="L710" i="1"/>
  <c r="K710" i="1"/>
  <c r="L709" i="1"/>
  <c r="K709" i="1"/>
  <c r="L708" i="1"/>
  <c r="K708" i="1"/>
  <c r="L707" i="1"/>
  <c r="K707" i="1"/>
  <c r="L706" i="1"/>
  <c r="K706" i="1"/>
  <c r="L705" i="1"/>
  <c r="K705" i="1"/>
  <c r="L704" i="1"/>
  <c r="K704" i="1"/>
  <c r="L703" i="1"/>
  <c r="K703" i="1"/>
  <c r="L702" i="1"/>
  <c r="K702" i="1"/>
  <c r="L701" i="1"/>
  <c r="K701" i="1"/>
  <c r="L700" i="1"/>
  <c r="K700" i="1"/>
  <c r="L699" i="1"/>
  <c r="K699" i="1"/>
  <c r="K698" i="1"/>
  <c r="L697" i="1"/>
  <c r="L696" i="1"/>
  <c r="K696" i="1"/>
  <c r="L695" i="1"/>
  <c r="K695" i="1"/>
  <c r="L694" i="1"/>
  <c r="K694" i="1"/>
  <c r="L693" i="1"/>
  <c r="K693" i="1"/>
  <c r="L692" i="1"/>
  <c r="K692" i="1"/>
  <c r="L691" i="1"/>
  <c r="K691" i="1"/>
  <c r="L690" i="1"/>
  <c r="K690" i="1"/>
  <c r="L689" i="1"/>
  <c r="K689" i="1"/>
  <c r="L688" i="1"/>
  <c r="K688" i="1"/>
  <c r="L687" i="1"/>
  <c r="K687" i="1"/>
  <c r="L686" i="1"/>
  <c r="K686" i="1"/>
  <c r="L685" i="1"/>
  <c r="K685" i="1"/>
  <c r="L684" i="1"/>
  <c r="K684" i="1"/>
  <c r="L683" i="1"/>
  <c r="K683" i="1"/>
  <c r="L682" i="1"/>
  <c r="K682" i="1"/>
  <c r="L681" i="1"/>
  <c r="K681" i="1"/>
  <c r="L680" i="1"/>
  <c r="K680" i="1"/>
  <c r="L679" i="1"/>
  <c r="K679" i="1"/>
  <c r="L678" i="1"/>
  <c r="K678" i="1"/>
  <c r="L677" i="1"/>
  <c r="K677" i="1"/>
  <c r="L676" i="1"/>
  <c r="K676" i="1"/>
  <c r="L675" i="1"/>
  <c r="K675" i="1"/>
  <c r="L674" i="1"/>
  <c r="K674" i="1"/>
  <c r="L673" i="1"/>
  <c r="K673" i="1"/>
  <c r="L672" i="1"/>
  <c r="K672" i="1"/>
  <c r="L671" i="1"/>
  <c r="K671" i="1"/>
  <c r="L670" i="1"/>
  <c r="K670" i="1"/>
  <c r="L669" i="1"/>
  <c r="K669" i="1"/>
  <c r="L668" i="1"/>
  <c r="K668" i="1"/>
  <c r="L667" i="1"/>
  <c r="K667" i="1"/>
  <c r="L666" i="1"/>
  <c r="K666" i="1"/>
  <c r="L665" i="1"/>
  <c r="K665" i="1"/>
  <c r="L664" i="1"/>
  <c r="K664" i="1"/>
  <c r="L663" i="1"/>
  <c r="K663" i="1"/>
  <c r="L662" i="1"/>
  <c r="K662" i="1"/>
  <c r="L661" i="1"/>
  <c r="K661" i="1"/>
  <c r="L660" i="1"/>
  <c r="K660" i="1"/>
  <c r="L659" i="1"/>
  <c r="K659" i="1"/>
  <c r="L658" i="1"/>
  <c r="K658" i="1"/>
  <c r="L657" i="1"/>
  <c r="K657" i="1"/>
  <c r="L656" i="1"/>
  <c r="K656" i="1"/>
  <c r="L655" i="1"/>
  <c r="K655" i="1"/>
  <c r="L654" i="1"/>
  <c r="K654" i="1"/>
  <c r="L653" i="1"/>
  <c r="K653" i="1"/>
  <c r="L652" i="1"/>
  <c r="K652" i="1"/>
  <c r="L651" i="1"/>
  <c r="K651" i="1"/>
  <c r="L650" i="1"/>
  <c r="K650" i="1"/>
  <c r="L649" i="1"/>
  <c r="K649" i="1"/>
  <c r="L648" i="1"/>
  <c r="K648" i="1"/>
  <c r="L647" i="1"/>
  <c r="K647" i="1"/>
  <c r="L646" i="1"/>
  <c r="K646" i="1"/>
  <c r="L645" i="1"/>
  <c r="K645" i="1"/>
  <c r="L644" i="1"/>
  <c r="K644" i="1"/>
  <c r="L643" i="1"/>
  <c r="K643" i="1"/>
  <c r="L642" i="1"/>
  <c r="K642" i="1"/>
  <c r="L641" i="1"/>
  <c r="K641" i="1"/>
  <c r="L640" i="1"/>
  <c r="K640" i="1"/>
  <c r="L639" i="1"/>
  <c r="K639" i="1"/>
  <c r="L638" i="1"/>
  <c r="K638" i="1"/>
  <c r="L637" i="1"/>
  <c r="K637" i="1"/>
  <c r="L636" i="1"/>
  <c r="K636" i="1"/>
  <c r="L635" i="1"/>
  <c r="K635" i="1"/>
  <c r="L634" i="1"/>
  <c r="K634" i="1"/>
  <c r="L633" i="1"/>
  <c r="K633" i="1"/>
  <c r="L632" i="1"/>
  <c r="K632" i="1"/>
  <c r="L631" i="1"/>
  <c r="K631" i="1"/>
  <c r="L630" i="1"/>
  <c r="K630" i="1"/>
  <c r="L629" i="1"/>
  <c r="K629" i="1"/>
  <c r="L628" i="1"/>
  <c r="K628" i="1"/>
  <c r="L627" i="1"/>
  <c r="K627" i="1"/>
  <c r="L626" i="1"/>
  <c r="K626" i="1"/>
  <c r="L625" i="1"/>
  <c r="K625" i="1"/>
  <c r="L624" i="1"/>
  <c r="K624" i="1"/>
  <c r="L623" i="1"/>
  <c r="K623" i="1"/>
  <c r="L622" i="1"/>
  <c r="K622" i="1"/>
  <c r="L621" i="1"/>
  <c r="K621" i="1"/>
  <c r="L620" i="1"/>
  <c r="K620" i="1"/>
  <c r="L619" i="1"/>
  <c r="K619" i="1"/>
  <c r="L618" i="1"/>
  <c r="K618" i="1"/>
  <c r="L617" i="1"/>
  <c r="K617" i="1"/>
  <c r="L616" i="1"/>
  <c r="K616" i="1"/>
  <c r="L615" i="1"/>
  <c r="K615" i="1"/>
  <c r="L614" i="1"/>
  <c r="K614" i="1"/>
  <c r="L613" i="1"/>
  <c r="K613" i="1"/>
  <c r="L612" i="1"/>
  <c r="K612" i="1"/>
  <c r="L611" i="1"/>
  <c r="K611" i="1"/>
  <c r="L610" i="1"/>
  <c r="K610" i="1"/>
  <c r="L609" i="1"/>
  <c r="K609" i="1"/>
  <c r="L608" i="1"/>
  <c r="K608" i="1"/>
  <c r="L607" i="1"/>
  <c r="K607" i="1"/>
  <c r="L606" i="1"/>
  <c r="K606" i="1"/>
  <c r="L605" i="1"/>
  <c r="K605" i="1"/>
  <c r="L604" i="1"/>
  <c r="K604" i="1"/>
  <c r="L603" i="1"/>
  <c r="K603" i="1"/>
  <c r="L602" i="1"/>
  <c r="K602" i="1"/>
  <c r="L601" i="1"/>
  <c r="K601" i="1"/>
  <c r="L600" i="1"/>
  <c r="K600" i="1"/>
  <c r="L599" i="1"/>
  <c r="K599" i="1"/>
  <c r="L598" i="1"/>
  <c r="K598" i="1"/>
  <c r="L597" i="1"/>
  <c r="K597" i="1"/>
  <c r="L596" i="1"/>
  <c r="K596" i="1"/>
  <c r="L595" i="1"/>
  <c r="K595" i="1"/>
  <c r="L594" i="1"/>
  <c r="K594" i="1"/>
  <c r="L593" i="1"/>
  <c r="K593" i="1"/>
  <c r="L592" i="1"/>
  <c r="K592" i="1"/>
  <c r="L591" i="1"/>
  <c r="K591" i="1"/>
  <c r="L590" i="1"/>
  <c r="K590" i="1"/>
  <c r="L589" i="1"/>
  <c r="K589" i="1"/>
  <c r="L588" i="1"/>
  <c r="K588" i="1"/>
  <c r="L587" i="1"/>
  <c r="K587" i="1"/>
  <c r="L586" i="1"/>
  <c r="K586" i="1"/>
  <c r="L585" i="1"/>
  <c r="K585" i="1"/>
  <c r="L584" i="1"/>
  <c r="K584" i="1"/>
  <c r="L583" i="1"/>
  <c r="K583" i="1"/>
  <c r="L582" i="1"/>
  <c r="K582" i="1"/>
  <c r="L581" i="1"/>
  <c r="K581" i="1"/>
  <c r="L580" i="1"/>
  <c r="K580" i="1"/>
  <c r="L579" i="1"/>
  <c r="K579" i="1"/>
  <c r="L578" i="1"/>
  <c r="K578" i="1"/>
  <c r="L576" i="1"/>
  <c r="K576" i="1"/>
  <c r="L575" i="1"/>
  <c r="K575" i="1"/>
  <c r="L574" i="1"/>
  <c r="K574" i="1"/>
  <c r="L573" i="1"/>
  <c r="K573" i="1"/>
  <c r="L572" i="1"/>
  <c r="K572" i="1"/>
  <c r="L571" i="1"/>
  <c r="K571" i="1"/>
  <c r="L570" i="1"/>
  <c r="K570" i="1"/>
  <c r="L569" i="1"/>
  <c r="K569" i="1"/>
  <c r="L568" i="1"/>
  <c r="K568" i="1"/>
  <c r="L567" i="1"/>
  <c r="K567" i="1"/>
  <c r="L566" i="1"/>
  <c r="K566" i="1"/>
  <c r="L565" i="1"/>
  <c r="K565" i="1"/>
  <c r="L564" i="1"/>
  <c r="K564" i="1"/>
  <c r="L563" i="1"/>
  <c r="K563" i="1"/>
  <c r="L562" i="1"/>
  <c r="K562" i="1"/>
  <c r="L561" i="1"/>
  <c r="K561" i="1"/>
  <c r="L560" i="1"/>
  <c r="K560" i="1"/>
  <c r="L559" i="1"/>
  <c r="K559" i="1"/>
  <c r="L558" i="1"/>
  <c r="K558" i="1"/>
  <c r="L557" i="1"/>
  <c r="K557" i="1"/>
  <c r="L556" i="1"/>
  <c r="K556" i="1"/>
  <c r="L555" i="1"/>
  <c r="K555" i="1"/>
  <c r="L554" i="1"/>
  <c r="K554" i="1"/>
  <c r="L553" i="1"/>
  <c r="K553" i="1"/>
  <c r="L552" i="1"/>
  <c r="K552" i="1"/>
  <c r="L551" i="1"/>
  <c r="K551" i="1"/>
  <c r="L550" i="1"/>
  <c r="K550" i="1"/>
  <c r="L549" i="1"/>
  <c r="K549" i="1"/>
  <c r="L548" i="1"/>
  <c r="K548" i="1"/>
  <c r="L547" i="1"/>
  <c r="K547" i="1"/>
  <c r="K545" i="1"/>
  <c r="L544" i="1"/>
  <c r="K544" i="1"/>
  <c r="L543" i="1"/>
  <c r="K543" i="1"/>
  <c r="L542" i="1"/>
  <c r="K542" i="1"/>
  <c r="L541" i="1"/>
  <c r="K541" i="1"/>
  <c r="L540" i="1"/>
  <c r="K540" i="1"/>
  <c r="L539" i="1"/>
  <c r="K539" i="1"/>
  <c r="L538" i="1"/>
  <c r="K538" i="1"/>
  <c r="L537" i="1"/>
  <c r="K537" i="1"/>
  <c r="L536" i="1"/>
  <c r="K536" i="1"/>
  <c r="L535" i="1"/>
  <c r="K535" i="1"/>
  <c r="L534" i="1"/>
  <c r="K534" i="1"/>
  <c r="L533" i="1"/>
  <c r="K533" i="1"/>
  <c r="L532" i="1"/>
  <c r="K532" i="1"/>
  <c r="L531" i="1"/>
  <c r="K531" i="1"/>
  <c r="L530" i="1"/>
  <c r="K530" i="1"/>
  <c r="L529" i="1"/>
  <c r="K529" i="1"/>
  <c r="L528" i="1"/>
  <c r="K528" i="1"/>
  <c r="L527" i="1"/>
  <c r="K527" i="1"/>
  <c r="L526" i="1"/>
  <c r="K526" i="1"/>
  <c r="L525" i="1"/>
  <c r="K525" i="1"/>
  <c r="L524" i="1"/>
  <c r="K524" i="1"/>
  <c r="L523" i="1"/>
  <c r="K523" i="1"/>
  <c r="K522" i="1"/>
  <c r="L521" i="1"/>
  <c r="L520" i="1"/>
  <c r="K520" i="1"/>
  <c r="L519" i="1"/>
  <c r="K519" i="1"/>
  <c r="L518" i="1"/>
  <c r="K518" i="1"/>
  <c r="L517" i="1"/>
  <c r="K517" i="1"/>
  <c r="L516" i="1"/>
  <c r="K516" i="1"/>
  <c r="L515" i="1"/>
  <c r="K515" i="1"/>
  <c r="L514" i="1"/>
  <c r="K514" i="1"/>
  <c r="L513" i="1"/>
  <c r="K513" i="1"/>
  <c r="L512" i="1"/>
  <c r="K512" i="1"/>
  <c r="L511" i="1"/>
  <c r="K511" i="1"/>
  <c r="L510" i="1"/>
  <c r="K510" i="1"/>
  <c r="L509" i="1"/>
  <c r="K509" i="1"/>
  <c r="L508" i="1"/>
  <c r="K508" i="1"/>
  <c r="L507" i="1"/>
  <c r="K507" i="1"/>
  <c r="L506" i="1"/>
  <c r="K506" i="1"/>
  <c r="L505" i="1"/>
  <c r="K505" i="1"/>
  <c r="L504" i="1"/>
  <c r="K504" i="1"/>
  <c r="L503" i="1"/>
  <c r="K503" i="1"/>
  <c r="L502" i="1"/>
  <c r="K502" i="1"/>
  <c r="L501" i="1"/>
  <c r="K501" i="1"/>
  <c r="L500" i="1"/>
  <c r="K500" i="1"/>
  <c r="L499" i="1"/>
  <c r="K499" i="1"/>
  <c r="L498" i="1"/>
  <c r="K498" i="1"/>
  <c r="L497" i="1"/>
  <c r="K497" i="1"/>
  <c r="L496" i="1"/>
  <c r="K496" i="1"/>
  <c r="L495" i="1"/>
  <c r="K495" i="1"/>
  <c r="L494" i="1"/>
  <c r="K494" i="1"/>
  <c r="L493" i="1"/>
  <c r="K493" i="1"/>
  <c r="L492" i="1"/>
  <c r="K492" i="1"/>
  <c r="L491" i="1"/>
  <c r="K491" i="1"/>
  <c r="L490" i="1"/>
  <c r="K490" i="1"/>
  <c r="L489" i="1"/>
  <c r="K489" i="1"/>
  <c r="L488" i="1"/>
  <c r="K488" i="1"/>
  <c r="L487" i="1"/>
  <c r="K487" i="1"/>
  <c r="L486" i="1"/>
  <c r="K486" i="1"/>
  <c r="L485" i="1"/>
  <c r="K485" i="1"/>
  <c r="L484" i="1"/>
  <c r="K484" i="1"/>
  <c r="L483" i="1"/>
  <c r="K483" i="1"/>
  <c r="L482" i="1"/>
  <c r="K482" i="1"/>
  <c r="L481" i="1"/>
  <c r="K481" i="1"/>
  <c r="L480" i="1"/>
  <c r="K480" i="1"/>
  <c r="L479" i="1"/>
  <c r="K479" i="1"/>
  <c r="L478" i="1"/>
  <c r="K478" i="1"/>
  <c r="L477" i="1"/>
  <c r="K477" i="1"/>
  <c r="L476" i="1"/>
  <c r="K476" i="1"/>
  <c r="L475" i="1"/>
  <c r="K475" i="1"/>
  <c r="L474" i="1"/>
  <c r="K474" i="1"/>
  <c r="L473" i="1"/>
  <c r="K473" i="1"/>
  <c r="L472" i="1"/>
  <c r="K472" i="1"/>
  <c r="L471" i="1"/>
  <c r="K471" i="1"/>
  <c r="L470" i="1"/>
  <c r="K470" i="1"/>
  <c r="L469" i="1"/>
  <c r="K469" i="1"/>
  <c r="L468" i="1"/>
  <c r="K468" i="1"/>
  <c r="L467" i="1"/>
  <c r="K467" i="1"/>
  <c r="L466" i="1"/>
  <c r="K466" i="1"/>
  <c r="L465" i="1"/>
  <c r="K465" i="1"/>
  <c r="L464" i="1"/>
  <c r="K464" i="1"/>
  <c r="L463" i="1"/>
  <c r="K463" i="1"/>
  <c r="L462" i="1"/>
  <c r="K462" i="1"/>
  <c r="L461" i="1"/>
  <c r="K461" i="1"/>
  <c r="L460" i="1"/>
  <c r="K460" i="1"/>
  <c r="L459" i="1"/>
  <c r="K459" i="1"/>
  <c r="L458" i="1"/>
  <c r="K458" i="1"/>
  <c r="L457" i="1"/>
  <c r="K457" i="1"/>
  <c r="L456" i="1"/>
  <c r="K456" i="1"/>
  <c r="L455" i="1"/>
  <c r="K455" i="1"/>
  <c r="L454" i="1"/>
  <c r="K454" i="1"/>
  <c r="L453" i="1"/>
  <c r="K453" i="1"/>
  <c r="L452" i="1"/>
  <c r="K452" i="1"/>
  <c r="L451" i="1"/>
  <c r="K451" i="1"/>
  <c r="L450" i="1"/>
  <c r="K450" i="1"/>
  <c r="L449" i="1"/>
  <c r="K449" i="1"/>
  <c r="L448" i="1"/>
  <c r="K448" i="1"/>
  <c r="L447" i="1"/>
  <c r="K447" i="1"/>
  <c r="L446" i="1"/>
  <c r="K446" i="1"/>
  <c r="L445" i="1"/>
  <c r="K445" i="1"/>
  <c r="L444" i="1"/>
  <c r="K444" i="1"/>
  <c r="L443" i="1"/>
  <c r="K443" i="1"/>
  <c r="L442" i="1"/>
  <c r="K442" i="1"/>
  <c r="L441" i="1"/>
  <c r="K441" i="1"/>
  <c r="L440" i="1"/>
  <c r="K440" i="1"/>
  <c r="L439" i="1"/>
  <c r="K439" i="1"/>
  <c r="L438" i="1"/>
  <c r="K438" i="1"/>
  <c r="L437" i="1"/>
  <c r="K437" i="1"/>
  <c r="L436" i="1"/>
  <c r="K436" i="1"/>
  <c r="L435" i="1"/>
  <c r="K435" i="1"/>
  <c r="L434" i="1"/>
  <c r="K434" i="1"/>
  <c r="L433" i="1"/>
  <c r="K433" i="1"/>
  <c r="L432" i="1"/>
  <c r="K432" i="1"/>
  <c r="L431" i="1"/>
  <c r="K431" i="1"/>
  <c r="L430" i="1"/>
  <c r="K430" i="1"/>
  <c r="L429" i="1"/>
  <c r="K429" i="1"/>
  <c r="L428" i="1"/>
  <c r="K428" i="1"/>
  <c r="L427" i="1"/>
  <c r="K427" i="1"/>
  <c r="L426" i="1"/>
  <c r="K426" i="1"/>
  <c r="L425" i="1"/>
  <c r="K425" i="1"/>
  <c r="L424" i="1"/>
  <c r="K424" i="1"/>
  <c r="L423" i="1"/>
  <c r="K423" i="1"/>
  <c r="L422" i="1"/>
  <c r="K422" i="1"/>
  <c r="L421" i="1"/>
  <c r="K421" i="1"/>
  <c r="L419" i="1"/>
  <c r="K419" i="1"/>
  <c r="L418" i="1"/>
  <c r="K418" i="1"/>
  <c r="L417" i="1"/>
  <c r="K417" i="1"/>
  <c r="L416" i="1"/>
  <c r="K416" i="1"/>
  <c r="L415" i="1"/>
  <c r="K415" i="1"/>
  <c r="K414" i="1"/>
  <c r="K413" i="1"/>
  <c r="L412" i="1"/>
  <c r="L411" i="1"/>
  <c r="K411" i="1"/>
  <c r="L410" i="1"/>
  <c r="K410" i="1"/>
  <c r="L408" i="1"/>
  <c r="K408" i="1"/>
  <c r="L407" i="1"/>
  <c r="K407" i="1"/>
  <c r="L403" i="1"/>
  <c r="L399" i="1"/>
  <c r="L394" i="1"/>
  <c r="L393" i="1"/>
  <c r="K393" i="1"/>
  <c r="L392" i="1"/>
  <c r="K392" i="1"/>
  <c r="L367" i="1"/>
  <c r="L366" i="1"/>
  <c r="K366" i="1"/>
  <c r="L365" i="1"/>
  <c r="K365" i="1"/>
  <c r="L363" i="1"/>
  <c r="K363" i="1"/>
  <c r="L362" i="1"/>
  <c r="K362" i="1"/>
  <c r="K361" i="1"/>
  <c r="L360" i="1"/>
  <c r="L357" i="1"/>
  <c r="K357" i="1"/>
  <c r="L356" i="1"/>
  <c r="K356" i="1"/>
  <c r="L355" i="1"/>
  <c r="K355" i="1"/>
  <c r="L340" i="1"/>
  <c r="L339" i="1"/>
  <c r="K339" i="1"/>
  <c r="L338" i="1"/>
  <c r="K338" i="1"/>
  <c r="L337" i="1"/>
  <c r="K337" i="1"/>
  <c r="L331" i="1"/>
  <c r="K331" i="1"/>
  <c r="L330" i="1"/>
  <c r="K330" i="1"/>
  <c r="L328" i="1"/>
  <c r="K328" i="1"/>
  <c r="L327" i="1"/>
  <c r="K327" i="1"/>
  <c r="L326" i="1"/>
  <c r="L325" i="1"/>
  <c r="K325" i="1"/>
  <c r="L324" i="1"/>
  <c r="K324" i="1"/>
  <c r="L323" i="1"/>
  <c r="K323" i="1"/>
  <c r="K321" i="1"/>
  <c r="L320" i="1"/>
  <c r="K320" i="1"/>
  <c r="K317" i="1"/>
  <c r="L314" i="1"/>
  <c r="L313" i="1"/>
  <c r="K313" i="1"/>
  <c r="L312" i="1"/>
  <c r="K312" i="1"/>
  <c r="L307" i="1"/>
  <c r="K307" i="1"/>
  <c r="L306" i="1"/>
  <c r="K306" i="1"/>
  <c r="L304" i="1"/>
  <c r="K304" i="1"/>
  <c r="L303" i="1"/>
  <c r="K303" i="1"/>
  <c r="K302" i="1"/>
  <c r="L301" i="1"/>
  <c r="K294" i="1"/>
  <c r="L277" i="1"/>
  <c r="K277" i="1"/>
  <c r="L248" i="1"/>
  <c r="L247" i="1"/>
  <c r="K247" i="1"/>
  <c r="L246" i="1"/>
  <c r="K246" i="1"/>
  <c r="L238" i="1"/>
  <c r="L236" i="1"/>
  <c r="K236" i="1"/>
  <c r="L235" i="1"/>
  <c r="K235" i="1"/>
  <c r="L232" i="1"/>
  <c r="K232" i="1"/>
  <c r="L231" i="1"/>
  <c r="K231" i="1"/>
  <c r="L230" i="1"/>
  <c r="K230" i="1"/>
  <c r="L228" i="1"/>
  <c r="K228" i="1"/>
  <c r="L227" i="1"/>
  <c r="K227" i="1"/>
  <c r="K226" i="1"/>
  <c r="L225" i="1"/>
  <c r="L219" i="1"/>
  <c r="K219" i="1"/>
  <c r="K218" i="1"/>
  <c r="L216" i="1"/>
  <c r="K216" i="1"/>
  <c r="L215" i="1"/>
  <c r="K215" i="1"/>
  <c r="L214" i="1"/>
  <c r="K213" i="1"/>
  <c r="L212" i="1"/>
  <c r="K212" i="1"/>
  <c r="L211" i="1"/>
  <c r="K211" i="1"/>
  <c r="L210" i="1"/>
  <c r="K209" i="1"/>
  <c r="L208" i="1"/>
  <c r="K208" i="1"/>
  <c r="L207" i="1"/>
  <c r="K207" i="1"/>
  <c r="L206" i="1"/>
  <c r="K206" i="1"/>
  <c r="L204" i="1"/>
  <c r="K204" i="1"/>
  <c r="L203" i="1"/>
  <c r="K203" i="1"/>
  <c r="K202" i="1"/>
  <c r="L201" i="1"/>
  <c r="L200" i="1"/>
  <c r="K200" i="1"/>
  <c r="L196" i="1"/>
  <c r="K196" i="1"/>
  <c r="L195" i="1"/>
  <c r="K195" i="1"/>
  <c r="K194" i="1"/>
  <c r="K193" i="1"/>
  <c r="L192" i="1"/>
  <c r="K192" i="1"/>
  <c r="L191" i="1"/>
  <c r="K191" i="1"/>
  <c r="K190" i="1"/>
  <c r="K189" i="1"/>
  <c r="L188" i="1"/>
  <c r="K188" i="1"/>
  <c r="L187" i="1"/>
  <c r="K187" i="1"/>
  <c r="K186" i="1"/>
  <c r="K185" i="1"/>
  <c r="L184" i="1"/>
  <c r="K184" i="1"/>
  <c r="L183" i="1"/>
  <c r="K183" i="1"/>
  <c r="L182" i="1"/>
  <c r="L181" i="1"/>
  <c r="K181" i="1"/>
  <c r="L180" i="1"/>
  <c r="K180" i="1"/>
  <c r="L178" i="1"/>
  <c r="K178" i="1"/>
  <c r="L177" i="1"/>
  <c r="K177" i="1"/>
  <c r="K176" i="1"/>
  <c r="L175" i="1"/>
  <c r="L173" i="1"/>
  <c r="K173" i="1"/>
  <c r="L172" i="1"/>
  <c r="K172" i="1"/>
  <c r="L171" i="1"/>
  <c r="K171" i="1"/>
  <c r="L170" i="1"/>
  <c r="K170" i="1"/>
  <c r="K166" i="1"/>
  <c r="K165" i="1"/>
  <c r="L164" i="1"/>
  <c r="K164" i="1"/>
  <c r="L163" i="1"/>
  <c r="K163" i="1"/>
  <c r="L162" i="1"/>
  <c r="K161" i="1"/>
  <c r="L160" i="1"/>
  <c r="K160" i="1"/>
  <c r="L159" i="1"/>
  <c r="K159" i="1"/>
  <c r="K158" i="1"/>
  <c r="L157" i="1"/>
  <c r="K157" i="1"/>
  <c r="K153" i="1"/>
  <c r="L152" i="1"/>
  <c r="K152" i="1"/>
  <c r="L151" i="1"/>
  <c r="K151" i="1"/>
  <c r="K150" i="1"/>
  <c r="K149" i="1"/>
  <c r="L148" i="1"/>
  <c r="K148" i="1"/>
  <c r="L147" i="1"/>
  <c r="K147" i="1"/>
  <c r="K146" i="1"/>
  <c r="K145" i="1"/>
  <c r="L144" i="1"/>
  <c r="K144" i="1"/>
  <c r="L143" i="1"/>
  <c r="K143" i="1"/>
  <c r="K142" i="1"/>
  <c r="L141" i="1"/>
  <c r="K141" i="1"/>
  <c r="L140" i="1"/>
  <c r="K140" i="1"/>
  <c r="L139" i="1"/>
  <c r="K139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K126" i="1"/>
  <c r="L125" i="1"/>
  <c r="L124" i="1"/>
  <c r="K124" i="1"/>
  <c r="L123" i="1"/>
  <c r="K123" i="1"/>
  <c r="K122" i="1"/>
  <c r="L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K98" i="1"/>
  <c r="L97" i="1"/>
  <c r="K97" i="1"/>
  <c r="L96" i="1"/>
  <c r="K96" i="1"/>
  <c r="L95" i="1"/>
  <c r="K95" i="1"/>
  <c r="K94" i="1"/>
  <c r="K93" i="1"/>
  <c r="L92" i="1"/>
  <c r="K92" i="1"/>
  <c r="L91" i="1"/>
  <c r="K91" i="1"/>
  <c r="K90" i="1"/>
  <c r="K89" i="1"/>
  <c r="L88" i="1"/>
  <c r="K88" i="1"/>
  <c r="L87" i="1"/>
  <c r="K87" i="1"/>
  <c r="K86" i="1"/>
  <c r="L85" i="1"/>
  <c r="K85" i="1"/>
  <c r="L84" i="1"/>
  <c r="K84" i="1"/>
  <c r="L83" i="1"/>
  <c r="K83" i="1"/>
  <c r="K82" i="1"/>
  <c r="K81" i="1"/>
  <c r="L80" i="1"/>
  <c r="K80" i="1"/>
  <c r="L79" i="1"/>
  <c r="K79" i="1"/>
  <c r="K78" i="1"/>
  <c r="K77" i="1"/>
  <c r="L76" i="1"/>
  <c r="K76" i="1"/>
  <c r="L75" i="1"/>
  <c r="K75" i="1"/>
  <c r="K74" i="1"/>
  <c r="K73" i="1"/>
  <c r="L72" i="1"/>
  <c r="K72" i="1"/>
  <c r="L71" i="1"/>
  <c r="K71" i="1"/>
  <c r="K70" i="1"/>
  <c r="L69" i="1"/>
  <c r="K69" i="1"/>
  <c r="L68" i="1"/>
  <c r="K68" i="1"/>
  <c r="L67" i="1"/>
  <c r="K67" i="1"/>
  <c r="L66" i="1"/>
  <c r="K65" i="1"/>
  <c r="L64" i="1"/>
  <c r="K64" i="1"/>
  <c r="L63" i="1"/>
  <c r="K63" i="1"/>
  <c r="K62" i="1"/>
  <c r="K61" i="1"/>
  <c r="L60" i="1"/>
  <c r="K60" i="1"/>
  <c r="L59" i="1"/>
  <c r="K59" i="1"/>
  <c r="K58" i="1"/>
  <c r="L57" i="1"/>
  <c r="L56" i="1"/>
  <c r="K56" i="1"/>
  <c r="L55" i="1"/>
  <c r="K55" i="1"/>
  <c r="L54" i="1"/>
  <c r="L53" i="1"/>
  <c r="K53" i="1"/>
  <c r="L52" i="1"/>
  <c r="K52" i="1"/>
  <c r="K51" i="1"/>
  <c r="K50" i="1"/>
  <c r="K49" i="1"/>
  <c r="K48" i="1"/>
  <c r="K47" i="1"/>
  <c r="K45" i="1"/>
  <c r="K44" i="1"/>
  <c r="K43" i="1"/>
  <c r="K42" i="1"/>
  <c r="K41" i="1"/>
  <c r="K40" i="1"/>
  <c r="K39" i="1"/>
  <c r="K37" i="1"/>
  <c r="K36" i="1"/>
  <c r="K35" i="1"/>
  <c r="K34" i="1"/>
  <c r="K33" i="1"/>
  <c r="K32" i="1"/>
  <c r="K31" i="1"/>
  <c r="K29" i="1"/>
  <c r="K28" i="1"/>
  <c r="K27" i="1"/>
  <c r="K26" i="1"/>
  <c r="L25" i="1"/>
  <c r="K24" i="1"/>
  <c r="K23" i="1"/>
  <c r="K22" i="1"/>
  <c r="L21" i="1"/>
  <c r="K21" i="1"/>
  <c r="K20" i="1"/>
  <c r="L18" i="1"/>
  <c r="L19" i="1"/>
  <c r="L17" i="1"/>
  <c r="L16" i="1"/>
  <c r="K19" i="1"/>
  <c r="K18" i="1"/>
  <c r="K17" i="1"/>
  <c r="K16" i="1"/>
  <c r="K577" i="1" l="1"/>
  <c r="K322" i="1"/>
  <c r="K546" i="1"/>
  <c r="J747" i="1"/>
  <c r="J746" i="1"/>
  <c r="J745" i="1"/>
  <c r="J744" i="1"/>
  <c r="J743" i="1"/>
  <c r="J742" i="1"/>
  <c r="J741" i="1"/>
  <c r="J740" i="1"/>
  <c r="W748" i="1"/>
  <c r="X748" i="1" s="1"/>
  <c r="N748" i="1"/>
  <c r="G545" i="1"/>
  <c r="I545" i="1" s="1"/>
  <c r="J545" i="1" s="1"/>
  <c r="F544" i="1"/>
  <c r="H544" i="1" s="1"/>
  <c r="J544" i="1" s="1"/>
  <c r="I26" i="3" l="1"/>
  <c r="G26" i="3"/>
  <c r="I25" i="3"/>
  <c r="I24" i="3"/>
  <c r="I19" i="3"/>
  <c r="J19" i="3" s="1"/>
  <c r="I18" i="3"/>
  <c r="J18" i="3" s="1"/>
  <c r="I17" i="3"/>
  <c r="J17" i="3" s="1"/>
  <c r="H19" i="3"/>
  <c r="H17" i="3"/>
  <c r="H18" i="3"/>
  <c r="B19" i="3"/>
  <c r="B18" i="3"/>
  <c r="H14" i="3"/>
  <c r="G14" i="3"/>
  <c r="F14" i="3"/>
  <c r="K6" i="3"/>
  <c r="K5" i="3"/>
  <c r="K4" i="3"/>
  <c r="K1" i="3"/>
  <c r="V6" i="3"/>
  <c r="T6" i="3"/>
  <c r="Q6" i="3"/>
  <c r="N6" i="3"/>
  <c r="W6" i="3" s="1"/>
  <c r="I6" i="3"/>
  <c r="H6" i="3"/>
  <c r="J6" i="3" s="1"/>
  <c r="V5" i="3"/>
  <c r="Q5" i="3"/>
  <c r="N5" i="3"/>
  <c r="J5" i="3"/>
  <c r="I5" i="3"/>
  <c r="H5" i="3"/>
  <c r="V4" i="3"/>
  <c r="Q4" i="3"/>
  <c r="N4" i="3"/>
  <c r="T3" i="3"/>
  <c r="Q3" i="3"/>
  <c r="N3" i="3"/>
  <c r="F3" i="3"/>
  <c r="V3" i="3" s="1"/>
  <c r="E3" i="3"/>
  <c r="R5" i="3" s="1"/>
  <c r="T5" i="3" s="1"/>
  <c r="W3" i="3" l="1"/>
  <c r="X6" i="3"/>
  <c r="W4" i="3"/>
  <c r="X5" i="3"/>
  <c r="W5" i="3"/>
  <c r="R4" i="3"/>
  <c r="T4" i="3" s="1"/>
  <c r="H3" i="3"/>
  <c r="I3" i="3"/>
  <c r="E4" i="3"/>
  <c r="E55" i="1"/>
  <c r="J3" i="3" l="1"/>
  <c r="X3" i="3" s="1"/>
  <c r="H4" i="3"/>
  <c r="I4" i="3"/>
  <c r="J4" i="3" l="1"/>
  <c r="X4" i="3" s="1"/>
  <c r="Q38" i="2"/>
  <c r="P38" i="2"/>
  <c r="O38" i="2"/>
  <c r="N38" i="2"/>
  <c r="M38" i="2"/>
  <c r="L38" i="2"/>
  <c r="Q20" i="2"/>
  <c r="P20" i="2"/>
  <c r="O20" i="2"/>
  <c r="N20" i="2"/>
  <c r="M20" i="2"/>
  <c r="L20" i="2"/>
  <c r="H37" i="2"/>
  <c r="D37" i="2"/>
  <c r="F32" i="2"/>
  <c r="E32" i="2"/>
  <c r="D32" i="2"/>
  <c r="C32" i="2"/>
  <c r="G32" i="2" s="1"/>
  <c r="F31" i="2"/>
  <c r="E31" i="2"/>
  <c r="D31" i="2"/>
  <c r="C31" i="2"/>
  <c r="G31" i="2" s="1"/>
  <c r="G30" i="2"/>
  <c r="F30" i="2"/>
  <c r="E30" i="2"/>
  <c r="D30" i="2"/>
  <c r="C30" i="2"/>
  <c r="G29" i="2"/>
  <c r="F29" i="2"/>
  <c r="E29" i="2"/>
  <c r="D29" i="2"/>
  <c r="C29" i="2"/>
  <c r="F28" i="2"/>
  <c r="E28" i="2"/>
  <c r="D28" i="2"/>
  <c r="C28" i="2"/>
  <c r="G28" i="2" s="1"/>
  <c r="F27" i="2"/>
  <c r="E27" i="2"/>
  <c r="D27" i="2"/>
  <c r="C27" i="2"/>
  <c r="G27" i="2" s="1"/>
  <c r="G26" i="2"/>
  <c r="F26" i="2"/>
  <c r="E26" i="2"/>
  <c r="D26" i="2"/>
  <c r="C26" i="2"/>
  <c r="G25" i="2"/>
  <c r="F25" i="2"/>
  <c r="E25" i="2"/>
  <c r="D25" i="2"/>
  <c r="C25" i="2"/>
  <c r="F24" i="2"/>
  <c r="F37" i="2" s="1"/>
  <c r="E24" i="2"/>
  <c r="E37" i="2" s="1"/>
  <c r="D24" i="2"/>
  <c r="C24" i="2"/>
  <c r="G24" i="2" s="1"/>
  <c r="H20" i="2"/>
  <c r="H19" i="2"/>
  <c r="H18" i="2"/>
  <c r="H17" i="2"/>
  <c r="H16" i="2"/>
  <c r="H15" i="2"/>
  <c r="F15" i="2"/>
  <c r="E15" i="2"/>
  <c r="D15" i="2"/>
  <c r="C15" i="2"/>
  <c r="G15" i="2" s="1"/>
  <c r="H14" i="2"/>
  <c r="F14" i="2"/>
  <c r="E14" i="2"/>
  <c r="D14" i="2"/>
  <c r="C14" i="2"/>
  <c r="G14" i="2" s="1"/>
  <c r="H13" i="2"/>
  <c r="F13" i="2"/>
  <c r="E13" i="2"/>
  <c r="D13" i="2"/>
  <c r="C13" i="2"/>
  <c r="G13" i="2" s="1"/>
  <c r="H12" i="2"/>
  <c r="F12" i="2"/>
  <c r="E12" i="2"/>
  <c r="D12" i="2"/>
  <c r="C12" i="2"/>
  <c r="G12" i="2" s="1"/>
  <c r="H11" i="2"/>
  <c r="F11" i="2"/>
  <c r="E11" i="2"/>
  <c r="D11" i="2"/>
  <c r="C11" i="2"/>
  <c r="G11" i="2" s="1"/>
  <c r="H10" i="2"/>
  <c r="G10" i="2"/>
  <c r="F10" i="2"/>
  <c r="E10" i="2"/>
  <c r="D10" i="2"/>
  <c r="C10" i="2"/>
  <c r="H9" i="2"/>
  <c r="F9" i="2"/>
  <c r="E9" i="2"/>
  <c r="D9" i="2"/>
  <c r="C9" i="2"/>
  <c r="G9" i="2" s="1"/>
  <c r="H8" i="2"/>
  <c r="F8" i="2"/>
  <c r="E8" i="2"/>
  <c r="D8" i="2"/>
  <c r="C8" i="2"/>
  <c r="G8" i="2" s="1"/>
  <c r="H7" i="2"/>
  <c r="G7" i="2"/>
  <c r="F7" i="2"/>
  <c r="F20" i="2" s="1"/>
  <c r="E7" i="2"/>
  <c r="E20" i="2" s="1"/>
  <c r="D7" i="2"/>
  <c r="D20" i="2" s="1"/>
  <c r="C7" i="2"/>
  <c r="C20" i="2" s="1"/>
  <c r="G4" i="2"/>
  <c r="H3" i="2"/>
  <c r="G3" i="2"/>
  <c r="C37" i="2" l="1"/>
  <c r="G37" i="2" s="1"/>
  <c r="G20" i="2"/>
  <c r="V50" i="1" l="1"/>
  <c r="V49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1" i="1"/>
  <c r="V20" i="1"/>
  <c r="V19" i="1"/>
  <c r="V18" i="1"/>
  <c r="V17" i="1"/>
  <c r="V16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7" i="1"/>
  <c r="S16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17" i="1"/>
  <c r="P16" i="1"/>
  <c r="Q18" i="1"/>
  <c r="S18" i="1" s="1"/>
  <c r="Z45" i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X33" i="1"/>
  <c r="X32" i="1"/>
  <c r="X31" i="1"/>
  <c r="X30" i="1"/>
  <c r="X29" i="1"/>
  <c r="X27" i="1"/>
  <c r="X26" i="1"/>
  <c r="X24" i="1"/>
  <c r="X23" i="1"/>
  <c r="X22" i="1"/>
  <c r="X20" i="1"/>
  <c r="X19" i="1"/>
  <c r="X18" i="1"/>
  <c r="X17" i="1"/>
  <c r="W699" i="1"/>
  <c r="X699" i="1" s="1"/>
  <c r="X577" i="1"/>
  <c r="W546" i="1"/>
  <c r="X546" i="1" s="1"/>
  <c r="W523" i="1"/>
  <c r="X523" i="1" s="1"/>
  <c r="W357" i="1"/>
  <c r="W190" i="1"/>
  <c r="W189" i="1"/>
  <c r="W188" i="1"/>
  <c r="W186" i="1"/>
  <c r="W185" i="1"/>
  <c r="W184" i="1"/>
  <c r="W183" i="1"/>
  <c r="Q357" i="1"/>
  <c r="Q190" i="1"/>
  <c r="Q189" i="1"/>
  <c r="Q188" i="1"/>
  <c r="Q186" i="1"/>
  <c r="Q185" i="1"/>
  <c r="Q184" i="1"/>
  <c r="Q183" i="1"/>
  <c r="J737" i="1"/>
  <c r="E734" i="1"/>
  <c r="I734" i="1" s="1"/>
  <c r="J734" i="1" s="1"/>
  <c r="E733" i="1"/>
  <c r="I733" i="1" s="1"/>
  <c r="J733" i="1" s="1"/>
  <c r="I731" i="1"/>
  <c r="J731" i="1" s="1"/>
  <c r="I730" i="1"/>
  <c r="J730" i="1" s="1"/>
  <c r="I729" i="1"/>
  <c r="J729" i="1" s="1"/>
  <c r="I728" i="1"/>
  <c r="J728" i="1" s="1"/>
  <c r="I727" i="1"/>
  <c r="J727" i="1" s="1"/>
  <c r="I726" i="1"/>
  <c r="J726" i="1" s="1"/>
  <c r="I725" i="1"/>
  <c r="J725" i="1" s="1"/>
  <c r="I724" i="1"/>
  <c r="J724" i="1" s="1"/>
  <c r="I723" i="1"/>
  <c r="J723" i="1" s="1"/>
  <c r="I722" i="1"/>
  <c r="J722" i="1" s="1"/>
  <c r="I721" i="1"/>
  <c r="J721" i="1" s="1"/>
  <c r="I720" i="1"/>
  <c r="J720" i="1" s="1"/>
  <c r="J719" i="1"/>
  <c r="E719" i="1"/>
  <c r="I718" i="1"/>
  <c r="J718" i="1" s="1"/>
  <c r="I717" i="1"/>
  <c r="J717" i="1" s="1"/>
  <c r="I716" i="1"/>
  <c r="J716" i="1" s="1"/>
  <c r="I715" i="1"/>
  <c r="J715" i="1" s="1"/>
  <c r="G714" i="1"/>
  <c r="I714" i="1" s="1"/>
  <c r="J714" i="1" s="1"/>
  <c r="G713" i="1"/>
  <c r="I713" i="1" s="1"/>
  <c r="J713" i="1" s="1"/>
  <c r="I712" i="1"/>
  <c r="J712" i="1" s="1"/>
  <c r="I711" i="1"/>
  <c r="J711" i="1" s="1"/>
  <c r="E710" i="1"/>
  <c r="E735" i="1" s="1"/>
  <c r="G709" i="1"/>
  <c r="E709" i="1"/>
  <c r="J708" i="1"/>
  <c r="I707" i="1"/>
  <c r="J707" i="1" s="1"/>
  <c r="I706" i="1"/>
  <c r="J706" i="1" s="1"/>
  <c r="J705" i="1"/>
  <c r="I704" i="1"/>
  <c r="J704" i="1" s="1"/>
  <c r="J703" i="1"/>
  <c r="F702" i="1"/>
  <c r="H702" i="1" s="1"/>
  <c r="J702" i="1" s="1"/>
  <c r="N699" i="1"/>
  <c r="I699" i="1"/>
  <c r="H699" i="1"/>
  <c r="F697" i="1" s="1"/>
  <c r="H697" i="1" s="1"/>
  <c r="J697" i="1" s="1"/>
  <c r="I696" i="1"/>
  <c r="J696" i="1" s="1"/>
  <c r="I695" i="1"/>
  <c r="J695" i="1" s="1"/>
  <c r="I694" i="1"/>
  <c r="J694" i="1" s="1"/>
  <c r="G693" i="1"/>
  <c r="I693" i="1" s="1"/>
  <c r="J693" i="1" s="1"/>
  <c r="I692" i="1"/>
  <c r="J692" i="1" s="1"/>
  <c r="I691" i="1"/>
  <c r="J691" i="1" s="1"/>
  <c r="E690" i="1"/>
  <c r="H690" i="1" s="1"/>
  <c r="J690" i="1" s="1"/>
  <c r="J689" i="1"/>
  <c r="I688" i="1"/>
  <c r="J688" i="1" s="1"/>
  <c r="I687" i="1"/>
  <c r="J687" i="1" s="1"/>
  <c r="G686" i="1"/>
  <c r="I686" i="1" s="1"/>
  <c r="J686" i="1" s="1"/>
  <c r="I685" i="1"/>
  <c r="J685" i="1" s="1"/>
  <c r="I684" i="1"/>
  <c r="J684" i="1" s="1"/>
  <c r="I683" i="1"/>
  <c r="J683" i="1" s="1"/>
  <c r="I682" i="1"/>
  <c r="J682" i="1" s="1"/>
  <c r="E681" i="1"/>
  <c r="H681" i="1" s="1"/>
  <c r="J681" i="1" s="1"/>
  <c r="J680" i="1"/>
  <c r="I679" i="1"/>
  <c r="J679" i="1" s="1"/>
  <c r="I678" i="1"/>
  <c r="J678" i="1" s="1"/>
  <c r="I677" i="1"/>
  <c r="J677" i="1" s="1"/>
  <c r="I676" i="1"/>
  <c r="J676" i="1" s="1"/>
  <c r="E675" i="1"/>
  <c r="J674" i="1"/>
  <c r="E671" i="1"/>
  <c r="I671" i="1" s="1"/>
  <c r="J671" i="1" s="1"/>
  <c r="I670" i="1"/>
  <c r="J670" i="1" s="1"/>
  <c r="E669" i="1"/>
  <c r="H669" i="1" s="1"/>
  <c r="J669" i="1" s="1"/>
  <c r="I668" i="1"/>
  <c r="J668" i="1" s="1"/>
  <c r="E667" i="1"/>
  <c r="H667" i="1" s="1"/>
  <c r="J667" i="1" s="1"/>
  <c r="I666" i="1"/>
  <c r="J666" i="1" s="1"/>
  <c r="I665" i="1"/>
  <c r="J665" i="1" s="1"/>
  <c r="I664" i="1"/>
  <c r="J664" i="1" s="1"/>
  <c r="I663" i="1"/>
  <c r="J663" i="1" s="1"/>
  <c r="I662" i="1"/>
  <c r="J662" i="1" s="1"/>
  <c r="I661" i="1"/>
  <c r="J661" i="1" s="1"/>
  <c r="I660" i="1"/>
  <c r="J660" i="1" s="1"/>
  <c r="I659" i="1"/>
  <c r="J659" i="1" s="1"/>
  <c r="E658" i="1"/>
  <c r="H658" i="1" s="1"/>
  <c r="J658" i="1" s="1"/>
  <c r="I657" i="1"/>
  <c r="J657" i="1" s="1"/>
  <c r="H656" i="1"/>
  <c r="J656" i="1" s="1"/>
  <c r="J655" i="1"/>
  <c r="I654" i="1"/>
  <c r="J654" i="1" s="1"/>
  <c r="I653" i="1"/>
  <c r="J653" i="1" s="1"/>
  <c r="J652" i="1"/>
  <c r="G651" i="1"/>
  <c r="I651" i="1" s="1"/>
  <c r="J651" i="1" s="1"/>
  <c r="E650" i="1"/>
  <c r="H650" i="1" s="1"/>
  <c r="J650" i="1" s="1"/>
  <c r="G649" i="1"/>
  <c r="I649" i="1" s="1"/>
  <c r="J649" i="1" s="1"/>
  <c r="E648" i="1"/>
  <c r="H648" i="1" s="1"/>
  <c r="J648" i="1" s="1"/>
  <c r="G647" i="1"/>
  <c r="J645" i="1"/>
  <c r="E644" i="1"/>
  <c r="I641" i="1"/>
  <c r="J641" i="1" s="1"/>
  <c r="I640" i="1"/>
  <c r="J640" i="1" s="1"/>
  <c r="I639" i="1"/>
  <c r="J639" i="1" s="1"/>
  <c r="I637" i="1"/>
  <c r="J637" i="1" s="1"/>
  <c r="I636" i="1"/>
  <c r="J636" i="1" s="1"/>
  <c r="I635" i="1"/>
  <c r="J635" i="1" s="1"/>
  <c r="I634" i="1"/>
  <c r="J634" i="1" s="1"/>
  <c r="I633" i="1"/>
  <c r="J633" i="1" s="1"/>
  <c r="I632" i="1"/>
  <c r="J632" i="1" s="1"/>
  <c r="I631" i="1"/>
  <c r="J631" i="1" s="1"/>
  <c r="E630" i="1"/>
  <c r="E638" i="1" s="1"/>
  <c r="I638" i="1" s="1"/>
  <c r="J638" i="1" s="1"/>
  <c r="J629" i="1"/>
  <c r="I628" i="1"/>
  <c r="J628" i="1" s="1"/>
  <c r="I627" i="1"/>
  <c r="J627" i="1" s="1"/>
  <c r="E626" i="1"/>
  <c r="H626" i="1" s="1"/>
  <c r="J626" i="1" s="1"/>
  <c r="I625" i="1"/>
  <c r="J625" i="1" s="1"/>
  <c r="I624" i="1"/>
  <c r="J624" i="1" s="1"/>
  <c r="J623" i="1"/>
  <c r="I622" i="1"/>
  <c r="J622" i="1" s="1"/>
  <c r="I620" i="1"/>
  <c r="J620" i="1" s="1"/>
  <c r="G619" i="1"/>
  <c r="I619" i="1" s="1"/>
  <c r="J619" i="1" s="1"/>
  <c r="E618" i="1"/>
  <c r="H618" i="1" s="1"/>
  <c r="J618" i="1" s="1"/>
  <c r="I617" i="1"/>
  <c r="J617" i="1" s="1"/>
  <c r="I616" i="1"/>
  <c r="J616" i="1" s="1"/>
  <c r="I615" i="1"/>
  <c r="J615" i="1" s="1"/>
  <c r="G614" i="1"/>
  <c r="I614" i="1" s="1"/>
  <c r="J614" i="1" s="1"/>
  <c r="E613" i="1"/>
  <c r="E621" i="1" s="1"/>
  <c r="H621" i="1" s="1"/>
  <c r="J621" i="1" s="1"/>
  <c r="J612" i="1"/>
  <c r="G611" i="1"/>
  <c r="I611" i="1" s="1"/>
  <c r="J611" i="1" s="1"/>
  <c r="I610" i="1"/>
  <c r="J610" i="1" s="1"/>
  <c r="I609" i="1"/>
  <c r="J609" i="1" s="1"/>
  <c r="I608" i="1"/>
  <c r="J608" i="1" s="1"/>
  <c r="I607" i="1"/>
  <c r="J607" i="1" s="1"/>
  <c r="I606" i="1"/>
  <c r="J606" i="1" s="1"/>
  <c r="I605" i="1"/>
  <c r="J605" i="1" s="1"/>
  <c r="I604" i="1"/>
  <c r="J604" i="1" s="1"/>
  <c r="I603" i="1"/>
  <c r="J603" i="1" s="1"/>
  <c r="I602" i="1"/>
  <c r="J602" i="1" s="1"/>
  <c r="I601" i="1"/>
  <c r="J601" i="1" s="1"/>
  <c r="H600" i="1"/>
  <c r="J600" i="1" s="1"/>
  <c r="J599" i="1"/>
  <c r="G598" i="1"/>
  <c r="I598" i="1" s="1"/>
  <c r="J598" i="1" s="1"/>
  <c r="I597" i="1"/>
  <c r="J597" i="1" s="1"/>
  <c r="H596" i="1"/>
  <c r="J596" i="1" s="1"/>
  <c r="I595" i="1"/>
  <c r="J595" i="1" s="1"/>
  <c r="I593" i="1"/>
  <c r="J593" i="1" s="1"/>
  <c r="I592" i="1"/>
  <c r="J592" i="1" s="1"/>
  <c r="I590" i="1"/>
  <c r="J590" i="1" s="1"/>
  <c r="I589" i="1"/>
  <c r="J589" i="1" s="1"/>
  <c r="I588" i="1"/>
  <c r="J588" i="1" s="1"/>
  <c r="I587" i="1"/>
  <c r="J587" i="1" s="1"/>
  <c r="I586" i="1"/>
  <c r="J586" i="1" s="1"/>
  <c r="I585" i="1"/>
  <c r="J585" i="1" s="1"/>
  <c r="I584" i="1"/>
  <c r="J584" i="1" s="1"/>
  <c r="I583" i="1"/>
  <c r="J583" i="1" s="1"/>
  <c r="I582" i="1"/>
  <c r="J582" i="1" s="1"/>
  <c r="E581" i="1"/>
  <c r="E594" i="1" s="1"/>
  <c r="H594" i="1" s="1"/>
  <c r="J594" i="1" s="1"/>
  <c r="I577" i="1"/>
  <c r="G576" i="1" s="1"/>
  <c r="I576" i="1" s="1"/>
  <c r="J576" i="1" s="1"/>
  <c r="H577" i="1"/>
  <c r="I574" i="1"/>
  <c r="J574" i="1" s="1"/>
  <c r="I573" i="1"/>
  <c r="J573" i="1" s="1"/>
  <c r="E572" i="1"/>
  <c r="H572" i="1" s="1"/>
  <c r="J572" i="1" s="1"/>
  <c r="I571" i="1"/>
  <c r="J571" i="1" s="1"/>
  <c r="I570" i="1"/>
  <c r="J570" i="1" s="1"/>
  <c r="I569" i="1"/>
  <c r="J569" i="1" s="1"/>
  <c r="I568" i="1"/>
  <c r="J568" i="1" s="1"/>
  <c r="I567" i="1"/>
  <c r="J567" i="1" s="1"/>
  <c r="I566" i="1"/>
  <c r="J566" i="1" s="1"/>
  <c r="I565" i="1"/>
  <c r="J565" i="1" s="1"/>
  <c r="I564" i="1"/>
  <c r="J564" i="1" s="1"/>
  <c r="I563" i="1"/>
  <c r="J563" i="1" s="1"/>
  <c r="H562" i="1"/>
  <c r="J562" i="1" s="1"/>
  <c r="I561" i="1"/>
  <c r="J561" i="1" s="1"/>
  <c r="I560" i="1"/>
  <c r="J560" i="1" s="1"/>
  <c r="I559" i="1"/>
  <c r="J559" i="1" s="1"/>
  <c r="I558" i="1"/>
  <c r="J558" i="1" s="1"/>
  <c r="I557" i="1"/>
  <c r="J557" i="1" s="1"/>
  <c r="I556" i="1"/>
  <c r="J556" i="1" s="1"/>
  <c r="I555" i="1"/>
  <c r="J555" i="1" s="1"/>
  <c r="I554" i="1"/>
  <c r="J554" i="1" s="1"/>
  <c r="E553" i="1"/>
  <c r="H553" i="1" s="1"/>
  <c r="J553" i="1" s="1"/>
  <c r="G552" i="1"/>
  <c r="I552" i="1" s="1"/>
  <c r="J552" i="1" s="1"/>
  <c r="G551" i="1"/>
  <c r="I551" i="1" s="1"/>
  <c r="J551" i="1" s="1"/>
  <c r="G550" i="1"/>
  <c r="I550" i="1" s="1"/>
  <c r="J550" i="1" s="1"/>
  <c r="E549" i="1"/>
  <c r="H549" i="1" s="1"/>
  <c r="J549" i="1" s="1"/>
  <c r="N546" i="1"/>
  <c r="I546" i="1"/>
  <c r="H546" i="1"/>
  <c r="G543" i="1"/>
  <c r="I543" i="1" s="1"/>
  <c r="J543" i="1" s="1"/>
  <c r="E542" i="1"/>
  <c r="H542" i="1" s="1"/>
  <c r="J542" i="1" s="1"/>
  <c r="I541" i="1"/>
  <c r="J541" i="1" s="1"/>
  <c r="I540" i="1"/>
  <c r="J540" i="1" s="1"/>
  <c r="I539" i="1"/>
  <c r="J539" i="1" s="1"/>
  <c r="I538" i="1"/>
  <c r="J538" i="1" s="1"/>
  <c r="I537" i="1"/>
  <c r="J537" i="1" s="1"/>
  <c r="I536" i="1"/>
  <c r="J536" i="1" s="1"/>
  <c r="I535" i="1"/>
  <c r="J535" i="1" s="1"/>
  <c r="I534" i="1"/>
  <c r="J534" i="1" s="1"/>
  <c r="I533" i="1"/>
  <c r="J533" i="1" s="1"/>
  <c r="H532" i="1"/>
  <c r="J532" i="1" s="1"/>
  <c r="I531" i="1"/>
  <c r="J531" i="1" s="1"/>
  <c r="H530" i="1"/>
  <c r="J530" i="1" s="1"/>
  <c r="I529" i="1"/>
  <c r="J529" i="1" s="1"/>
  <c r="H528" i="1"/>
  <c r="J528" i="1" s="1"/>
  <c r="I527" i="1"/>
  <c r="J527" i="1" s="1"/>
  <c r="H526" i="1"/>
  <c r="J526" i="1" s="1"/>
  <c r="N523" i="1"/>
  <c r="I523" i="1"/>
  <c r="G522" i="1" s="1"/>
  <c r="I522" i="1" s="1"/>
  <c r="J522" i="1" s="1"/>
  <c r="H523" i="1"/>
  <c r="I520" i="1"/>
  <c r="H520" i="1"/>
  <c r="I518" i="1"/>
  <c r="J518" i="1" s="1"/>
  <c r="I517" i="1"/>
  <c r="J517" i="1" s="1"/>
  <c r="I516" i="1"/>
  <c r="J516" i="1" s="1"/>
  <c r="I515" i="1"/>
  <c r="J515" i="1" s="1"/>
  <c r="I514" i="1"/>
  <c r="J514" i="1" s="1"/>
  <c r="I513" i="1"/>
  <c r="J513" i="1" s="1"/>
  <c r="I512" i="1"/>
  <c r="J512" i="1" s="1"/>
  <c r="I511" i="1"/>
  <c r="J511" i="1" s="1"/>
  <c r="I510" i="1"/>
  <c r="J510" i="1" s="1"/>
  <c r="I509" i="1"/>
  <c r="J509" i="1" s="1"/>
  <c r="I508" i="1"/>
  <c r="J508" i="1" s="1"/>
  <c r="I507" i="1"/>
  <c r="J507" i="1" s="1"/>
  <c r="I506" i="1"/>
  <c r="J506" i="1" s="1"/>
  <c r="I505" i="1"/>
  <c r="J505" i="1" s="1"/>
  <c r="I504" i="1"/>
  <c r="J504" i="1" s="1"/>
  <c r="G503" i="1"/>
  <c r="I503" i="1" s="1"/>
  <c r="J503" i="1" s="1"/>
  <c r="G502" i="1"/>
  <c r="I502" i="1" s="1"/>
  <c r="J502" i="1" s="1"/>
  <c r="G501" i="1"/>
  <c r="I501" i="1" s="1"/>
  <c r="J501" i="1" s="1"/>
  <c r="G500" i="1"/>
  <c r="I500" i="1" s="1"/>
  <c r="J500" i="1" s="1"/>
  <c r="G499" i="1"/>
  <c r="I499" i="1" s="1"/>
  <c r="J499" i="1" s="1"/>
  <c r="G498" i="1"/>
  <c r="I498" i="1" s="1"/>
  <c r="J498" i="1" s="1"/>
  <c r="G497" i="1"/>
  <c r="I497" i="1" s="1"/>
  <c r="J497" i="1" s="1"/>
  <c r="H496" i="1"/>
  <c r="J496" i="1" s="1"/>
  <c r="G495" i="1"/>
  <c r="I495" i="1" s="1"/>
  <c r="J495" i="1" s="1"/>
  <c r="I494" i="1"/>
  <c r="J494" i="1" s="1"/>
  <c r="I493" i="1"/>
  <c r="J493" i="1" s="1"/>
  <c r="I492" i="1"/>
  <c r="J492" i="1" s="1"/>
  <c r="I491" i="1"/>
  <c r="J491" i="1" s="1"/>
  <c r="H490" i="1"/>
  <c r="J490" i="1" s="1"/>
  <c r="I489" i="1"/>
  <c r="J489" i="1" s="1"/>
  <c r="I488" i="1"/>
  <c r="J488" i="1" s="1"/>
  <c r="I487" i="1"/>
  <c r="J487" i="1" s="1"/>
  <c r="I486" i="1"/>
  <c r="J486" i="1" s="1"/>
  <c r="I485" i="1"/>
  <c r="J485" i="1" s="1"/>
  <c r="I484" i="1"/>
  <c r="J484" i="1" s="1"/>
  <c r="I483" i="1"/>
  <c r="J483" i="1" s="1"/>
  <c r="I482" i="1"/>
  <c r="J482" i="1" s="1"/>
  <c r="I481" i="1"/>
  <c r="J481" i="1" s="1"/>
  <c r="I480" i="1"/>
  <c r="J480" i="1" s="1"/>
  <c r="I479" i="1"/>
  <c r="J479" i="1" s="1"/>
  <c r="G478" i="1"/>
  <c r="I478" i="1" s="1"/>
  <c r="J478" i="1" s="1"/>
  <c r="G477" i="1"/>
  <c r="I477" i="1" s="1"/>
  <c r="J477" i="1" s="1"/>
  <c r="I476" i="1"/>
  <c r="J476" i="1" s="1"/>
  <c r="G475" i="1"/>
  <c r="I475" i="1" s="1"/>
  <c r="J475" i="1" s="1"/>
  <c r="G474" i="1"/>
  <c r="I474" i="1" s="1"/>
  <c r="J474" i="1" s="1"/>
  <c r="G473" i="1"/>
  <c r="I473" i="1" s="1"/>
  <c r="J473" i="1" s="1"/>
  <c r="G472" i="1"/>
  <c r="I472" i="1" s="1"/>
  <c r="J472" i="1" s="1"/>
  <c r="G471" i="1"/>
  <c r="I471" i="1" s="1"/>
  <c r="J471" i="1" s="1"/>
  <c r="I470" i="1"/>
  <c r="J470" i="1" s="1"/>
  <c r="I469" i="1"/>
  <c r="H469" i="1"/>
  <c r="I468" i="1"/>
  <c r="J468" i="1" s="1"/>
  <c r="I467" i="1"/>
  <c r="J467" i="1" s="1"/>
  <c r="I466" i="1"/>
  <c r="J466" i="1" s="1"/>
  <c r="I465" i="1"/>
  <c r="J465" i="1" s="1"/>
  <c r="I464" i="1"/>
  <c r="J464" i="1" s="1"/>
  <c r="I463" i="1"/>
  <c r="J463" i="1" s="1"/>
  <c r="I462" i="1"/>
  <c r="J462" i="1" s="1"/>
  <c r="I461" i="1"/>
  <c r="J461" i="1" s="1"/>
  <c r="I460" i="1"/>
  <c r="J460" i="1" s="1"/>
  <c r="I459" i="1"/>
  <c r="J459" i="1" s="1"/>
  <c r="G458" i="1"/>
  <c r="I458" i="1" s="1"/>
  <c r="J458" i="1" s="1"/>
  <c r="I457" i="1"/>
  <c r="J457" i="1" s="1"/>
  <c r="I456" i="1"/>
  <c r="J456" i="1" s="1"/>
  <c r="I455" i="1"/>
  <c r="J455" i="1" s="1"/>
  <c r="I454" i="1"/>
  <c r="J454" i="1" s="1"/>
  <c r="I453" i="1"/>
  <c r="H453" i="1"/>
  <c r="I451" i="1"/>
  <c r="J451" i="1" s="1"/>
  <c r="I450" i="1"/>
  <c r="J450" i="1" s="1"/>
  <c r="I449" i="1"/>
  <c r="J449" i="1" s="1"/>
  <c r="I448" i="1"/>
  <c r="J448" i="1" s="1"/>
  <c r="I447" i="1"/>
  <c r="J447" i="1" s="1"/>
  <c r="I446" i="1"/>
  <c r="J446" i="1" s="1"/>
  <c r="I445" i="1"/>
  <c r="J445" i="1" s="1"/>
  <c r="I444" i="1"/>
  <c r="J444" i="1" s="1"/>
  <c r="I443" i="1"/>
  <c r="H443" i="1"/>
  <c r="G442" i="1"/>
  <c r="I442" i="1" s="1"/>
  <c r="J442" i="1" s="1"/>
  <c r="I441" i="1"/>
  <c r="H441" i="1"/>
  <c r="I440" i="1"/>
  <c r="J440" i="1" s="1"/>
  <c r="I439" i="1"/>
  <c r="J439" i="1" s="1"/>
  <c r="I438" i="1"/>
  <c r="J438" i="1" s="1"/>
  <c r="I437" i="1"/>
  <c r="J437" i="1" s="1"/>
  <c r="I436" i="1"/>
  <c r="J436" i="1" s="1"/>
  <c r="I435" i="1"/>
  <c r="J435" i="1" s="1"/>
  <c r="I434" i="1"/>
  <c r="J434" i="1" s="1"/>
  <c r="I433" i="1"/>
  <c r="J433" i="1" s="1"/>
  <c r="I432" i="1"/>
  <c r="J432" i="1" s="1"/>
  <c r="I431" i="1"/>
  <c r="H431" i="1"/>
  <c r="I430" i="1"/>
  <c r="J430" i="1" s="1"/>
  <c r="I429" i="1"/>
  <c r="J429" i="1" s="1"/>
  <c r="I428" i="1"/>
  <c r="J428" i="1" s="1"/>
  <c r="H427" i="1"/>
  <c r="J427" i="1" s="1"/>
  <c r="I426" i="1"/>
  <c r="J426" i="1" s="1"/>
  <c r="I425" i="1"/>
  <c r="J425" i="1" s="1"/>
  <c r="I424" i="1"/>
  <c r="J424" i="1" s="1"/>
  <c r="H423" i="1"/>
  <c r="J423" i="1" s="1"/>
  <c r="E419" i="1"/>
  <c r="I419" i="1" s="1"/>
  <c r="J419" i="1" s="1"/>
  <c r="I418" i="1"/>
  <c r="J418" i="1" s="1"/>
  <c r="I417" i="1"/>
  <c r="J417" i="1" s="1"/>
  <c r="E416" i="1"/>
  <c r="I416" i="1" s="1"/>
  <c r="J416" i="1" s="1"/>
  <c r="H415" i="1"/>
  <c r="J415" i="1" s="1"/>
  <c r="G413" i="1"/>
  <c r="E413" i="1"/>
  <c r="E412" i="1"/>
  <c r="E414" i="1" s="1"/>
  <c r="I414" i="1" s="1"/>
  <c r="L414" i="1" s="1"/>
  <c r="I408" i="1"/>
  <c r="H408" i="1"/>
  <c r="H407" i="1"/>
  <c r="J407" i="1" s="1"/>
  <c r="E403" i="1"/>
  <c r="H403" i="1" s="1"/>
  <c r="E399" i="1"/>
  <c r="H399" i="1" s="1"/>
  <c r="E394" i="1"/>
  <c r="E398" i="1" s="1"/>
  <c r="H398" i="1" s="1"/>
  <c r="K398" i="1" s="1"/>
  <c r="E386" i="1"/>
  <c r="I386" i="1" s="1"/>
  <c r="L386" i="1" s="1"/>
  <c r="E381" i="1"/>
  <c r="E385" i="1" s="1"/>
  <c r="H385" i="1" s="1"/>
  <c r="K385" i="1" s="1"/>
  <c r="E378" i="1"/>
  <c r="I378" i="1" s="1"/>
  <c r="L378" i="1" s="1"/>
  <c r="G377" i="1"/>
  <c r="G373" i="1"/>
  <c r="E372" i="1"/>
  <c r="E373" i="1" s="1"/>
  <c r="G371" i="1"/>
  <c r="E370" i="1"/>
  <c r="I370" i="1" s="1"/>
  <c r="L370" i="1" s="1"/>
  <c r="E367" i="1"/>
  <c r="E368" i="1" s="1"/>
  <c r="J363" i="1"/>
  <c r="J362" i="1"/>
  <c r="E358" i="1"/>
  <c r="I358" i="1" s="1"/>
  <c r="L358" i="1" s="1"/>
  <c r="E357" i="1"/>
  <c r="N357" i="1" s="1"/>
  <c r="I356" i="1"/>
  <c r="F356" i="1"/>
  <c r="H356" i="1" s="1"/>
  <c r="I355" i="1"/>
  <c r="H355" i="1"/>
  <c r="G353" i="1"/>
  <c r="E351" i="1"/>
  <c r="I351" i="1" s="1"/>
  <c r="L351" i="1" s="1"/>
  <c r="E348" i="1"/>
  <c r="E350" i="1" s="1"/>
  <c r="H350" i="1" s="1"/>
  <c r="K350" i="1" s="1"/>
  <c r="E345" i="1"/>
  <c r="I345" i="1" s="1"/>
  <c r="L345" i="1" s="1"/>
  <c r="E344" i="1"/>
  <c r="H344" i="1" s="1"/>
  <c r="K344" i="1" s="1"/>
  <c r="E342" i="1"/>
  <c r="I342" i="1" s="1"/>
  <c r="L342" i="1" s="1"/>
  <c r="G341" i="1"/>
  <c r="E340" i="1"/>
  <c r="H340" i="1" s="1"/>
  <c r="E334" i="1"/>
  <c r="E333" i="1"/>
  <c r="E335" i="1" s="1"/>
  <c r="H335" i="1" s="1"/>
  <c r="K335" i="1" s="1"/>
  <c r="E332" i="1"/>
  <c r="H332" i="1" s="1"/>
  <c r="K332" i="1" s="1"/>
  <c r="I328" i="1"/>
  <c r="H328" i="1"/>
  <c r="I327" i="1"/>
  <c r="H327" i="1"/>
  <c r="E326" i="1"/>
  <c r="I325" i="1"/>
  <c r="H325" i="1"/>
  <c r="I324" i="1"/>
  <c r="H324" i="1"/>
  <c r="I323" i="1"/>
  <c r="H323" i="1"/>
  <c r="E322" i="1"/>
  <c r="H322" i="1" s="1"/>
  <c r="H321" i="1"/>
  <c r="G321" i="1"/>
  <c r="I321" i="1" s="1"/>
  <c r="E320" i="1"/>
  <c r="H320" i="1" s="1"/>
  <c r="E319" i="1"/>
  <c r="I319" i="1" s="1"/>
  <c r="L319" i="1" s="1"/>
  <c r="E318" i="1"/>
  <c r="H318" i="1" s="1"/>
  <c r="K318" i="1" s="1"/>
  <c r="I317" i="1"/>
  <c r="H317" i="1"/>
  <c r="E316" i="1"/>
  <c r="I316" i="1" s="1"/>
  <c r="L316" i="1" s="1"/>
  <c r="E315" i="1"/>
  <c r="I315" i="1" s="1"/>
  <c r="L315" i="1" s="1"/>
  <c r="H314" i="1"/>
  <c r="J314" i="1" s="1"/>
  <c r="E310" i="1"/>
  <c r="I310" i="1" s="1"/>
  <c r="L310" i="1" s="1"/>
  <c r="E309" i="1"/>
  <c r="I309" i="1" s="1"/>
  <c r="L309" i="1" s="1"/>
  <c r="E308" i="1"/>
  <c r="H308" i="1" s="1"/>
  <c r="K308" i="1" s="1"/>
  <c r="J304" i="1"/>
  <c r="J303" i="1"/>
  <c r="E297" i="1"/>
  <c r="I297" i="1" s="1"/>
  <c r="L297" i="1" s="1"/>
  <c r="E296" i="1"/>
  <c r="I296" i="1" s="1"/>
  <c r="E295" i="1"/>
  <c r="I295" i="1" s="1"/>
  <c r="I294" i="1"/>
  <c r="H294" i="1"/>
  <c r="E293" i="1"/>
  <c r="I293" i="1" s="1"/>
  <c r="L293" i="1" s="1"/>
  <c r="E292" i="1"/>
  <c r="I292" i="1" s="1"/>
  <c r="L292" i="1" s="1"/>
  <c r="E291" i="1"/>
  <c r="I291" i="1" s="1"/>
  <c r="L291" i="1" s="1"/>
  <c r="E290" i="1"/>
  <c r="H290" i="1" s="1"/>
  <c r="K290" i="1" s="1"/>
  <c r="E289" i="1"/>
  <c r="I289" i="1" s="1"/>
  <c r="L289" i="1" s="1"/>
  <c r="E288" i="1"/>
  <c r="I288" i="1" s="1"/>
  <c r="L288" i="1" s="1"/>
  <c r="E287" i="1"/>
  <c r="H287" i="1" s="1"/>
  <c r="K287" i="1" s="1"/>
  <c r="E286" i="1"/>
  <c r="I286" i="1" s="1"/>
  <c r="L286" i="1" s="1"/>
  <c r="E285" i="1"/>
  <c r="I285" i="1" s="1"/>
  <c r="L285" i="1" s="1"/>
  <c r="E284" i="1"/>
  <c r="I284" i="1" s="1"/>
  <c r="L284" i="1" s="1"/>
  <c r="E282" i="1"/>
  <c r="I282" i="1" s="1"/>
  <c r="L282" i="1" s="1"/>
  <c r="E281" i="1"/>
  <c r="I281" i="1" s="1"/>
  <c r="L281" i="1" s="1"/>
  <c r="E280" i="1"/>
  <c r="I280" i="1" s="1"/>
  <c r="E279" i="1"/>
  <c r="I279" i="1" s="1"/>
  <c r="L279" i="1" s="1"/>
  <c r="E278" i="1"/>
  <c r="H278" i="1" s="1"/>
  <c r="I277" i="1"/>
  <c r="H277" i="1"/>
  <c r="E276" i="1"/>
  <c r="I276" i="1" s="1"/>
  <c r="L276" i="1" s="1"/>
  <c r="E275" i="1"/>
  <c r="I275" i="1" s="1"/>
  <c r="L275" i="1" s="1"/>
  <c r="E274" i="1"/>
  <c r="I274" i="1" s="1"/>
  <c r="L274" i="1" s="1"/>
  <c r="E273" i="1"/>
  <c r="I273" i="1" s="1"/>
  <c r="L273" i="1" s="1"/>
  <c r="E272" i="1"/>
  <c r="I272" i="1" s="1"/>
  <c r="L272" i="1" s="1"/>
  <c r="E271" i="1"/>
  <c r="H271" i="1" s="1"/>
  <c r="K271" i="1" s="1"/>
  <c r="E270" i="1"/>
  <c r="H270" i="1" s="1"/>
  <c r="K270" i="1" s="1"/>
  <c r="E269" i="1"/>
  <c r="H269" i="1" s="1"/>
  <c r="E268" i="1"/>
  <c r="H268" i="1" s="1"/>
  <c r="K268" i="1" s="1"/>
  <c r="E267" i="1"/>
  <c r="H267" i="1" s="1"/>
  <c r="E266" i="1"/>
  <c r="H266" i="1" s="1"/>
  <c r="K266" i="1" s="1"/>
  <c r="E265" i="1"/>
  <c r="H265" i="1" s="1"/>
  <c r="K265" i="1" s="1"/>
  <c r="E264" i="1"/>
  <c r="H264" i="1" s="1"/>
  <c r="K264" i="1" s="1"/>
  <c r="E263" i="1"/>
  <c r="H263" i="1" s="1"/>
  <c r="K263" i="1" s="1"/>
  <c r="E262" i="1"/>
  <c r="H262" i="1" s="1"/>
  <c r="K262" i="1" s="1"/>
  <c r="E261" i="1"/>
  <c r="H261" i="1" s="1"/>
  <c r="K261" i="1" s="1"/>
  <c r="E260" i="1"/>
  <c r="H260" i="1" s="1"/>
  <c r="K260" i="1" s="1"/>
  <c r="E259" i="1"/>
  <c r="H259" i="1" s="1"/>
  <c r="K259" i="1" s="1"/>
  <c r="E256" i="1"/>
  <c r="H256" i="1" s="1"/>
  <c r="K256" i="1" s="1"/>
  <c r="E251" i="1"/>
  <c r="H251" i="1" s="1"/>
  <c r="K251" i="1" s="1"/>
  <c r="E250" i="1"/>
  <c r="H250" i="1" s="1"/>
  <c r="K250" i="1" s="1"/>
  <c r="G249" i="1"/>
  <c r="E248" i="1"/>
  <c r="H248" i="1" s="1"/>
  <c r="E241" i="1"/>
  <c r="H241" i="1" s="1"/>
  <c r="K241" i="1" s="1"/>
  <c r="E240" i="1"/>
  <c r="H240" i="1" s="1"/>
  <c r="K240" i="1" s="1"/>
  <c r="E239" i="1"/>
  <c r="H239" i="1" s="1"/>
  <c r="K239" i="1" s="1"/>
  <c r="I238" i="1"/>
  <c r="H238" i="1"/>
  <c r="E237" i="1"/>
  <c r="I237" i="1" s="1"/>
  <c r="I236" i="1"/>
  <c r="H236" i="1"/>
  <c r="I235" i="1"/>
  <c r="H235" i="1"/>
  <c r="E234" i="1"/>
  <c r="I234" i="1" s="1"/>
  <c r="E233" i="1"/>
  <c r="I233" i="1" s="1"/>
  <c r="H232" i="1"/>
  <c r="J232" i="1" s="1"/>
  <c r="J228" i="1"/>
  <c r="J227" i="1"/>
  <c r="E224" i="1"/>
  <c r="I224" i="1" s="1"/>
  <c r="E223" i="1"/>
  <c r="H223" i="1" s="1"/>
  <c r="K223" i="1" s="1"/>
  <c r="E222" i="1"/>
  <c r="H222" i="1" s="1"/>
  <c r="E221" i="1"/>
  <c r="H221" i="1" s="1"/>
  <c r="K221" i="1" s="1"/>
  <c r="E220" i="1"/>
  <c r="I220" i="1" s="1"/>
  <c r="L220" i="1" s="1"/>
  <c r="I219" i="1"/>
  <c r="J219" i="1" s="1"/>
  <c r="H219" i="1"/>
  <c r="I218" i="1"/>
  <c r="J218" i="1" s="1"/>
  <c r="H218" i="1"/>
  <c r="E217" i="1"/>
  <c r="H217" i="1" s="1"/>
  <c r="I216" i="1"/>
  <c r="J216" i="1" s="1"/>
  <c r="H216" i="1"/>
  <c r="I215" i="1"/>
  <c r="H215" i="1"/>
  <c r="I214" i="1"/>
  <c r="H214" i="1"/>
  <c r="J214" i="1" s="1"/>
  <c r="I213" i="1"/>
  <c r="J213" i="1" s="1"/>
  <c r="H213" i="1"/>
  <c r="I212" i="1"/>
  <c r="H212" i="1"/>
  <c r="I211" i="1"/>
  <c r="H211" i="1"/>
  <c r="I210" i="1"/>
  <c r="H210" i="1"/>
  <c r="I209" i="1"/>
  <c r="H209" i="1"/>
  <c r="H208" i="1"/>
  <c r="J204" i="1"/>
  <c r="J203" i="1"/>
  <c r="I201" i="1"/>
  <c r="I200" i="1"/>
  <c r="H200" i="1"/>
  <c r="E198" i="1"/>
  <c r="H198" i="1" s="1"/>
  <c r="K198" i="1" s="1"/>
  <c r="F197" i="1"/>
  <c r="E197" i="1"/>
  <c r="I197" i="1" s="1"/>
  <c r="L197" i="1" s="1"/>
  <c r="E196" i="1"/>
  <c r="I196" i="1" s="1"/>
  <c r="I195" i="1"/>
  <c r="H195" i="1"/>
  <c r="I194" i="1"/>
  <c r="H194" i="1"/>
  <c r="I193" i="1"/>
  <c r="H193" i="1"/>
  <c r="I192" i="1"/>
  <c r="H192" i="1"/>
  <c r="I191" i="1"/>
  <c r="H191" i="1"/>
  <c r="N190" i="1"/>
  <c r="I190" i="1"/>
  <c r="T190" i="1" s="1"/>
  <c r="H190" i="1"/>
  <c r="N189" i="1"/>
  <c r="I189" i="1"/>
  <c r="H189" i="1"/>
  <c r="N188" i="1"/>
  <c r="I188" i="1"/>
  <c r="T188" i="1" s="1"/>
  <c r="H188" i="1"/>
  <c r="I187" i="1"/>
  <c r="H187" i="1"/>
  <c r="N186" i="1"/>
  <c r="I186" i="1"/>
  <c r="T186" i="1" s="1"/>
  <c r="H186" i="1"/>
  <c r="N185" i="1"/>
  <c r="I185" i="1"/>
  <c r="T185" i="1" s="1"/>
  <c r="H185" i="1"/>
  <c r="N184" i="1"/>
  <c r="I184" i="1"/>
  <c r="T184" i="1" s="1"/>
  <c r="H184" i="1"/>
  <c r="N183" i="1"/>
  <c r="I183" i="1"/>
  <c r="T183" i="1" s="1"/>
  <c r="H183" i="1"/>
  <c r="E182" i="1"/>
  <c r="H182" i="1" s="1"/>
  <c r="J182" i="1" s="1"/>
  <c r="J178" i="1"/>
  <c r="J177" i="1"/>
  <c r="E174" i="1"/>
  <c r="I174" i="1" s="1"/>
  <c r="L174" i="1" s="1"/>
  <c r="I173" i="1"/>
  <c r="H173" i="1"/>
  <c r="I172" i="1"/>
  <c r="H172" i="1"/>
  <c r="I171" i="1"/>
  <c r="H171" i="1"/>
  <c r="I170" i="1"/>
  <c r="H170" i="1"/>
  <c r="E167" i="1"/>
  <c r="E169" i="1" s="1"/>
  <c r="E166" i="1"/>
  <c r="I166" i="1" s="1"/>
  <c r="E165" i="1"/>
  <c r="E164" i="1"/>
  <c r="I164" i="1" s="1"/>
  <c r="E163" i="1"/>
  <c r="I163" i="1" s="1"/>
  <c r="I162" i="1"/>
  <c r="E161" i="1"/>
  <c r="I161" i="1" s="1"/>
  <c r="E160" i="1"/>
  <c r="I160" i="1" s="1"/>
  <c r="E159" i="1"/>
  <c r="I159" i="1" s="1"/>
  <c r="E158" i="1"/>
  <c r="I158" i="1" s="1"/>
  <c r="I157" i="1"/>
  <c r="F157" i="1"/>
  <c r="F162" i="1" s="1"/>
  <c r="H162" i="1" s="1"/>
  <c r="F154" i="1"/>
  <c r="F167" i="1" s="1"/>
  <c r="E154" i="1"/>
  <c r="E155" i="1" s="1"/>
  <c r="I155" i="1" s="1"/>
  <c r="L155" i="1" s="1"/>
  <c r="I153" i="1"/>
  <c r="H153" i="1"/>
  <c r="I152" i="1"/>
  <c r="H152" i="1"/>
  <c r="I151" i="1"/>
  <c r="H151" i="1"/>
  <c r="I150" i="1"/>
  <c r="H150" i="1"/>
  <c r="I149" i="1"/>
  <c r="H149" i="1"/>
  <c r="I148" i="1"/>
  <c r="H148" i="1"/>
  <c r="I147" i="1"/>
  <c r="H147" i="1"/>
  <c r="I146" i="1"/>
  <c r="H146" i="1"/>
  <c r="I145" i="1"/>
  <c r="H145" i="1"/>
  <c r="I144" i="1"/>
  <c r="H144" i="1"/>
  <c r="I143" i="1"/>
  <c r="H143" i="1"/>
  <c r="I142" i="1"/>
  <c r="H142" i="1"/>
  <c r="I141" i="1"/>
  <c r="H141" i="1"/>
  <c r="I140" i="1"/>
  <c r="H140" i="1"/>
  <c r="E139" i="1"/>
  <c r="I139" i="1" s="1"/>
  <c r="E138" i="1"/>
  <c r="I138" i="1" s="1"/>
  <c r="L138" i="1" s="1"/>
  <c r="E135" i="1"/>
  <c r="E134" i="1"/>
  <c r="I134" i="1" s="1"/>
  <c r="E133" i="1"/>
  <c r="I133" i="1" s="1"/>
  <c r="I132" i="1"/>
  <c r="H132" i="1"/>
  <c r="E131" i="1"/>
  <c r="I131" i="1" s="1"/>
  <c r="E130" i="1"/>
  <c r="I130" i="1" s="1"/>
  <c r="I129" i="1"/>
  <c r="H129" i="1"/>
  <c r="I128" i="1"/>
  <c r="H128" i="1"/>
  <c r="E127" i="1"/>
  <c r="I127" i="1" s="1"/>
  <c r="E126" i="1"/>
  <c r="I125" i="1"/>
  <c r="F125" i="1"/>
  <c r="H125" i="1" s="1"/>
  <c r="I124" i="1"/>
  <c r="H124" i="1"/>
  <c r="E123" i="1"/>
  <c r="I123" i="1" s="1"/>
  <c r="E122" i="1"/>
  <c r="I122" i="1" s="1"/>
  <c r="H121" i="1"/>
  <c r="J121" i="1" s="1"/>
  <c r="I120" i="1"/>
  <c r="I119" i="1"/>
  <c r="J119" i="1" s="1"/>
  <c r="I118" i="1"/>
  <c r="J118" i="1" s="1"/>
  <c r="E117" i="1"/>
  <c r="I117" i="1" s="1"/>
  <c r="J117" i="1" s="1"/>
  <c r="E116" i="1"/>
  <c r="I116" i="1" s="1"/>
  <c r="J116" i="1" s="1"/>
  <c r="H115" i="1"/>
  <c r="J115" i="1" s="1"/>
  <c r="J111" i="1"/>
  <c r="J110" i="1"/>
  <c r="H107" i="1"/>
  <c r="J107" i="1" s="1"/>
  <c r="E106" i="1"/>
  <c r="I106" i="1" s="1"/>
  <c r="J106" i="1" s="1"/>
  <c r="E105" i="1"/>
  <c r="I105" i="1" s="1"/>
  <c r="J105" i="1" s="1"/>
  <c r="H104" i="1"/>
  <c r="J104" i="1" s="1"/>
  <c r="E103" i="1"/>
  <c r="I103" i="1" s="1"/>
  <c r="J103" i="1" s="1"/>
  <c r="H102" i="1"/>
  <c r="J102" i="1" s="1"/>
  <c r="I100" i="1"/>
  <c r="J100" i="1" s="1"/>
  <c r="I99" i="1"/>
  <c r="J99" i="1" s="1"/>
  <c r="I98" i="1"/>
  <c r="J98" i="1" s="1"/>
  <c r="I97" i="1"/>
  <c r="H97" i="1"/>
  <c r="I96" i="1"/>
  <c r="I95" i="1"/>
  <c r="I94" i="1"/>
  <c r="I93" i="1"/>
  <c r="I92" i="1"/>
  <c r="I91" i="1"/>
  <c r="I90" i="1"/>
  <c r="I89" i="1"/>
  <c r="I88" i="1"/>
  <c r="I87" i="1"/>
  <c r="H87" i="1"/>
  <c r="E84" i="1"/>
  <c r="I83" i="1"/>
  <c r="J83" i="1" s="1"/>
  <c r="I82" i="1"/>
  <c r="J82" i="1" s="1"/>
  <c r="I81" i="1"/>
  <c r="J81" i="1" s="1"/>
  <c r="I80" i="1"/>
  <c r="J80" i="1" s="1"/>
  <c r="I79" i="1"/>
  <c r="J79" i="1" s="1"/>
  <c r="I78" i="1"/>
  <c r="J78" i="1" s="1"/>
  <c r="I77" i="1"/>
  <c r="J77" i="1" s="1"/>
  <c r="I76" i="1"/>
  <c r="J76" i="1" s="1"/>
  <c r="I75" i="1"/>
  <c r="H75" i="1"/>
  <c r="I73" i="1"/>
  <c r="J73" i="1" s="1"/>
  <c r="I72" i="1"/>
  <c r="J72" i="1" s="1"/>
  <c r="E71" i="1"/>
  <c r="E74" i="1" s="1"/>
  <c r="I74" i="1" s="1"/>
  <c r="J74" i="1" s="1"/>
  <c r="E68" i="1"/>
  <c r="E66" i="1"/>
  <c r="E67" i="1" s="1"/>
  <c r="I67" i="1" s="1"/>
  <c r="J67" i="1" s="1"/>
  <c r="E65" i="1"/>
  <c r="I65" i="1" s="1"/>
  <c r="J65" i="1" s="1"/>
  <c r="I63" i="1"/>
  <c r="J63" i="1" s="1"/>
  <c r="I62" i="1"/>
  <c r="J62" i="1" s="1"/>
  <c r="I61" i="1"/>
  <c r="J61" i="1" s="1"/>
  <c r="I60" i="1"/>
  <c r="J60" i="1" s="1"/>
  <c r="E59" i="1"/>
  <c r="E64" i="1" s="1"/>
  <c r="I64" i="1" s="1"/>
  <c r="J64" i="1" s="1"/>
  <c r="E57" i="1"/>
  <c r="I56" i="1"/>
  <c r="J56" i="1" s="1"/>
  <c r="H55" i="1"/>
  <c r="H54" i="1"/>
  <c r="J54" i="1" s="1"/>
  <c r="J50" i="1"/>
  <c r="J49" i="1"/>
  <c r="E46" i="1"/>
  <c r="H46" i="1" s="1"/>
  <c r="E45" i="1"/>
  <c r="H45" i="1" s="1"/>
  <c r="E44" i="1"/>
  <c r="H44" i="1" s="1"/>
  <c r="E42" i="1"/>
  <c r="H42" i="1" s="1"/>
  <c r="E40" i="1"/>
  <c r="H40" i="1" s="1"/>
  <c r="E38" i="1"/>
  <c r="H38" i="1" s="1"/>
  <c r="E36" i="1"/>
  <c r="H36" i="1" s="1"/>
  <c r="I34" i="1"/>
  <c r="H34" i="1"/>
  <c r="I33" i="1"/>
  <c r="H33" i="1"/>
  <c r="I32" i="1"/>
  <c r="H32" i="1"/>
  <c r="I31" i="1"/>
  <c r="H31" i="1"/>
  <c r="E30" i="1"/>
  <c r="H30" i="1" s="1"/>
  <c r="E28" i="1"/>
  <c r="I28" i="1" s="1"/>
  <c r="F25" i="1"/>
  <c r="E25" i="1"/>
  <c r="I24" i="1"/>
  <c r="H24" i="1"/>
  <c r="I23" i="1"/>
  <c r="H23" i="1"/>
  <c r="F21" i="1"/>
  <c r="E21" i="1"/>
  <c r="E22" i="1" s="1"/>
  <c r="E19" i="1"/>
  <c r="E20" i="1" s="1"/>
  <c r="E17" i="1"/>
  <c r="E18" i="1" s="1"/>
  <c r="F16" i="1"/>
  <c r="J224" i="1" l="1"/>
  <c r="L224" i="1"/>
  <c r="J248" i="1"/>
  <c r="K248" i="1"/>
  <c r="J267" i="1"/>
  <c r="K267" i="1"/>
  <c r="J278" i="1"/>
  <c r="K278" i="1"/>
  <c r="J403" i="1"/>
  <c r="K403" i="1"/>
  <c r="J233" i="1"/>
  <c r="L233" i="1"/>
  <c r="J234" i="1"/>
  <c r="L234" i="1"/>
  <c r="J399" i="1"/>
  <c r="K399" i="1"/>
  <c r="J222" i="1"/>
  <c r="K222" i="1"/>
  <c r="J237" i="1"/>
  <c r="L237" i="1"/>
  <c r="J295" i="1"/>
  <c r="L295" i="1"/>
  <c r="J217" i="1"/>
  <c r="K217" i="1"/>
  <c r="J269" i="1"/>
  <c r="K269" i="1"/>
  <c r="J280" i="1"/>
  <c r="L280" i="1"/>
  <c r="J296" i="1"/>
  <c r="L296" i="1"/>
  <c r="J340" i="1"/>
  <c r="K340" i="1"/>
  <c r="J31" i="1"/>
  <c r="I709" i="1"/>
  <c r="J709" i="1" s="1"/>
  <c r="I413" i="1"/>
  <c r="E37" i="1"/>
  <c r="H37" i="1" s="1"/>
  <c r="I42" i="1"/>
  <c r="E29" i="1"/>
  <c r="H25" i="1"/>
  <c r="J162" i="1"/>
  <c r="J187" i="1"/>
  <c r="J186" i="1"/>
  <c r="J192" i="1"/>
  <c r="I40" i="1"/>
  <c r="J40" i="1" s="1"/>
  <c r="I45" i="1"/>
  <c r="I21" i="1"/>
  <c r="I38" i="1"/>
  <c r="J38" i="1" s="1"/>
  <c r="E41" i="1"/>
  <c r="H41" i="1" s="1"/>
  <c r="H66" i="1"/>
  <c r="J87" i="1"/>
  <c r="H21" i="1"/>
  <c r="E43" i="1"/>
  <c r="H43" i="1" s="1"/>
  <c r="H19" i="1"/>
  <c r="I36" i="1"/>
  <c r="J36" i="1" s="1"/>
  <c r="E39" i="1"/>
  <c r="H39" i="1" s="1"/>
  <c r="I44" i="1"/>
  <c r="J44" i="1" s="1"/>
  <c r="I46" i="1"/>
  <c r="Z29" i="1"/>
  <c r="J149" i="1"/>
  <c r="J151" i="1"/>
  <c r="J153" i="1"/>
  <c r="J235" i="1"/>
  <c r="J191" i="1"/>
  <c r="J195" i="1"/>
  <c r="H613" i="1"/>
  <c r="J613" i="1" s="1"/>
  <c r="J128" i="1"/>
  <c r="H130" i="1"/>
  <c r="J130" i="1" s="1"/>
  <c r="H164" i="1"/>
  <c r="J164" i="1" s="1"/>
  <c r="J171" i="1"/>
  <c r="J238" i="1"/>
  <c r="Z33" i="1"/>
  <c r="J129" i="1"/>
  <c r="J172" i="1"/>
  <c r="J184" i="1"/>
  <c r="J236" i="1"/>
  <c r="J317" i="1"/>
  <c r="J469" i="1"/>
  <c r="H59" i="1"/>
  <c r="H163" i="1"/>
  <c r="J163" i="1" s="1"/>
  <c r="E672" i="1"/>
  <c r="H672" i="1" s="1"/>
  <c r="J672" i="1" s="1"/>
  <c r="I59" i="1"/>
  <c r="I71" i="1"/>
  <c r="J132" i="1"/>
  <c r="H139" i="1"/>
  <c r="J139" i="1" s="1"/>
  <c r="J147" i="1"/>
  <c r="J212" i="1"/>
  <c r="J327" i="1"/>
  <c r="J356" i="1"/>
  <c r="H581" i="1"/>
  <c r="J581" i="1" s="1"/>
  <c r="Z34" i="1"/>
  <c r="J23" i="1"/>
  <c r="I30" i="1"/>
  <c r="J30" i="1" s="1"/>
  <c r="J34" i="1"/>
  <c r="J125" i="1"/>
  <c r="F135" i="1"/>
  <c r="H135" i="1" s="1"/>
  <c r="K135" i="1" s="1"/>
  <c r="J140" i="1"/>
  <c r="J144" i="1"/>
  <c r="J148" i="1"/>
  <c r="J152" i="1"/>
  <c r="J209" i="1"/>
  <c r="J211" i="1"/>
  <c r="X16" i="1"/>
  <c r="Y16" i="1" s="1"/>
  <c r="H16" i="1"/>
  <c r="I675" i="1"/>
  <c r="H675" i="1"/>
  <c r="H29" i="1"/>
  <c r="I29" i="1"/>
  <c r="H127" i="1"/>
  <c r="J127" i="1" s="1"/>
  <c r="F575" i="1"/>
  <c r="H575" i="1" s="1"/>
  <c r="J575" i="1" s="1"/>
  <c r="J577" i="1"/>
  <c r="P577" i="1" s="1"/>
  <c r="Y30" i="1"/>
  <c r="Y38" i="1"/>
  <c r="Y46" i="1"/>
  <c r="X25" i="1"/>
  <c r="Y25" i="1" s="1"/>
  <c r="F28" i="1"/>
  <c r="J32" i="1"/>
  <c r="J45" i="1"/>
  <c r="AA45" i="1" s="1"/>
  <c r="I68" i="1"/>
  <c r="E69" i="1"/>
  <c r="I69" i="1" s="1"/>
  <c r="J69" i="1" s="1"/>
  <c r="H165" i="1"/>
  <c r="I165" i="1"/>
  <c r="J183" i="1"/>
  <c r="J188" i="1"/>
  <c r="J189" i="1"/>
  <c r="T189" i="1"/>
  <c r="J190" i="1"/>
  <c r="J441" i="1"/>
  <c r="H630" i="1"/>
  <c r="J630" i="1" s="1"/>
  <c r="G698" i="1"/>
  <c r="I698" i="1" s="1"/>
  <c r="J698" i="1" s="1"/>
  <c r="J699" i="1"/>
  <c r="Z39" i="1"/>
  <c r="Z31" i="1"/>
  <c r="AA31" i="1" s="1"/>
  <c r="I84" i="1"/>
  <c r="E85" i="1"/>
  <c r="I85" i="1" s="1"/>
  <c r="J85" i="1" s="1"/>
  <c r="H357" i="1"/>
  <c r="H22" i="1"/>
  <c r="I22" i="1"/>
  <c r="I57" i="1"/>
  <c r="E58" i="1"/>
  <c r="I58" i="1" s="1"/>
  <c r="J58" i="1" s="1"/>
  <c r="J124" i="1"/>
  <c r="I126" i="1"/>
  <c r="H126" i="1"/>
  <c r="J173" i="1"/>
  <c r="J546" i="1"/>
  <c r="J547" i="1" s="1"/>
  <c r="Z42" i="1"/>
  <c r="Z26" i="1"/>
  <c r="T22" i="1"/>
  <c r="V22" i="1" s="1"/>
  <c r="Z22" i="1" s="1"/>
  <c r="T23" i="1"/>
  <c r="V23" i="1" s="1"/>
  <c r="Z23" i="1" s="1"/>
  <c r="J24" i="1"/>
  <c r="J33" i="1"/>
  <c r="J42" i="1"/>
  <c r="J46" i="1"/>
  <c r="J142" i="1"/>
  <c r="J146" i="1"/>
  <c r="J194" i="1"/>
  <c r="J328" i="1"/>
  <c r="J408" i="1"/>
  <c r="Z20" i="1"/>
  <c r="Y36" i="1"/>
  <c r="Z37" i="1"/>
  <c r="Z41" i="1"/>
  <c r="J75" i="1"/>
  <c r="J97" i="1"/>
  <c r="H131" i="1"/>
  <c r="J131" i="1" s="1"/>
  <c r="J141" i="1"/>
  <c r="J143" i="1"/>
  <c r="J145" i="1"/>
  <c r="J150" i="1"/>
  <c r="J185" i="1"/>
  <c r="J193" i="1"/>
  <c r="H196" i="1"/>
  <c r="J196" i="1" s="1"/>
  <c r="J200" i="1"/>
  <c r="J215" i="1"/>
  <c r="I322" i="1"/>
  <c r="J322" i="1" s="1"/>
  <c r="F521" i="1"/>
  <c r="H521" i="1" s="1"/>
  <c r="J521" i="1" s="1"/>
  <c r="J523" i="1"/>
  <c r="J524" i="1" s="1"/>
  <c r="X21" i="1"/>
  <c r="Y21" i="1" s="1"/>
  <c r="Y40" i="1"/>
  <c r="I290" i="1"/>
  <c r="J431" i="1"/>
  <c r="J443" i="1"/>
  <c r="J453" i="1"/>
  <c r="I710" i="1"/>
  <c r="J710" i="1" s="1"/>
  <c r="I217" i="1"/>
  <c r="L217" i="1" s="1"/>
  <c r="Z32" i="1"/>
  <c r="Z24" i="1"/>
  <c r="Z27" i="1"/>
  <c r="Y43" i="1"/>
  <c r="Z44" i="1"/>
  <c r="Z35" i="1"/>
  <c r="Y19" i="1"/>
  <c r="Y17" i="1"/>
  <c r="H138" i="1"/>
  <c r="H233" i="1"/>
  <c r="K233" i="1" s="1"/>
  <c r="H224" i="1"/>
  <c r="K224" i="1" s="1"/>
  <c r="H281" i="1"/>
  <c r="E156" i="1"/>
  <c r="I156" i="1" s="1"/>
  <c r="L156" i="1" s="1"/>
  <c r="I381" i="1"/>
  <c r="L381" i="1" s="1"/>
  <c r="E347" i="1"/>
  <c r="H347" i="1" s="1"/>
  <c r="K347" i="1" s="1"/>
  <c r="H386" i="1"/>
  <c r="E253" i="1"/>
  <c r="H253" i="1" s="1"/>
  <c r="K253" i="1" s="1"/>
  <c r="H316" i="1"/>
  <c r="H272" i="1"/>
  <c r="E257" i="1"/>
  <c r="H257" i="1" s="1"/>
  <c r="K257" i="1" s="1"/>
  <c r="I55" i="1"/>
  <c r="J55" i="1" s="1"/>
  <c r="H288" i="1"/>
  <c r="P51" i="1"/>
  <c r="H319" i="1"/>
  <c r="H167" i="1"/>
  <c r="K167" i="1" s="1"/>
  <c r="H237" i="1"/>
  <c r="K237" i="1" s="1"/>
  <c r="H284" i="1"/>
  <c r="H310" i="1"/>
  <c r="H358" i="1"/>
  <c r="E382" i="1"/>
  <c r="I382" i="1" s="1"/>
  <c r="L382" i="1" s="1"/>
  <c r="I154" i="1"/>
  <c r="L154" i="1" s="1"/>
  <c r="H220" i="1"/>
  <c r="I267" i="1"/>
  <c r="L267" i="1" s="1"/>
  <c r="H280" i="1"/>
  <c r="K280" i="1" s="1"/>
  <c r="H289" i="1"/>
  <c r="H293" i="1"/>
  <c r="H297" i="1"/>
  <c r="H345" i="1"/>
  <c r="E359" i="1"/>
  <c r="I359" i="1" s="1"/>
  <c r="L359" i="1" s="1"/>
  <c r="I372" i="1"/>
  <c r="L372" i="1" s="1"/>
  <c r="E384" i="1"/>
  <c r="I384" i="1" s="1"/>
  <c r="L384" i="1" s="1"/>
  <c r="E346" i="1"/>
  <c r="E168" i="1"/>
  <c r="I168" i="1" s="1"/>
  <c r="L168" i="1" s="1"/>
  <c r="I223" i="1"/>
  <c r="H282" i="1"/>
  <c r="H291" i="1"/>
  <c r="H315" i="1"/>
  <c r="H342" i="1"/>
  <c r="I241" i="1"/>
  <c r="I256" i="1"/>
  <c r="H295" i="1"/>
  <c r="K295" i="1" s="1"/>
  <c r="H309" i="1"/>
  <c r="E343" i="1"/>
  <c r="I343" i="1" s="1"/>
  <c r="L343" i="1" s="1"/>
  <c r="E371" i="1"/>
  <c r="I371" i="1" s="1"/>
  <c r="L371" i="1" s="1"/>
  <c r="H381" i="1"/>
  <c r="K381" i="1" s="1"/>
  <c r="E400" i="1"/>
  <c r="H400" i="1" s="1"/>
  <c r="K400" i="1" s="1"/>
  <c r="Z18" i="1"/>
  <c r="S51" i="1"/>
  <c r="J414" i="1"/>
  <c r="I368" i="1"/>
  <c r="L368" i="1" s="1"/>
  <c r="H368" i="1"/>
  <c r="K368" i="1" s="1"/>
  <c r="I373" i="1"/>
  <c r="L373" i="1" s="1"/>
  <c r="H373" i="1"/>
  <c r="K373" i="1" s="1"/>
  <c r="I167" i="1"/>
  <c r="L167" i="1" s="1"/>
  <c r="I222" i="1"/>
  <c r="L222" i="1" s="1"/>
  <c r="H274" i="1"/>
  <c r="I278" i="1"/>
  <c r="L278" i="1" s="1"/>
  <c r="E283" i="1"/>
  <c r="H285" i="1"/>
  <c r="I287" i="1"/>
  <c r="H292" i="1"/>
  <c r="I308" i="1"/>
  <c r="I318" i="1"/>
  <c r="I333" i="1"/>
  <c r="L333" i="1" s="1"/>
  <c r="H348" i="1"/>
  <c r="K348" i="1" s="1"/>
  <c r="H370" i="1"/>
  <c r="H378" i="1"/>
  <c r="E395" i="1"/>
  <c r="I395" i="1" s="1"/>
  <c r="L395" i="1" s="1"/>
  <c r="E404" i="1"/>
  <c r="I251" i="1"/>
  <c r="I259" i="1"/>
  <c r="I264" i="1"/>
  <c r="I350" i="1"/>
  <c r="E379" i="1"/>
  <c r="E388" i="1"/>
  <c r="E397" i="1"/>
  <c r="H397" i="1" s="1"/>
  <c r="K397" i="1" s="1"/>
  <c r="H412" i="1"/>
  <c r="E375" i="1"/>
  <c r="I398" i="1"/>
  <c r="E405" i="1"/>
  <c r="E254" i="1"/>
  <c r="H254" i="1" s="1"/>
  <c r="K254" i="1" s="1"/>
  <c r="I260" i="1"/>
  <c r="I271" i="1"/>
  <c r="L271" i="1" s="1"/>
  <c r="H276" i="1"/>
  <c r="H279" i="1"/>
  <c r="H286" i="1"/>
  <c r="H296" i="1"/>
  <c r="K296" i="1" s="1"/>
  <c r="H367" i="1"/>
  <c r="E380" i="1"/>
  <c r="I380" i="1" s="1"/>
  <c r="L380" i="1" s="1"/>
  <c r="E390" i="1"/>
  <c r="E377" i="1"/>
  <c r="I385" i="1"/>
  <c r="E406" i="1"/>
  <c r="I406" i="1" s="1"/>
  <c r="L406" i="1" s="1"/>
  <c r="H234" i="1"/>
  <c r="K234" i="1" s="1"/>
  <c r="E242" i="1"/>
  <c r="E258" i="1"/>
  <c r="H258" i="1" s="1"/>
  <c r="K258" i="1" s="1"/>
  <c r="I263" i="1"/>
  <c r="I268" i="1"/>
  <c r="H333" i="1"/>
  <c r="K333" i="1" s="1"/>
  <c r="H394" i="1"/>
  <c r="H169" i="1"/>
  <c r="K169" i="1" s="1"/>
  <c r="I169" i="1"/>
  <c r="L169" i="1" s="1"/>
  <c r="I18" i="1"/>
  <c r="H18" i="1"/>
  <c r="I20" i="1"/>
  <c r="H20" i="1"/>
  <c r="H17" i="1"/>
  <c r="J17" i="1" s="1"/>
  <c r="I19" i="1"/>
  <c r="J19" i="1" s="1"/>
  <c r="I25" i="1"/>
  <c r="I66" i="1"/>
  <c r="J66" i="1" s="1"/>
  <c r="H71" i="1"/>
  <c r="I135" i="1"/>
  <c r="L135" i="1" s="1"/>
  <c r="J210" i="1"/>
  <c r="I250" i="1"/>
  <c r="I266" i="1"/>
  <c r="I269" i="1"/>
  <c r="L269" i="1" s="1"/>
  <c r="H275" i="1"/>
  <c r="J321" i="1"/>
  <c r="I334" i="1"/>
  <c r="L334" i="1" s="1"/>
  <c r="H334" i="1"/>
  <c r="K334" i="1" s="1"/>
  <c r="E26" i="1"/>
  <c r="J120" i="1"/>
  <c r="H123" i="1"/>
  <c r="J123" i="1" s="1"/>
  <c r="H134" i="1"/>
  <c r="J134" i="1" s="1"/>
  <c r="E136" i="1"/>
  <c r="H155" i="1"/>
  <c r="H157" i="1"/>
  <c r="J157" i="1" s="1"/>
  <c r="H159" i="1"/>
  <c r="J159" i="1" s="1"/>
  <c r="H161" i="1"/>
  <c r="J161" i="1" s="1"/>
  <c r="J170" i="1"/>
  <c r="I198" i="1"/>
  <c r="I239" i="1"/>
  <c r="I270" i="1"/>
  <c r="H273" i="1"/>
  <c r="I326" i="1"/>
  <c r="H326" i="1"/>
  <c r="I335" i="1"/>
  <c r="E352" i="1"/>
  <c r="H351" i="1"/>
  <c r="E35" i="1"/>
  <c r="E70" i="1"/>
  <c r="I70" i="1" s="1"/>
  <c r="J70" i="1" s="1"/>
  <c r="E86" i="1"/>
  <c r="I86" i="1" s="1"/>
  <c r="J86" i="1" s="1"/>
  <c r="H166" i="1"/>
  <c r="J166" i="1" s="1"/>
  <c r="E199" i="1"/>
  <c r="J208" i="1"/>
  <c r="I240" i="1"/>
  <c r="E249" i="1"/>
  <c r="H249" i="1" s="1"/>
  <c r="K249" i="1" s="1"/>
  <c r="E252" i="1"/>
  <c r="E255" i="1"/>
  <c r="I261" i="1"/>
  <c r="I332" i="1"/>
  <c r="L332" i="1" s="1"/>
  <c r="E27" i="1"/>
  <c r="H57" i="1"/>
  <c r="H68" i="1"/>
  <c r="H84" i="1"/>
  <c r="J84" i="1" s="1"/>
  <c r="H122" i="1"/>
  <c r="H133" i="1"/>
  <c r="J133" i="1" s="1"/>
  <c r="E137" i="1"/>
  <c r="H154" i="1"/>
  <c r="K154" i="1" s="1"/>
  <c r="H158" i="1"/>
  <c r="J158" i="1" s="1"/>
  <c r="H160" i="1"/>
  <c r="J160" i="1" s="1"/>
  <c r="H174" i="1"/>
  <c r="H197" i="1"/>
  <c r="I221" i="1"/>
  <c r="I262" i="1"/>
  <c r="I265" i="1"/>
  <c r="I320" i="1"/>
  <c r="J320" i="1" s="1"/>
  <c r="E341" i="1"/>
  <c r="H341" i="1" s="1"/>
  <c r="K341" i="1" s="1"/>
  <c r="I344" i="1"/>
  <c r="L344" i="1" s="1"/>
  <c r="I348" i="1"/>
  <c r="L348" i="1" s="1"/>
  <c r="I357" i="1"/>
  <c r="E369" i="1"/>
  <c r="E349" i="1"/>
  <c r="E401" i="1"/>
  <c r="E376" i="1"/>
  <c r="E374" i="1"/>
  <c r="H372" i="1"/>
  <c r="K372" i="1" s="1"/>
  <c r="E389" i="1"/>
  <c r="E387" i="1"/>
  <c r="J520" i="1"/>
  <c r="E402" i="1"/>
  <c r="E383" i="1"/>
  <c r="J261" i="1" l="1"/>
  <c r="L261" i="1"/>
  <c r="J240" i="1"/>
  <c r="L240" i="1"/>
  <c r="J273" i="1"/>
  <c r="K273" i="1"/>
  <c r="J155" i="1"/>
  <c r="K155" i="1"/>
  <c r="J250" i="1"/>
  <c r="L250" i="1"/>
  <c r="J268" i="1"/>
  <c r="L268" i="1"/>
  <c r="J286" i="1"/>
  <c r="K286" i="1"/>
  <c r="J260" i="1"/>
  <c r="L260" i="1"/>
  <c r="J251" i="1"/>
  <c r="L251" i="1"/>
  <c r="J370" i="1"/>
  <c r="K370" i="1"/>
  <c r="I311" i="1"/>
  <c r="L311" i="1" s="1"/>
  <c r="L308" i="1"/>
  <c r="J309" i="1"/>
  <c r="K309" i="1"/>
  <c r="J342" i="1"/>
  <c r="K342" i="1"/>
  <c r="J223" i="1"/>
  <c r="L223" i="1"/>
  <c r="J293" i="1"/>
  <c r="K293" i="1"/>
  <c r="J220" i="1"/>
  <c r="K220" i="1"/>
  <c r="J310" i="1"/>
  <c r="K310" i="1"/>
  <c r="J319" i="1"/>
  <c r="K319" i="1"/>
  <c r="J386" i="1"/>
  <c r="K386" i="1"/>
  <c r="J281" i="1"/>
  <c r="K281" i="1"/>
  <c r="J262" i="1"/>
  <c r="L262" i="1"/>
  <c r="J335" i="1"/>
  <c r="L335" i="1"/>
  <c r="J270" i="1"/>
  <c r="L270" i="1"/>
  <c r="J275" i="1"/>
  <c r="K275" i="1"/>
  <c r="J263" i="1"/>
  <c r="L263" i="1"/>
  <c r="J279" i="1"/>
  <c r="K279" i="1"/>
  <c r="J412" i="1"/>
  <c r="K412" i="1"/>
  <c r="J289" i="1"/>
  <c r="K289" i="1"/>
  <c r="J394" i="1"/>
  <c r="K394" i="1"/>
  <c r="J265" i="1"/>
  <c r="L265" i="1"/>
  <c r="J174" i="1"/>
  <c r="K174" i="1"/>
  <c r="J350" i="1"/>
  <c r="L350" i="1"/>
  <c r="J292" i="1"/>
  <c r="K292" i="1"/>
  <c r="J315" i="1"/>
  <c r="K315" i="1"/>
  <c r="J284" i="1"/>
  <c r="K284" i="1"/>
  <c r="J272" i="1"/>
  <c r="K272" i="1"/>
  <c r="J290" i="1"/>
  <c r="L290" i="1"/>
  <c r="J413" i="1"/>
  <c r="J420" i="1" s="1"/>
  <c r="L413" i="1"/>
  <c r="J221" i="1"/>
  <c r="L221" i="1"/>
  <c r="J239" i="1"/>
  <c r="L239" i="1"/>
  <c r="J385" i="1"/>
  <c r="L385" i="1"/>
  <c r="J367" i="1"/>
  <c r="K367" i="1"/>
  <c r="J276" i="1"/>
  <c r="K276" i="1"/>
  <c r="J264" i="1"/>
  <c r="L264" i="1"/>
  <c r="J287" i="1"/>
  <c r="L287" i="1"/>
  <c r="J274" i="1"/>
  <c r="K274" i="1"/>
  <c r="J256" i="1"/>
  <c r="L256" i="1"/>
  <c r="J291" i="1"/>
  <c r="K291" i="1"/>
  <c r="J345" i="1"/>
  <c r="K345" i="1"/>
  <c r="J288" i="1"/>
  <c r="K288" i="1"/>
  <c r="J316" i="1"/>
  <c r="K316" i="1"/>
  <c r="J197" i="1"/>
  <c r="K197" i="1"/>
  <c r="J351" i="1"/>
  <c r="K351" i="1"/>
  <c r="J198" i="1"/>
  <c r="L198" i="1"/>
  <c r="J266" i="1"/>
  <c r="L266" i="1"/>
  <c r="J398" i="1"/>
  <c r="L398" i="1"/>
  <c r="J259" i="1"/>
  <c r="L259" i="1"/>
  <c r="J378" i="1"/>
  <c r="K378" i="1"/>
  <c r="J318" i="1"/>
  <c r="L318" i="1"/>
  <c r="J285" i="1"/>
  <c r="K285" i="1"/>
  <c r="J241" i="1"/>
  <c r="L241" i="1"/>
  <c r="J282" i="1"/>
  <c r="K282" i="1"/>
  <c r="J297" i="1"/>
  <c r="K297" i="1"/>
  <c r="J358" i="1"/>
  <c r="K358" i="1"/>
  <c r="J138" i="1"/>
  <c r="K138" i="1"/>
  <c r="H359" i="1"/>
  <c r="J16" i="1"/>
  <c r="I37" i="1"/>
  <c r="J37" i="1" s="1"/>
  <c r="AA37" i="1" s="1"/>
  <c r="I420" i="1"/>
  <c r="L420" i="1" s="1"/>
  <c r="J25" i="1"/>
  <c r="J21" i="1"/>
  <c r="AA21" i="1" s="1"/>
  <c r="J675" i="1"/>
  <c r="I43" i="1"/>
  <c r="J43" i="1" s="1"/>
  <c r="AA43" i="1" s="1"/>
  <c r="AA44" i="1"/>
  <c r="I41" i="1"/>
  <c r="J41" i="1" s="1"/>
  <c r="AA41" i="1" s="1"/>
  <c r="J154" i="1"/>
  <c r="I347" i="1"/>
  <c r="J18" i="1"/>
  <c r="E673" i="1"/>
  <c r="I673" i="1" s="1"/>
  <c r="J673" i="1" s="1"/>
  <c r="J578" i="1"/>
  <c r="I39" i="1"/>
  <c r="J39" i="1" s="1"/>
  <c r="AA39" i="1" s="1"/>
  <c r="AA38" i="1"/>
  <c r="AA33" i="1"/>
  <c r="AA34" i="1"/>
  <c r="J59" i="1"/>
  <c r="AA25" i="1"/>
  <c r="P523" i="1"/>
  <c r="J57" i="1"/>
  <c r="J71" i="1"/>
  <c r="J135" i="1"/>
  <c r="AA23" i="1"/>
  <c r="J29" i="1"/>
  <c r="AA29" i="1" s="1"/>
  <c r="V51" i="1"/>
  <c r="K8" i="2" s="1"/>
  <c r="K20" i="2" s="1"/>
  <c r="K38" i="2" s="1"/>
  <c r="J348" i="1"/>
  <c r="J68" i="1"/>
  <c r="H380" i="1"/>
  <c r="H225" i="1"/>
  <c r="AA19" i="1"/>
  <c r="AA36" i="1"/>
  <c r="J22" i="1"/>
  <c r="AA22" i="1" s="1"/>
  <c r="J165" i="1"/>
  <c r="P546" i="1"/>
  <c r="AA18" i="1"/>
  <c r="AA42" i="1"/>
  <c r="H28" i="1"/>
  <c r="J28" i="1" s="1"/>
  <c r="X28" i="1"/>
  <c r="Y28" i="1" s="1"/>
  <c r="AA30" i="1"/>
  <c r="J326" i="1"/>
  <c r="AA24" i="1"/>
  <c r="J126" i="1"/>
  <c r="S4" i="1"/>
  <c r="H108" i="1"/>
  <c r="J108" i="1" s="1"/>
  <c r="H371" i="1"/>
  <c r="J381" i="1"/>
  <c r="AA17" i="1"/>
  <c r="AA32" i="1"/>
  <c r="AA40" i="1"/>
  <c r="P699" i="1"/>
  <c r="J700" i="1"/>
  <c r="AA46" i="1"/>
  <c r="I258" i="1"/>
  <c r="E396" i="1"/>
  <c r="H396" i="1" s="1"/>
  <c r="K396" i="1" s="1"/>
  <c r="I257" i="1"/>
  <c r="J8" i="2"/>
  <c r="J20" i="2" s="1"/>
  <c r="J167" i="1"/>
  <c r="J357" i="1"/>
  <c r="T357" i="1"/>
  <c r="I253" i="1"/>
  <c r="H395" i="1"/>
  <c r="H311" i="1"/>
  <c r="K311" i="1" s="1"/>
  <c r="H156" i="1"/>
  <c r="I254" i="1"/>
  <c r="H384" i="1"/>
  <c r="J373" i="1"/>
  <c r="J333" i="1"/>
  <c r="H343" i="1"/>
  <c r="H336" i="1"/>
  <c r="K336" i="1" s="1"/>
  <c r="J308" i="1"/>
  <c r="J311" i="1" s="1"/>
  <c r="J312" i="1" s="1"/>
  <c r="H382" i="1"/>
  <c r="I226" i="1"/>
  <c r="H346" i="1"/>
  <c r="K346" i="1" s="1"/>
  <c r="I346" i="1"/>
  <c r="L346" i="1" s="1"/>
  <c r="I400" i="1"/>
  <c r="H168" i="1"/>
  <c r="J368" i="1"/>
  <c r="J334" i="1"/>
  <c r="H406" i="1"/>
  <c r="J372" i="1"/>
  <c r="I397" i="1"/>
  <c r="AA16" i="1"/>
  <c r="J169" i="1"/>
  <c r="I404" i="1"/>
  <c r="L404" i="1" s="1"/>
  <c r="H404" i="1"/>
  <c r="K404" i="1" s="1"/>
  <c r="H377" i="1"/>
  <c r="K377" i="1" s="1"/>
  <c r="I377" i="1"/>
  <c r="L377" i="1" s="1"/>
  <c r="H420" i="1"/>
  <c r="K420" i="1" s="1"/>
  <c r="H405" i="1"/>
  <c r="K405" i="1" s="1"/>
  <c r="I405" i="1"/>
  <c r="L405" i="1" s="1"/>
  <c r="I388" i="1"/>
  <c r="L388" i="1" s="1"/>
  <c r="H388" i="1"/>
  <c r="K388" i="1" s="1"/>
  <c r="H242" i="1"/>
  <c r="E244" i="1"/>
  <c r="E243" i="1"/>
  <c r="I242" i="1"/>
  <c r="L242" i="1" s="1"/>
  <c r="I379" i="1"/>
  <c r="L379" i="1" s="1"/>
  <c r="H379" i="1"/>
  <c r="K379" i="1" s="1"/>
  <c r="I341" i="1"/>
  <c r="I390" i="1"/>
  <c r="L390" i="1" s="1"/>
  <c r="H390" i="1"/>
  <c r="K390" i="1" s="1"/>
  <c r="H375" i="1"/>
  <c r="K375" i="1" s="1"/>
  <c r="I375" i="1"/>
  <c r="L375" i="1" s="1"/>
  <c r="I283" i="1"/>
  <c r="L283" i="1" s="1"/>
  <c r="H283" i="1"/>
  <c r="K283" i="1" s="1"/>
  <c r="E298" i="1"/>
  <c r="H387" i="1"/>
  <c r="K387" i="1" s="1"/>
  <c r="I387" i="1"/>
  <c r="L387" i="1" s="1"/>
  <c r="I401" i="1"/>
  <c r="L401" i="1" s="1"/>
  <c r="H401" i="1"/>
  <c r="K401" i="1" s="1"/>
  <c r="J122" i="1"/>
  <c r="H199" i="1"/>
  <c r="I199" i="1"/>
  <c r="I349" i="1"/>
  <c r="L349" i="1" s="1"/>
  <c r="H349" i="1"/>
  <c r="K349" i="1" s="1"/>
  <c r="I136" i="1"/>
  <c r="L136" i="1" s="1"/>
  <c r="H136" i="1"/>
  <c r="K136" i="1" s="1"/>
  <c r="I249" i="1"/>
  <c r="L249" i="1" s="1"/>
  <c r="I383" i="1"/>
  <c r="L383" i="1" s="1"/>
  <c r="H383" i="1"/>
  <c r="K383" i="1" s="1"/>
  <c r="H255" i="1"/>
  <c r="K255" i="1" s="1"/>
  <c r="I255" i="1"/>
  <c r="L255" i="1" s="1"/>
  <c r="I329" i="1"/>
  <c r="L329" i="1" s="1"/>
  <c r="I35" i="1"/>
  <c r="H35" i="1"/>
  <c r="I369" i="1"/>
  <c r="L369" i="1" s="1"/>
  <c r="H369" i="1"/>
  <c r="K369" i="1" s="1"/>
  <c r="I374" i="1"/>
  <c r="L374" i="1" s="1"/>
  <c r="H374" i="1"/>
  <c r="K374" i="1" s="1"/>
  <c r="I376" i="1"/>
  <c r="L376" i="1" s="1"/>
  <c r="H376" i="1"/>
  <c r="K376" i="1" s="1"/>
  <c r="H329" i="1"/>
  <c r="K329" i="1" s="1"/>
  <c r="H252" i="1"/>
  <c r="K252" i="1" s="1"/>
  <c r="I252" i="1"/>
  <c r="L252" i="1" s="1"/>
  <c r="H402" i="1"/>
  <c r="K402" i="1" s="1"/>
  <c r="I402" i="1"/>
  <c r="L402" i="1" s="1"/>
  <c r="H27" i="1"/>
  <c r="I27" i="1"/>
  <c r="I109" i="1"/>
  <c r="I352" i="1"/>
  <c r="L352" i="1" s="1"/>
  <c r="H352" i="1"/>
  <c r="K352" i="1" s="1"/>
  <c r="E354" i="1"/>
  <c r="E353" i="1"/>
  <c r="I26" i="1"/>
  <c r="H26" i="1"/>
  <c r="H137" i="1"/>
  <c r="K137" i="1" s="1"/>
  <c r="I137" i="1"/>
  <c r="L137" i="1" s="1"/>
  <c r="J20" i="1"/>
  <c r="AA20" i="1" s="1"/>
  <c r="J332" i="1"/>
  <c r="I336" i="1"/>
  <c r="L336" i="1" s="1"/>
  <c r="I389" i="1"/>
  <c r="L389" i="1" s="1"/>
  <c r="H389" i="1"/>
  <c r="K389" i="1" s="1"/>
  <c r="J257" i="1" l="1"/>
  <c r="L257" i="1"/>
  <c r="I202" i="1"/>
  <c r="L202" i="1" s="1"/>
  <c r="L199" i="1"/>
  <c r="J242" i="1"/>
  <c r="K242" i="1"/>
  <c r="J397" i="1"/>
  <c r="L397" i="1"/>
  <c r="J359" i="1"/>
  <c r="K359" i="1"/>
  <c r="H201" i="1"/>
  <c r="K201" i="1" s="1"/>
  <c r="K199" i="1"/>
  <c r="J168" i="1"/>
  <c r="K168" i="1"/>
  <c r="I229" i="1"/>
  <c r="L229" i="1" s="1"/>
  <c r="L226" i="1"/>
  <c r="J343" i="1"/>
  <c r="K343" i="1"/>
  <c r="J384" i="1"/>
  <c r="K384" i="1"/>
  <c r="J395" i="1"/>
  <c r="K395" i="1"/>
  <c r="J258" i="1"/>
  <c r="L258" i="1"/>
  <c r="J371" i="1"/>
  <c r="K371" i="1"/>
  <c r="H229" i="1"/>
  <c r="K229" i="1" s="1"/>
  <c r="K225" i="1"/>
  <c r="J347" i="1"/>
  <c r="L347" i="1"/>
  <c r="J156" i="1"/>
  <c r="K156" i="1"/>
  <c r="J341" i="1"/>
  <c r="L341" i="1"/>
  <c r="J406" i="1"/>
  <c r="K406" i="1"/>
  <c r="J400" i="1"/>
  <c r="L400" i="1"/>
  <c r="J382" i="1"/>
  <c r="K382" i="1"/>
  <c r="J254" i="1"/>
  <c r="L254" i="1"/>
  <c r="J253" i="1"/>
  <c r="L253" i="1"/>
  <c r="J329" i="1"/>
  <c r="J330" i="1" s="1"/>
  <c r="J380" i="1"/>
  <c r="K380" i="1"/>
  <c r="H739" i="1"/>
  <c r="I396" i="1"/>
  <c r="L396" i="1" s="1"/>
  <c r="X51" i="1"/>
  <c r="J225" i="1"/>
  <c r="H112" i="1"/>
  <c r="I48" i="1"/>
  <c r="H47" i="1"/>
  <c r="J47" i="1" s="1"/>
  <c r="J35" i="1"/>
  <c r="AA35" i="1" s="1"/>
  <c r="J26" i="1"/>
  <c r="AA26" i="1" s="1"/>
  <c r="AA28" i="1"/>
  <c r="J421" i="1"/>
  <c r="I176" i="1"/>
  <c r="I20" i="2"/>
  <c r="J38" i="2"/>
  <c r="J405" i="1"/>
  <c r="J349" i="1"/>
  <c r="J402" i="1"/>
  <c r="J255" i="1"/>
  <c r="J390" i="1"/>
  <c r="J346" i="1"/>
  <c r="J336" i="1"/>
  <c r="J337" i="1" s="1"/>
  <c r="J136" i="1"/>
  <c r="J377" i="1"/>
  <c r="J352" i="1"/>
  <c r="H409" i="1"/>
  <c r="K409" i="1" s="1"/>
  <c r="J226" i="1"/>
  <c r="J388" i="1"/>
  <c r="H391" i="1"/>
  <c r="K391" i="1" s="1"/>
  <c r="J375" i="1"/>
  <c r="H243" i="1"/>
  <c r="K243" i="1" s="1"/>
  <c r="I243" i="1"/>
  <c r="H244" i="1"/>
  <c r="K244" i="1" s="1"/>
  <c r="I244" i="1"/>
  <c r="J404" i="1"/>
  <c r="E300" i="1"/>
  <c r="H298" i="1"/>
  <c r="E299" i="1"/>
  <c r="I298" i="1"/>
  <c r="L298" i="1" s="1"/>
  <c r="J137" i="1"/>
  <c r="J283" i="1"/>
  <c r="J379" i="1"/>
  <c r="J376" i="1"/>
  <c r="J401" i="1"/>
  <c r="J369" i="1"/>
  <c r="I391" i="1"/>
  <c r="L391" i="1" s="1"/>
  <c r="J387" i="1"/>
  <c r="J389" i="1"/>
  <c r="H353" i="1"/>
  <c r="K353" i="1" s="1"/>
  <c r="I353" i="1"/>
  <c r="L353" i="1" s="1"/>
  <c r="I354" i="1"/>
  <c r="L354" i="1" s="1"/>
  <c r="H354" i="1"/>
  <c r="K354" i="1" s="1"/>
  <c r="J374" i="1"/>
  <c r="J383" i="1"/>
  <c r="J396" i="1"/>
  <c r="J252" i="1"/>
  <c r="J249" i="1"/>
  <c r="J199" i="1"/>
  <c r="J27" i="1"/>
  <c r="AA27" i="1" s="1"/>
  <c r="I409" i="1"/>
  <c r="L409" i="1" s="1"/>
  <c r="J109" i="1"/>
  <c r="J112" i="1" s="1"/>
  <c r="J113" i="1" s="1"/>
  <c r="I112" i="1"/>
  <c r="J201" i="1"/>
  <c r="H205" i="1"/>
  <c r="K205" i="1" s="1"/>
  <c r="H175" i="1"/>
  <c r="K175" i="1" s="1"/>
  <c r="J244" i="1" l="1"/>
  <c r="L244" i="1"/>
  <c r="J298" i="1"/>
  <c r="K298" i="1"/>
  <c r="I205" i="1"/>
  <c r="L205" i="1" s="1"/>
  <c r="J243" i="1"/>
  <c r="L243" i="1"/>
  <c r="J739" i="1"/>
  <c r="K739" i="1"/>
  <c r="J176" i="1"/>
  <c r="L176" i="1"/>
  <c r="J202" i="1"/>
  <c r="J205" i="1" s="1"/>
  <c r="J206" i="1" s="1"/>
  <c r="J48" i="1"/>
  <c r="I51" i="1"/>
  <c r="R51" i="1" s="1"/>
  <c r="H748" i="1"/>
  <c r="J51" i="1"/>
  <c r="AA51" i="1"/>
  <c r="J229" i="1"/>
  <c r="J230" i="1" s="1"/>
  <c r="H51" i="1"/>
  <c r="I179" i="1"/>
  <c r="L179" i="1" s="1"/>
  <c r="J245" i="1"/>
  <c r="J246" i="1" s="1"/>
  <c r="H245" i="1"/>
  <c r="K245" i="1" s="1"/>
  <c r="I361" i="1"/>
  <c r="H360" i="1"/>
  <c r="I300" i="1"/>
  <c r="H300" i="1"/>
  <c r="K300" i="1" s="1"/>
  <c r="I245" i="1"/>
  <c r="L245" i="1" s="1"/>
  <c r="J409" i="1"/>
  <c r="H299" i="1"/>
  <c r="K299" i="1" s="1"/>
  <c r="I299" i="1"/>
  <c r="L299" i="1" s="1"/>
  <c r="J353" i="1"/>
  <c r="J391" i="1"/>
  <c r="J392" i="1" s="1"/>
  <c r="J175" i="1"/>
  <c r="J179" i="1" s="1"/>
  <c r="J180" i="1" s="1"/>
  <c r="H179" i="1"/>
  <c r="K179" i="1" s="1"/>
  <c r="J354" i="1"/>
  <c r="J748" i="1" l="1"/>
  <c r="K748" i="1"/>
  <c r="J361" i="1"/>
  <c r="L361" i="1"/>
  <c r="J300" i="1"/>
  <c r="L300" i="1"/>
  <c r="J360" i="1"/>
  <c r="K360" i="1"/>
  <c r="J52" i="1"/>
  <c r="J410" i="1"/>
  <c r="I364" i="1"/>
  <c r="L364" i="1" s="1"/>
  <c r="H301" i="1"/>
  <c r="H364" i="1"/>
  <c r="K364" i="1" s="1"/>
  <c r="J299" i="1"/>
  <c r="I302" i="1"/>
  <c r="L302" i="1" s="1"/>
  <c r="J364" i="1"/>
  <c r="J365" i="1" s="1"/>
  <c r="J301" i="1" l="1"/>
  <c r="K301" i="1"/>
  <c r="J749" i="1"/>
  <c r="P748" i="1"/>
  <c r="H305" i="1"/>
  <c r="J302" i="1"/>
  <c r="J305" i="1" s="1"/>
  <c r="I305" i="1"/>
  <c r="I750" i="1" l="1"/>
  <c r="L750" i="1" s="1"/>
  <c r="L305" i="1"/>
  <c r="H750" i="1"/>
  <c r="K750" i="1" s="1"/>
  <c r="K305" i="1"/>
  <c r="J306" i="1"/>
  <c r="I752" i="1" l="1"/>
  <c r="L752" i="1" s="1"/>
  <c r="H752" i="1"/>
  <c r="K752" i="1" s="1"/>
  <c r="J750" i="1"/>
  <c r="J752" i="1" s="1"/>
  <c r="R751" i="1"/>
  <c r="J10" i="1"/>
  <c r="J9" i="1" s="1"/>
  <c r="J751" i="1" l="1"/>
</calcChain>
</file>

<file path=xl/sharedStrings.xml><?xml version="1.0" encoding="utf-8"?>
<sst xmlns="http://schemas.openxmlformats.org/spreadsheetml/2006/main" count="1718" uniqueCount="834">
  <si>
    <t>СОГЛАСОВАНО:</t>
  </si>
  <si>
    <t>УТВЕРЖДАЮ:</t>
  </si>
  <si>
    <t>_______________Лушин К.Н.</t>
  </si>
  <si>
    <t xml:space="preserve">Смета </t>
  </si>
  <si>
    <t xml:space="preserve">На строительство жилого дома № 41 в 10-м квартале Заволжского района г.Ульяновска
</t>
  </si>
  <si>
    <t>Стоимость 1 м2</t>
  </si>
  <si>
    <t>Общая продаваемая площадь (м2)</t>
  </si>
  <si>
    <t>квартир=</t>
  </si>
  <si>
    <t>Сметная стоимость</t>
  </si>
  <si>
    <t>№ п/п</t>
  </si>
  <si>
    <t>Наименование работ</t>
  </si>
  <si>
    <t>ед. изм.</t>
  </si>
  <si>
    <t>кол-во</t>
  </si>
  <si>
    <t>стоимость ед. (руб.)</t>
  </si>
  <si>
    <t>Итого (руб.)</t>
  </si>
  <si>
    <t>Всего (руб.)</t>
  </si>
  <si>
    <t>работа</t>
  </si>
  <si>
    <t xml:space="preserve">материалы </t>
  </si>
  <si>
    <t>материалы</t>
  </si>
  <si>
    <t>Раздел 3. Устройство монолитного ленточного ростверка РЛм1, РЛм2</t>
  </si>
  <si>
    <t>3.1</t>
  </si>
  <si>
    <t>Срубка свай</t>
  </si>
  <si>
    <t>шт</t>
  </si>
  <si>
    <t>3.2</t>
  </si>
  <si>
    <t>Устройство песчанного основания под ростверк</t>
  </si>
  <si>
    <t>м3</t>
  </si>
  <si>
    <t>Песок строительный 200 мм</t>
  </si>
  <si>
    <t>3.3</t>
  </si>
  <si>
    <t>Устройство бетонной подготовки под РЛм1, РЛм2</t>
  </si>
  <si>
    <t>Бетон В7,5 с доставкой</t>
  </si>
  <si>
    <t>3.4</t>
  </si>
  <si>
    <t>Устройство РЛм1, РЛм2</t>
  </si>
  <si>
    <t>Бетон В15 F100 W4 с доставкой</t>
  </si>
  <si>
    <t>Каркасы арматурные, закладные детали</t>
  </si>
  <si>
    <t>т</t>
  </si>
  <si>
    <t>Пиломатериал</t>
  </si>
  <si>
    <t>3.5</t>
  </si>
  <si>
    <t>Гидроизоляция боковая обмазочная в 2слоя</t>
  </si>
  <si>
    <t>м2</t>
  </si>
  <si>
    <t>грунтовка битумная (2,5кг/м2)</t>
  </si>
  <si>
    <t>кг</t>
  </si>
  <si>
    <t>горячий битум БНИ-Y (0,35кг/м2)</t>
  </si>
  <si>
    <t>л</t>
  </si>
  <si>
    <t>3.6</t>
  </si>
  <si>
    <t>Горизонтальная гидроизоляция РЛм</t>
  </si>
  <si>
    <t>ЦП раствор М100 20 мм с доставкой</t>
  </si>
  <si>
    <t>3.7</t>
  </si>
  <si>
    <t>Монтаж фундаментных блоков</t>
  </si>
  <si>
    <t xml:space="preserve">ФБС24.4.6-т </t>
  </si>
  <si>
    <t>РИК ?</t>
  </si>
  <si>
    <t xml:space="preserve">ФБС12.4.6-т </t>
  </si>
  <si>
    <t xml:space="preserve">ФБС9.4.6-т </t>
  </si>
  <si>
    <t xml:space="preserve">ФБС9.6.6-т </t>
  </si>
  <si>
    <t>Раствор М100 с доставкой</t>
  </si>
  <si>
    <t>3.8</t>
  </si>
  <si>
    <t>Монолитные заделки между бетонными блоками</t>
  </si>
  <si>
    <t>3.9</t>
  </si>
  <si>
    <t>Горизонтальная гидроизоляция ФБС</t>
  </si>
  <si>
    <t>"УНИФЛЕКС ТПП" в 2 слоя</t>
  </si>
  <si>
    <t>3.10</t>
  </si>
  <si>
    <t>Устройство приямков и продухов</t>
  </si>
  <si>
    <t>арматура 8,12АIII; сетка 2С 12AIII</t>
  </si>
  <si>
    <t>3.11</t>
  </si>
  <si>
    <t>Монтаж выпусков арматуры для крепления балконных плит</t>
  </si>
  <si>
    <t>арматура 8,10,12АIII</t>
  </si>
  <si>
    <t>Работа Крана</t>
  </si>
  <si>
    <t>маш/час</t>
  </si>
  <si>
    <t>Итого работа</t>
  </si>
  <si>
    <t>Итого материал</t>
  </si>
  <si>
    <t>Накладные расходы</t>
  </si>
  <si>
    <t>Сметная прибыль</t>
  </si>
  <si>
    <t>Итого по разделу " Устройство монолитного ленточного фундамента ФЛм1"</t>
  </si>
  <si>
    <t>в т.ч. НДС 18%</t>
  </si>
  <si>
    <t>Раздел 4. Строительные работы техподполья</t>
  </si>
  <si>
    <t>4.1</t>
  </si>
  <si>
    <t>Кирпичная кладка перегородок</t>
  </si>
  <si>
    <t>Кирпич керамический размером 250х120х88 1,4НФ/100/1,4/50</t>
  </si>
  <si>
    <t>Раствор М50 Пк с доставкой</t>
  </si>
  <si>
    <t>4.2</t>
  </si>
  <si>
    <t>Устройство песчанного основания под фундаменты входа</t>
  </si>
  <si>
    <t>4.3</t>
  </si>
  <si>
    <t>Монтаж фундаментных блоков входа</t>
  </si>
  <si>
    <t xml:space="preserve">ФБС12.4.3-т </t>
  </si>
  <si>
    <t>4.4</t>
  </si>
  <si>
    <t>Горизонтальная гидроизоляция ФБС входа</t>
  </si>
  <si>
    <t>ЦП раствор М100 20,30 мм с доставкой</t>
  </si>
  <si>
    <t>4.5</t>
  </si>
  <si>
    <t>4.6</t>
  </si>
  <si>
    <t>Монтаж перемычек</t>
  </si>
  <si>
    <t>8ПБ13-1</t>
  </si>
  <si>
    <t>9ПБ13-37</t>
  </si>
  <si>
    <t>4.7</t>
  </si>
  <si>
    <t>Устройство железобетонной лестницы Л1</t>
  </si>
  <si>
    <t>ступень основная ЛС 14</t>
  </si>
  <si>
    <t>ступень верхняя ЛСВ 14</t>
  </si>
  <si>
    <t>ограждение</t>
  </si>
  <si>
    <t>пог.м</t>
  </si>
  <si>
    <t>швеллер 16</t>
  </si>
  <si>
    <t>швеллер 22</t>
  </si>
  <si>
    <t>угол 70х5</t>
  </si>
  <si>
    <t>S10</t>
  </si>
  <si>
    <t>S14</t>
  </si>
  <si>
    <t>4.8</t>
  </si>
  <si>
    <t>Антикоррозийная защита</t>
  </si>
  <si>
    <t>Краска огнезащитная</t>
  </si>
  <si>
    <t>Грунтовка Гф 021</t>
  </si>
  <si>
    <t>4.9</t>
  </si>
  <si>
    <t>Монтаж плит перекрытия</t>
  </si>
  <si>
    <t>ПБ 66.12</t>
  </si>
  <si>
    <t>ПК 66.15</t>
  </si>
  <si>
    <t>ПБ 60.12</t>
  </si>
  <si>
    <t>ПК 60.15</t>
  </si>
  <si>
    <t>ПК 30.15</t>
  </si>
  <si>
    <t>ПБ 30.12</t>
  </si>
  <si>
    <t>ПБ 3.9</t>
  </si>
  <si>
    <t>Монтажные соединительные элементы</t>
  </si>
  <si>
    <t>Электроды</t>
  </si>
  <si>
    <t>4.10</t>
  </si>
  <si>
    <t>Устройство монолитных участков</t>
  </si>
  <si>
    <t xml:space="preserve">каркас плоский </t>
  </si>
  <si>
    <t xml:space="preserve">арматура Ø 6 мм А240 </t>
  </si>
  <si>
    <t>Бетон В 15 F50 с доставкой</t>
  </si>
  <si>
    <t>Утепление наружных стен подвала</t>
  </si>
  <si>
    <t>Экструзионный пенополистирол Технониколь XPS т.100 мм</t>
  </si>
  <si>
    <t>Гидроизол. боковая обмазочная в 2слоя цокольных панелей под засыпку</t>
  </si>
  <si>
    <t>Мастика битумная (2,5кг/м2)</t>
  </si>
  <si>
    <t>Праймер битумный (0,35кг/м2)</t>
  </si>
  <si>
    <t>Итого по разделу " Строительные работы техподполья"</t>
  </si>
  <si>
    <t>Раздел 5. Каркас здания</t>
  </si>
  <si>
    <t>5.1</t>
  </si>
  <si>
    <t>Кладка несущих стен (наружных и внутренних 380 мм) из силикатных блоков</t>
  </si>
  <si>
    <t>Силикатные блоки СБ М125/F50/1.8</t>
  </si>
  <si>
    <t>Раствор М100 Пк2 с доставкой</t>
  </si>
  <si>
    <t>сетка кладочная 4С 4 Вр1 40х40</t>
  </si>
  <si>
    <t>сетка кладочная 4С 4 Вр1 40х52</t>
  </si>
  <si>
    <t>10-А-III (А240)</t>
  </si>
  <si>
    <t>Кладка несущих стен из силикатного кирпича</t>
  </si>
  <si>
    <t>Кирпич силикатный СУР-200/50</t>
  </si>
  <si>
    <t>Раствор М100 Пк3 с доставкой</t>
  </si>
  <si>
    <t>сетки кладочные</t>
  </si>
  <si>
    <t>5.2</t>
  </si>
  <si>
    <t>Кладка дымоходов из керамического кирпича</t>
  </si>
  <si>
    <t>Кирпич керамический одинарный размером 250х120х65/1НФ/125/2.0/50</t>
  </si>
  <si>
    <t>Минераловатные плиты ИЗОЛ ФШ 150</t>
  </si>
  <si>
    <t>5.5</t>
  </si>
  <si>
    <t>Кладка дымоходов из силикатного кирпича</t>
  </si>
  <si>
    <t>Раствор М75 Пк2 с доставкой</t>
  </si>
  <si>
    <t>5.6</t>
  </si>
  <si>
    <t>Кладка парапетов</t>
  </si>
  <si>
    <t>5.3</t>
  </si>
  <si>
    <t>Кладка вентканалов выше уровня кровли</t>
  </si>
  <si>
    <t>Кирпич керамический одинарный размером 250х120х65/1НФ/100/2.0/100</t>
  </si>
  <si>
    <t>Раствор М75 Пк3 с доставкой</t>
  </si>
  <si>
    <t>5.4</t>
  </si>
  <si>
    <t>8ПП21-71</t>
  </si>
  <si>
    <t>8ПП16-71</t>
  </si>
  <si>
    <t>8ПП27-71</t>
  </si>
  <si>
    <t>9ПБ16-37</t>
  </si>
  <si>
    <t>8ПБ10-1</t>
  </si>
  <si>
    <t>8ПБ16-1</t>
  </si>
  <si>
    <t>9ПБ18-37</t>
  </si>
  <si>
    <t>ПРГ 32-1.4-4АIII</t>
  </si>
  <si>
    <t>ОП 4.4-АIII</t>
  </si>
  <si>
    <t>уголок 75х5</t>
  </si>
  <si>
    <t>Закладные детали</t>
  </si>
  <si>
    <t>Анкеры</t>
  </si>
  <si>
    <t>Кладка перегородок из блоков ТЕПЛОН</t>
  </si>
  <si>
    <t>Блоки Теплон</t>
  </si>
  <si>
    <t>Устройство внутренних перегородок из пазогребневых плит</t>
  </si>
  <si>
    <t>ПГП 667х500х80 пустотелые пазогребневые "Волма-плит"</t>
  </si>
  <si>
    <t>подвес прямой</t>
  </si>
  <si>
    <t>дюбель-анкер потайной пласт.6/80 мм 100 шт.</t>
  </si>
  <si>
    <t>пакет</t>
  </si>
  <si>
    <t>клей "Волма-Монтаж"</t>
  </si>
  <si>
    <t>5.7</t>
  </si>
  <si>
    <t>Устройство внутренних перегородок санузлов</t>
  </si>
  <si>
    <t>ПГП 667х500х80 влогостойкие пазогребневые</t>
  </si>
  <si>
    <t>5.8</t>
  </si>
  <si>
    <t>Кирпичная кладка выхода на кровлю</t>
  </si>
  <si>
    <t>5.12</t>
  </si>
  <si>
    <t>Монтаж конструкций козырька входа</t>
  </si>
  <si>
    <t>угол 63*6</t>
  </si>
  <si>
    <t>угол 50*6</t>
  </si>
  <si>
    <t>Сайдинг</t>
  </si>
  <si>
    <t>ИТОГО по разделу "Каркас здания"</t>
  </si>
  <si>
    <t>Раздел 6. Монтаж плит перекрытия</t>
  </si>
  <si>
    <t>6.1</t>
  </si>
  <si>
    <t>ПК 66.10</t>
  </si>
  <si>
    <t>ПК 60.10</t>
  </si>
  <si>
    <t>ПК 60.12</t>
  </si>
  <si>
    <t>УЗНАТЬ У ЭТАЛОНА</t>
  </si>
  <si>
    <t>ПК 31.15</t>
  </si>
  <si>
    <t>ПК 31.12</t>
  </si>
  <si>
    <t>ПК 31.10</t>
  </si>
  <si>
    <t>ПБ 35.9</t>
  </si>
  <si>
    <t>Закладные детали, анкера</t>
  </si>
  <si>
    <t>полоса 8х40</t>
  </si>
  <si>
    <t>консоль К1</t>
  </si>
  <si>
    <t>6.2</t>
  </si>
  <si>
    <t>Бетон В 15 с доставкой</t>
  </si>
  <si>
    <t>ИТОГО по разделу "Монтаж плит перекрытия":</t>
  </si>
  <si>
    <t>Раздел 7. Лестницы</t>
  </si>
  <si>
    <t>7.1</t>
  </si>
  <si>
    <t>Монтаж лестничных ступеней</t>
  </si>
  <si>
    <t>Лестничные ступени ЛС 14-1</t>
  </si>
  <si>
    <t>7.2</t>
  </si>
  <si>
    <t>Монтаж металлоконструкций</t>
  </si>
  <si>
    <t>сетки, закладные изделия,косоуры</t>
  </si>
  <si>
    <t>7.3</t>
  </si>
  <si>
    <t>Монтаж лестничных балок</t>
  </si>
  <si>
    <t>БМ1, БМ3</t>
  </si>
  <si>
    <t>7.4</t>
  </si>
  <si>
    <t>Бетон В15</t>
  </si>
  <si>
    <t>сетки, закладные изделия</t>
  </si>
  <si>
    <t>7.5</t>
  </si>
  <si>
    <t>Устройство ограждений лестниц</t>
  </si>
  <si>
    <t>Ограждение ЛО14</t>
  </si>
  <si>
    <t>Ограждение ОМВ 14-1</t>
  </si>
  <si>
    <t>7.6</t>
  </si>
  <si>
    <t>Устройство стремянок СГ-28</t>
  </si>
  <si>
    <t>металлоконструкции</t>
  </si>
  <si>
    <t>7.7</t>
  </si>
  <si>
    <t>Эмаль ПФ-115</t>
  </si>
  <si>
    <t>Грунтовка Гф-021</t>
  </si>
  <si>
    <t>ИТОГО по разделу "Лестницы":</t>
  </si>
  <si>
    <t>Раздел 8. Балконы</t>
  </si>
  <si>
    <t>Бетон В7,5</t>
  </si>
  <si>
    <t>ИТОГО по разделу "Балконы":</t>
  </si>
  <si>
    <t>8.1</t>
  </si>
  <si>
    <t>Ограждение балконов</t>
  </si>
  <si>
    <t>профиль металлический</t>
  </si>
  <si>
    <t>лист ЦСП-1 t8</t>
  </si>
  <si>
    <t>Покраска ограждения</t>
  </si>
  <si>
    <t>8.2</t>
  </si>
  <si>
    <t>Устройство козырьков балконов</t>
  </si>
  <si>
    <t>8.3</t>
  </si>
  <si>
    <t>Устройство обшивки козырьков балконов</t>
  </si>
  <si>
    <t>Профлист</t>
  </si>
  <si>
    <t>"Метал профиль" снегозадержатель СЗТh150х3000</t>
  </si>
  <si>
    <t>Оцинкованная сталь 0,6</t>
  </si>
  <si>
    <t>8.4</t>
  </si>
  <si>
    <t>Раздел 9. Устройство кровли</t>
  </si>
  <si>
    <t>9.1</t>
  </si>
  <si>
    <t>Устройство кровли</t>
  </si>
  <si>
    <t>Пароизоляция слой "Бикроэласт ТПП"</t>
  </si>
  <si>
    <t>Керамзитовый гравий Y=600кг/м3</t>
  </si>
  <si>
    <t>"Пеноплекс 35 " 190мм</t>
  </si>
  <si>
    <t>Стяжка кровли</t>
  </si>
  <si>
    <t>Праймер битумный (в 2 слоя)</t>
  </si>
  <si>
    <t>Нижний слой "Биполь"</t>
  </si>
  <si>
    <t>Верхний слой "Биполь"</t>
  </si>
  <si>
    <t>9.2</t>
  </si>
  <si>
    <t>Устройство примыканий кровли из наплавляемых материалов</t>
  </si>
  <si>
    <t>плиты парапетные ПТ12,5-8-6</t>
  </si>
  <si>
    <t>сендвич панель ПТСМА 50</t>
  </si>
  <si>
    <t>9.3</t>
  </si>
  <si>
    <t>Устройство парапетных свесов</t>
  </si>
  <si>
    <t>Кровельная оцинкованная сталь 0,8</t>
  </si>
  <si>
    <t>Костыли К-1 620 шт.</t>
  </si>
  <si>
    <t>4С Ф4Вр-1</t>
  </si>
  <si>
    <t>9.4</t>
  </si>
  <si>
    <t>Устройство ограждения кровли</t>
  </si>
  <si>
    <t>мп</t>
  </si>
  <si>
    <t>□Гн25х25х2,5 С245</t>
  </si>
  <si>
    <t>9.5</t>
  </si>
  <si>
    <t>Устройство пожарных лестниц ПЛ-1, 2</t>
  </si>
  <si>
    <t>9.6</t>
  </si>
  <si>
    <t>Устройство будки выхода на кровлю</t>
  </si>
  <si>
    <t>плита покрытия лотковая П17-д3</t>
  </si>
  <si>
    <t>9.7</t>
  </si>
  <si>
    <t>Устройство монолитного участка для выхода на кровлю</t>
  </si>
  <si>
    <t>швеллер 24П С245</t>
  </si>
  <si>
    <t>ø12 А400</t>
  </si>
  <si>
    <t xml:space="preserve">ø3 ВрI </t>
  </si>
  <si>
    <t>Бетон В25 F50</t>
  </si>
  <si>
    <t>Устройство входов</t>
  </si>
  <si>
    <t>9.8</t>
  </si>
  <si>
    <t>Устройство монолитного фундамента</t>
  </si>
  <si>
    <t>Бетон В15F150 W4</t>
  </si>
  <si>
    <t>закладные изделия МН 121-4</t>
  </si>
  <si>
    <r>
      <t xml:space="preserve">4С </t>
    </r>
    <r>
      <rPr>
        <sz val="11"/>
        <rFont val="Arial"/>
        <family val="2"/>
        <charset val="204"/>
      </rPr>
      <t>ø5ВрI</t>
    </r>
  </si>
  <si>
    <t>9.9</t>
  </si>
  <si>
    <t>Устройство козырьков входов</t>
  </si>
  <si>
    <t>□Гн100х6 С245</t>
  </si>
  <si>
    <t>[12 С245</t>
  </si>
  <si>
    <t>□Гн80х40х5 С245</t>
  </si>
  <si>
    <t>□Гн40х4 С245</t>
  </si>
  <si>
    <t>□Гн40х20х4 С245</t>
  </si>
  <si>
    <t>L50х5 С245</t>
  </si>
  <si>
    <t>ø10 А240</t>
  </si>
  <si>
    <t>сталь листовая t6</t>
  </si>
  <si>
    <t>сталь листовая t8</t>
  </si>
  <si>
    <t>сталь листовая t10</t>
  </si>
  <si>
    <t>закладная деталь ЗД2</t>
  </si>
  <si>
    <t>Профнастил С-10-1000-0.6</t>
  </si>
  <si>
    <t>Профнастил НС35-1000-0.6</t>
  </si>
  <si>
    <t>водосточная система</t>
  </si>
  <si>
    <t>9.10</t>
  </si>
  <si>
    <t>ИТОГО по разделу "Устройство кровли":</t>
  </si>
  <si>
    <t>Раздел 10. Окна и витражи</t>
  </si>
  <si>
    <t>10.1</t>
  </si>
  <si>
    <t>Установка оконных блоков и дверей балконных</t>
  </si>
  <si>
    <t>Установка витража</t>
  </si>
  <si>
    <t>10.2</t>
  </si>
  <si>
    <t>Установка подоконных досок</t>
  </si>
  <si>
    <t>ИТОГО по разделу "Окна и витражи":</t>
  </si>
  <si>
    <t>Раздел 11. Двери и люки</t>
  </si>
  <si>
    <t>11.1</t>
  </si>
  <si>
    <t>Установка дверей:</t>
  </si>
  <si>
    <t>Двери входные в квартиру деревянные ДГ21-10</t>
  </si>
  <si>
    <t>Двери входные в коридор ДО 21-13.5</t>
  </si>
  <si>
    <t>Двери внутренние ДСВ ППН М3 16-9 (водомерный узел)</t>
  </si>
  <si>
    <t>Двери наружные ДСВ ПН М3 16-9</t>
  </si>
  <si>
    <t>Двери наружные ДПН 21-14,4</t>
  </si>
  <si>
    <t>11.2</t>
  </si>
  <si>
    <t>Установка дверей противопожарных:</t>
  </si>
  <si>
    <t>Двери противопожарные  ДПМ16-9 (электрощитовая)</t>
  </si>
  <si>
    <t>11.3</t>
  </si>
  <si>
    <t>Устройство люков противопожарных:</t>
  </si>
  <si>
    <t>Люк ДПН (EI 30) 9-7</t>
  </si>
  <si>
    <t>Люк ЛПМ (EI 30) 11-6</t>
  </si>
  <si>
    <t>Люк ЛПМ (EI 30) 6-8</t>
  </si>
  <si>
    <t>11.4</t>
  </si>
  <si>
    <t>Устройство люков индивидуальных:</t>
  </si>
  <si>
    <t>люк ДГ 400х400</t>
  </si>
  <si>
    <t>решетка антивандальная металлическая 380-380</t>
  </si>
  <si>
    <t>ИТОГО по разделу "Двери и люки":</t>
  </si>
  <si>
    <t>Раздел 12. Отделка фасада</t>
  </si>
  <si>
    <t>12.1</t>
  </si>
  <si>
    <t>Наружная отделка  стен (с утеплением)</t>
  </si>
  <si>
    <t>12.2</t>
  </si>
  <si>
    <t>Утепление парапета 120 мм</t>
  </si>
  <si>
    <t>экструдированный пенополистирол "Технониколь XPS" 120 мм</t>
  </si>
  <si>
    <t>Дюбель (12 шт/м2)</t>
  </si>
  <si>
    <t>ИТОГО по разделу "Отделка фасада":</t>
  </si>
  <si>
    <t>Раздел 13. Внутренние отделочные работы</t>
  </si>
  <si>
    <t>Устройство полов 1-3 этажа (в т.ч.МОП)</t>
  </si>
  <si>
    <t>13.1</t>
  </si>
  <si>
    <t>Гидроизоляция полов</t>
  </si>
  <si>
    <t>слой "Биполь"</t>
  </si>
  <si>
    <t>13.2</t>
  </si>
  <si>
    <t xml:space="preserve">Теплоизоляция полов </t>
  </si>
  <si>
    <t>"ПЕНОПЛЕКС 35"</t>
  </si>
  <si>
    <t>полиэтиленовая пленка</t>
  </si>
  <si>
    <t>13.3</t>
  </si>
  <si>
    <t>Устройство стяжки армированной  толщ. 40 мм</t>
  </si>
  <si>
    <t>Раствор цементно-песчаный М150</t>
  </si>
  <si>
    <t>Сетка арматурная 3С Вр 200х200</t>
  </si>
  <si>
    <t>13.4</t>
  </si>
  <si>
    <t>Устройство стяжки армированной  толщ. 60-80 мм</t>
  </si>
  <si>
    <t>13.5</t>
  </si>
  <si>
    <t>Устройство  полов из керамогранита с керамогранитным плинтусом</t>
  </si>
  <si>
    <t>Керамогранит c рифленой поверхностью</t>
  </si>
  <si>
    <t xml:space="preserve">Клей для плитки </t>
  </si>
  <si>
    <t>Водно-дисперсионная грунтовка Ceresit</t>
  </si>
  <si>
    <t>Внутренняя отделка жилых помещений</t>
  </si>
  <si>
    <t>13.7</t>
  </si>
  <si>
    <t>Штукатурка кирпичных стен</t>
  </si>
  <si>
    <t>Сухая штукатурная смесь 20 мм</t>
  </si>
  <si>
    <t>13.8</t>
  </si>
  <si>
    <t>Затирка гипсовыми смесями потолков</t>
  </si>
  <si>
    <t>Гипсовая шпатлевка</t>
  </si>
  <si>
    <t>ИТОГО по разделу "Внутренние отделочные работы":</t>
  </si>
  <si>
    <t>Раздел 14. Внутренние отделочные работы технического подполья, электрощитовой, водомерного узла и будки выхода на кровлю</t>
  </si>
  <si>
    <t>14.1</t>
  </si>
  <si>
    <t>Устройство бетонной подготовки в водомерном узле и эл/щитовой</t>
  </si>
  <si>
    <t>бетон БСТ В7,5 F150 W4 100 мм</t>
  </si>
  <si>
    <t>щебень пропитанный битумом 50 мм</t>
  </si>
  <si>
    <t>14.2</t>
  </si>
  <si>
    <t>Гидроизоляция в 2 слоя</t>
  </si>
  <si>
    <t>гидроизоляция "Техноэласт ЭПП"</t>
  </si>
  <si>
    <t>14.3</t>
  </si>
  <si>
    <t>Устройство полов будки выхода на кровлю</t>
  </si>
  <si>
    <t>сборная хризотилцементная стяжка ЛПП 3000х1500х10 в 2 слоя</t>
  </si>
  <si>
    <t>экструзион.пенополистирол"Технониколь XPS"</t>
  </si>
  <si>
    <t>пароизоляция слой "Биполь"</t>
  </si>
  <si>
    <t>14.4</t>
  </si>
  <si>
    <t xml:space="preserve">Устройство стяжки армированной толщ.40 мм </t>
  </si>
  <si>
    <t>В15 F150</t>
  </si>
  <si>
    <t>14.5</t>
  </si>
  <si>
    <t>Улучшенная штукатурка кирпичных стен</t>
  </si>
  <si>
    <t>Грунтовка</t>
  </si>
  <si>
    <t>шпаклевка</t>
  </si>
  <si>
    <t>в/э краска</t>
  </si>
  <si>
    <t>14.6</t>
  </si>
  <si>
    <t>Затирка гипсовыми смесями, окраска в/э краской потолков</t>
  </si>
  <si>
    <t>грунтовка</t>
  </si>
  <si>
    <t>ИТОГО по разделу "Внутренние отделочные работы технического подполья, электрощитовой, водомерного узла и выхода на кровлю":</t>
  </si>
  <si>
    <t>Раздел 15. Внутренняя отделка мест общего пользования</t>
  </si>
  <si>
    <t>15.1</t>
  </si>
  <si>
    <t>Штукатурка стен</t>
  </si>
  <si>
    <t>акриловая краска</t>
  </si>
  <si>
    <t>15.2</t>
  </si>
  <si>
    <t>Затирка гипсовыми смесями, окраска акриловой краской стен из панелей</t>
  </si>
  <si>
    <t>15.3</t>
  </si>
  <si>
    <t>15.4</t>
  </si>
  <si>
    <t>Установка ящиков почтовых</t>
  </si>
  <si>
    <t xml:space="preserve">ящики почтовые </t>
  </si>
  <si>
    <t>ИТОГО по разделу "Внутренняя отделка МОП":</t>
  </si>
  <si>
    <t>Раздел 16. Устройство отмостки</t>
  </si>
  <si>
    <t>16.1</t>
  </si>
  <si>
    <t>Устройство бетонной отмостки по засыпанному местному грунту</t>
  </si>
  <si>
    <t>Песок</t>
  </si>
  <si>
    <t>Бетон В15 F150 100 мм</t>
  </si>
  <si>
    <t>16.2</t>
  </si>
  <si>
    <t>Устройство наружного пандуса</t>
  </si>
  <si>
    <t>Бетон В-15 F150</t>
  </si>
  <si>
    <r>
      <t xml:space="preserve">Сетка арматурная 4С </t>
    </r>
    <r>
      <rPr>
        <sz val="12"/>
        <rFont val="Calibri"/>
        <family val="2"/>
        <charset val="204"/>
      </rPr>
      <t>Ø</t>
    </r>
    <r>
      <rPr>
        <sz val="10.199999999999999"/>
        <rFont val="Times New Roman"/>
        <family val="1"/>
        <charset val="204"/>
      </rPr>
      <t>6АIII-100 118*280</t>
    </r>
  </si>
  <si>
    <t>Бетон В 7,5 т. 100 мм</t>
  </si>
  <si>
    <t>ИТОГО по разделу "Устройство отмостки":</t>
  </si>
  <si>
    <t>Раздел 17. Электрооборудование и электроосвещение</t>
  </si>
  <si>
    <t>Монтаж шкафов</t>
  </si>
  <si>
    <t>ВРУ1-22-53УХЛ4</t>
  </si>
  <si>
    <t>комплект для установки ВРУ</t>
  </si>
  <si>
    <t>автомат 380В,50А</t>
  </si>
  <si>
    <t>Монтаж счетчиков</t>
  </si>
  <si>
    <t>счетчик 380/220В,60А, кл.1,0 (СЕ301)</t>
  </si>
  <si>
    <t>счетчик 380/220В,5А, кл.0,5 (СЕ301)</t>
  </si>
  <si>
    <t>счетчик однофазный СЕ102М R5 145 кл 1,0</t>
  </si>
  <si>
    <t>Монтаж щитов</t>
  </si>
  <si>
    <t>УЭРМ-3-2700 УХЛ3</t>
  </si>
  <si>
    <t>УЭРМ-5-2700 УХЛ3</t>
  </si>
  <si>
    <t>Щит распределительный ЩРн-3/12эю-1 36</t>
  </si>
  <si>
    <t>Ящик с понижающим трансформатором ЯТП-0,25 220/12-0-36 УХЛ4</t>
  </si>
  <si>
    <t>Автоматический выключатель ВА 47-29 2Р 40А</t>
  </si>
  <si>
    <t>автоматические выключатели АВДТ 32 С25</t>
  </si>
  <si>
    <t>трансформатор тока 100/5А</t>
  </si>
  <si>
    <t>Выключатель диффепенциальный ВД 1-63 2Р 16А 30мА</t>
  </si>
  <si>
    <t>Автоматический выключатель АП 50Б -2МТ У2</t>
  </si>
  <si>
    <t>Монтаж световых указателей</t>
  </si>
  <si>
    <t>Световой указатель номера дома</t>
  </si>
  <si>
    <t>Монтаж светильников</t>
  </si>
  <si>
    <t>Светильник ЛБА 3924А</t>
  </si>
  <si>
    <t>Светильник НББ 64-60-047УХЛ4</t>
  </si>
  <si>
    <t>Светильник НББ 02-60-184</t>
  </si>
  <si>
    <t>Светильник переносной 42В РВО-42У2</t>
  </si>
  <si>
    <t>Светильник ЛПО 3018</t>
  </si>
  <si>
    <t>Светильник НСП02*100</t>
  </si>
  <si>
    <t>лампа энергосберегающая 9 Вт 4U 9W 2700K E27</t>
  </si>
  <si>
    <t>лампа энергосбер. 20 Вт 4U 20W 2700K E27</t>
  </si>
  <si>
    <t>13.6</t>
  </si>
  <si>
    <t>Монтаж внутреннего оборудования квартир</t>
  </si>
  <si>
    <t>Розетка потолочная + крюк для подвески светильника</t>
  </si>
  <si>
    <t>Розетка одноместная с з/к скрытая 10А/220В с защитной шторкой (РС10/16-514 УХЛ4)</t>
  </si>
  <si>
    <t>Розетка двухместная с з/к скрытая 10А/220В с защитной шторкой (2РС10/16-514 УХЛ4)</t>
  </si>
  <si>
    <t>Розетка одноместная с з/к скрытая 10А/250В с защитной шторкой (РА10-655)</t>
  </si>
  <si>
    <t>Выключатель двухклавишный скрытый С56-038</t>
  </si>
  <si>
    <t>Выключатель одноклавишный скрытый С16-053</t>
  </si>
  <si>
    <t>Выключатель трехклавишный скрытый С0510-488</t>
  </si>
  <si>
    <t>Выключатель одноклавишный брызгозащищенный А14-100</t>
  </si>
  <si>
    <t>Звонок электрический с кнопкой</t>
  </si>
  <si>
    <t>Патроны подвесные Е27Н12П-02</t>
  </si>
  <si>
    <t>коробка ответвительная У 994 У2</t>
  </si>
  <si>
    <t xml:space="preserve">Розетка двухместная с з/к герметичная  16А/220В </t>
  </si>
  <si>
    <t>Выключатель одноклавишный открытый А 16-050</t>
  </si>
  <si>
    <t>Выключатель одноклавишный проходной IP55</t>
  </si>
  <si>
    <t>ШДУП</t>
  </si>
  <si>
    <t xml:space="preserve">Прокладка проводов и кабелей </t>
  </si>
  <si>
    <t>м</t>
  </si>
  <si>
    <t>Кабель ВВГнг-LS 2х2,5мм2</t>
  </si>
  <si>
    <t>Кабель ВВГнг-LS 5х25мм2</t>
  </si>
  <si>
    <t>Провод ПВ1-1х2,5 мм2</t>
  </si>
  <si>
    <t>Провод ПВ1-1х4 мм2</t>
  </si>
  <si>
    <t>Провод ПВ1-1х6 мм2</t>
  </si>
  <si>
    <t>Кабель ВВГнг-LS 3х6мм2</t>
  </si>
  <si>
    <t>Кабель ВВГнг-LS 5х10мм2</t>
  </si>
  <si>
    <t>Кабель ВВГнг-LS 3х2,5мм2</t>
  </si>
  <si>
    <t>Кабель ВВГнг-FRLS 3х1,5мм2</t>
  </si>
  <si>
    <t>Колодки клеммные</t>
  </si>
  <si>
    <t>полоса стальная 5х30 мм</t>
  </si>
  <si>
    <t>полоса стальная 4х25 мм</t>
  </si>
  <si>
    <t>труба стальная ф. 25</t>
  </si>
  <si>
    <t>труба ПВХ ф25 гофрированная</t>
  </si>
  <si>
    <t>труба ПВХ ф32 гофрированная</t>
  </si>
  <si>
    <t>труба ПВХ ф50 гофрированная</t>
  </si>
  <si>
    <t>Сталь круглая ф 8,18мм</t>
  </si>
  <si>
    <t xml:space="preserve">лоток проволочный </t>
  </si>
  <si>
    <t>греющий кабель SelfTec Elektra</t>
  </si>
  <si>
    <t>Средства защиты</t>
  </si>
  <si>
    <t>Боты диэлектрические</t>
  </si>
  <si>
    <t>перчатки  диэлектрический латексные</t>
  </si>
  <si>
    <t>ковер диэлектрический 75х76</t>
  </si>
  <si>
    <t>огнетушитель ОСП-1</t>
  </si>
  <si>
    <t>13.9</t>
  </si>
  <si>
    <t>Комплектующие</t>
  </si>
  <si>
    <t>компл</t>
  </si>
  <si>
    <t>13.10</t>
  </si>
  <si>
    <t>Телевидение</t>
  </si>
  <si>
    <t>Антена телевизионная с1 по 5 канал</t>
  </si>
  <si>
    <t>Антена телевизионная с 6 по 12 канал</t>
  </si>
  <si>
    <t>Антена телевизионная с 21 по 61 канал</t>
  </si>
  <si>
    <t>Мачта</t>
  </si>
  <si>
    <t>Коробка антенная</t>
  </si>
  <si>
    <t>Усилитель 3 вх-1 вх</t>
  </si>
  <si>
    <t>Усилитель 1 вх-1 вх</t>
  </si>
  <si>
    <t>Ответвитель магистральный</t>
  </si>
  <si>
    <t>Фильтр режекторный</t>
  </si>
  <si>
    <t>Разъем F-RG-6</t>
  </si>
  <si>
    <t>Разъем F-RG-11</t>
  </si>
  <si>
    <t>Ответвитель абонентный</t>
  </si>
  <si>
    <t>Разветвитель 2 тВ</t>
  </si>
  <si>
    <t>резистр</t>
  </si>
  <si>
    <t>коробка -переходник</t>
  </si>
  <si>
    <t>розетка абонентная телев</t>
  </si>
  <si>
    <t>розетка сдвоенная открытая</t>
  </si>
  <si>
    <t>коробка под усилитель</t>
  </si>
  <si>
    <t>кабель  РК 75-4,8-319 нг(S-HF)</t>
  </si>
  <si>
    <t>кабель  РК 75-4-319 нг(S-HF)</t>
  </si>
  <si>
    <t>труба ПВХ ф25</t>
  </si>
  <si>
    <t>13.11</t>
  </si>
  <si>
    <t>Пожарная сигнализация</t>
  </si>
  <si>
    <t>Извещатель пожарный ИП 212-112</t>
  </si>
  <si>
    <t>ИТОГО по разделу "Электрооборудование и электроосвещение":</t>
  </si>
  <si>
    <t xml:space="preserve">Раздел 18. Отопление </t>
  </si>
  <si>
    <t>Установка газовых котлов с пусконаладкой</t>
  </si>
  <si>
    <t xml:space="preserve">Настенный газовый двухконтурный котел </t>
  </si>
  <si>
    <t>Установка радиаторов</t>
  </si>
  <si>
    <t>секц</t>
  </si>
  <si>
    <t>Радиаторы биметаллические FERT-500</t>
  </si>
  <si>
    <t>Установка полотенцесушителей</t>
  </si>
  <si>
    <t>Полотенцесушители из нержавеющей стали ф 25 мм</t>
  </si>
  <si>
    <t>Монтаж трубопроводов отопления из полипропиленовых труб</t>
  </si>
  <si>
    <t>Трубы полипропиленовые армированные PN25 ф20*3,4</t>
  </si>
  <si>
    <t>Шаровый кран ф15</t>
  </si>
  <si>
    <t>Вентиль термостатический RA-N-П ф 15 (данфосс)</t>
  </si>
  <si>
    <t>Вентиль термостатический RA-NСХ-П для полотенцесушителей ф 15 (данфосс)</t>
  </si>
  <si>
    <t>Термостатический элемент RA2940со встроенным датчиком (данфосс)</t>
  </si>
  <si>
    <t>воздухоотводчик автоматический</t>
  </si>
  <si>
    <t>неподвижные опоры</t>
  </si>
  <si>
    <t>защитный гофрированный кожух для труб 20 мм</t>
  </si>
  <si>
    <t>фильтр магнитно-механич.муфтовый латун. 15 мм</t>
  </si>
  <si>
    <t>Монтаж электроконвекторов на лестничной клетке и ниже 0,00</t>
  </si>
  <si>
    <t>Электроконвектор Aeroheat EC</t>
  </si>
  <si>
    <t>ИТОГО по разделу  "Отопление"</t>
  </si>
  <si>
    <t>Раздел 19. Вентиляция</t>
  </si>
  <si>
    <t>Установка воздуховодов из оцинкованной листовой стали.</t>
  </si>
  <si>
    <t>Воздуховоды из оцинкованной листовой стали 200х200х0,5</t>
  </si>
  <si>
    <t>Воздуховоды из оцинкованной листовой стали 150х150х0,5</t>
  </si>
  <si>
    <r>
      <t xml:space="preserve">Воздуховоды из оцинкованной листовой стали </t>
    </r>
    <r>
      <rPr>
        <sz val="12"/>
        <rFont val="Calibri"/>
        <family val="2"/>
        <charset val="204"/>
      </rPr>
      <t>Ø</t>
    </r>
    <r>
      <rPr>
        <sz val="10.199999999999999"/>
        <rFont val="Times New Roman"/>
        <family val="1"/>
        <charset val="204"/>
      </rPr>
      <t>100</t>
    </r>
  </si>
  <si>
    <t>Установка решеток жалюзийных</t>
  </si>
  <si>
    <t>решетка вентиляционная ВР-К 180х250h</t>
  </si>
  <si>
    <t>решетка вентиляционная ВР-К 150х200h</t>
  </si>
  <si>
    <t>решетка вентиляционная ВР-ГН 200х150h</t>
  </si>
  <si>
    <t>решетка вентиляционная ВР-ГН 300х200h</t>
  </si>
  <si>
    <t>решетка вентиляционная регулируемая Р-150</t>
  </si>
  <si>
    <t>клапан приточный стеновой КПВ125</t>
  </si>
  <si>
    <t>турбина вентиляционная TD 350</t>
  </si>
  <si>
    <t>турбина вентиляционная TD 200</t>
  </si>
  <si>
    <t>Установка вентиляторов и зонтов</t>
  </si>
  <si>
    <r>
      <t xml:space="preserve">вентилятор бытовой </t>
    </r>
    <r>
      <rPr>
        <sz val="12"/>
        <rFont val="Calibri"/>
        <family val="2"/>
        <charset val="204"/>
      </rPr>
      <t>Ø</t>
    </r>
    <r>
      <rPr>
        <sz val="10.199999999999999"/>
        <rFont val="Times New Roman"/>
        <family val="1"/>
        <charset val="204"/>
      </rPr>
      <t>125 N=10 Вт</t>
    </r>
  </si>
  <si>
    <r>
      <t xml:space="preserve">заглушка с сеткой </t>
    </r>
    <r>
      <rPr>
        <sz val="12"/>
        <rFont val="Calibri"/>
        <family val="2"/>
        <charset val="204"/>
      </rPr>
      <t>Ø</t>
    </r>
    <r>
      <rPr>
        <sz val="10.199999999999999"/>
        <rFont val="Times New Roman"/>
        <family val="1"/>
        <charset val="204"/>
      </rPr>
      <t>100</t>
    </r>
  </si>
  <si>
    <r>
      <t xml:space="preserve">Зонт вентиляционный круглый </t>
    </r>
    <r>
      <rPr>
        <sz val="12"/>
        <rFont val="Calibri"/>
        <family val="2"/>
        <charset val="204"/>
      </rPr>
      <t>Ø</t>
    </r>
    <r>
      <rPr>
        <sz val="10.199999999999999"/>
        <rFont val="Times New Roman"/>
        <family val="1"/>
        <charset val="204"/>
      </rPr>
      <t>100</t>
    </r>
  </si>
  <si>
    <r>
      <t>переход прямоугольный на круглое сечение 600*840-</t>
    </r>
    <r>
      <rPr>
        <sz val="12"/>
        <rFont val="Calibri"/>
        <family val="2"/>
        <charset val="204"/>
      </rPr>
      <t>Ø</t>
    </r>
    <r>
      <rPr>
        <sz val="10.199999999999999"/>
        <rFont val="Times New Roman"/>
        <family val="1"/>
        <charset val="204"/>
      </rPr>
      <t>200</t>
    </r>
  </si>
  <si>
    <r>
      <t>переход прямоугольный на круглое сечение 880*640-</t>
    </r>
    <r>
      <rPr>
        <sz val="12"/>
        <rFont val="Calibri"/>
        <family val="2"/>
        <charset val="204"/>
      </rPr>
      <t>Ø</t>
    </r>
    <r>
      <rPr>
        <sz val="10.199999999999999"/>
        <rFont val="Times New Roman"/>
        <family val="1"/>
        <charset val="204"/>
      </rPr>
      <t>200</t>
    </r>
  </si>
  <si>
    <r>
      <t>переход прямоугольный на круглое сечение 900*510-</t>
    </r>
    <r>
      <rPr>
        <sz val="12"/>
        <rFont val="Calibri"/>
        <family val="2"/>
        <charset val="204"/>
      </rPr>
      <t>Ø</t>
    </r>
    <r>
      <rPr>
        <sz val="10.199999999999999"/>
        <rFont val="Times New Roman"/>
        <family val="1"/>
        <charset val="204"/>
      </rPr>
      <t>200</t>
    </r>
  </si>
  <si>
    <r>
      <t>переход прямоугольный на круглое сечение 760*840-</t>
    </r>
    <r>
      <rPr>
        <sz val="12"/>
        <rFont val="Calibri"/>
        <family val="2"/>
        <charset val="204"/>
      </rPr>
      <t>Ø</t>
    </r>
    <r>
      <rPr>
        <sz val="10.199999999999999"/>
        <rFont val="Times New Roman"/>
        <family val="1"/>
        <charset val="204"/>
      </rPr>
      <t>350</t>
    </r>
  </si>
  <si>
    <r>
      <t>переход прямоугольный на круглое сечение 1040*640-</t>
    </r>
    <r>
      <rPr>
        <sz val="12"/>
        <rFont val="Calibri"/>
        <family val="2"/>
        <charset val="204"/>
      </rPr>
      <t>Ø</t>
    </r>
    <r>
      <rPr>
        <sz val="10.199999999999999"/>
        <rFont val="Times New Roman"/>
        <family val="1"/>
        <charset val="204"/>
      </rPr>
      <t>350</t>
    </r>
  </si>
  <si>
    <r>
      <t>переход прямоугольный на круглое сечение 1180*640-</t>
    </r>
    <r>
      <rPr>
        <sz val="12"/>
        <rFont val="Calibri"/>
        <family val="2"/>
        <charset val="204"/>
      </rPr>
      <t>Ø</t>
    </r>
    <r>
      <rPr>
        <sz val="10.199999999999999"/>
        <rFont val="Times New Roman"/>
        <family val="1"/>
        <charset val="204"/>
      </rPr>
      <t>350</t>
    </r>
  </si>
  <si>
    <t>Изоляция воздуховодов</t>
  </si>
  <si>
    <t>URSA GEO M-11 толщ.50мм</t>
  </si>
  <si>
    <t>покрытие огнезащитное для воздуховодов "ОГНЕМАТ Вент"</t>
  </si>
  <si>
    <t>ИТОГО по разделу "Вентиляция":</t>
  </si>
  <si>
    <t>Раздел 20. Внутренние В и К</t>
  </si>
  <si>
    <t>СИСТЕМА В1 НИЖЕ ОТМ. 0.000</t>
  </si>
  <si>
    <t>16.1.1</t>
  </si>
  <si>
    <t>Прокладка трубопроводов из полипропиленовых труб</t>
  </si>
  <si>
    <t>труба полипропиленовая ф20х1,9</t>
  </si>
  <si>
    <t>труба полипропиленовая ф32х2,9</t>
  </si>
  <si>
    <t>труба полипропиленовая ф40х3,7</t>
  </si>
  <si>
    <t>трубы полипропиленовые ф50х4,6</t>
  </si>
  <si>
    <t>труба полипропиленовая ф63х5,8</t>
  </si>
  <si>
    <t>кран шаровый муфтовый ф15</t>
  </si>
  <si>
    <t>кран шаровый муфтовый ф25</t>
  </si>
  <si>
    <t>фасонные части (углы, тройники, отводы, муфты, клипсы)</t>
  </si>
  <si>
    <t>фольга алюминиевая для технич.целей</t>
  </si>
  <si>
    <t>16.1.2</t>
  </si>
  <si>
    <t>Приварка фланцев</t>
  </si>
  <si>
    <t>Фланец ф63</t>
  </si>
  <si>
    <t>втулка под фланец ф63</t>
  </si>
  <si>
    <t>16.1.3</t>
  </si>
  <si>
    <t>Изоляция трубопроводов</t>
  </si>
  <si>
    <t>трубка "ТИЛИТ" Супер</t>
  </si>
  <si>
    <t>16.1.4</t>
  </si>
  <si>
    <t>Установка кранов поливочных</t>
  </si>
  <si>
    <t>вентиль запорный муфтовый латунный ф15</t>
  </si>
  <si>
    <t>рукав резинотканевый 20м</t>
  </si>
  <si>
    <t>ВОДОМЕРНЫЙ УЗЕЛ</t>
  </si>
  <si>
    <t>16.2.1</t>
  </si>
  <si>
    <t>Водомерный узел</t>
  </si>
  <si>
    <t>фильтр ФМФ-50</t>
  </si>
  <si>
    <t>Задвижка чугунная фланцевая ф50мм</t>
  </si>
  <si>
    <t>кран трехходовой ф15мм</t>
  </si>
  <si>
    <t>манометр МП4-10</t>
  </si>
  <si>
    <t>фланец стальной ф50мм</t>
  </si>
  <si>
    <t>втулка под фланец полипропиленовая д63</t>
  </si>
  <si>
    <t>муфта переходная из полипропилена ф63*32</t>
  </si>
  <si>
    <t xml:space="preserve">муфта комбинированная ВР из полипропилена ф32*1 </t>
  </si>
  <si>
    <t>счетчик ВСХ-32</t>
  </si>
  <si>
    <t>кран шаровый ф20 мм</t>
  </si>
  <si>
    <t>16.3</t>
  </si>
  <si>
    <t>СИСТЕМА К1 НИЖЕ ОТМ. 0.000</t>
  </si>
  <si>
    <t>16.3.1</t>
  </si>
  <si>
    <t>Прокладка трубопроводов из пластмассовых труб</t>
  </si>
  <si>
    <t>труба пластмассовая канализационная ф100</t>
  </si>
  <si>
    <t>сифон-ревизия ф100</t>
  </si>
  <si>
    <t>прочистка ф100</t>
  </si>
  <si>
    <t>заглушка</t>
  </si>
  <si>
    <t>16.3.2</t>
  </si>
  <si>
    <t>Прокладка трубопроводов из ВГП труб</t>
  </si>
  <si>
    <t>труба черная ВГП ф32</t>
  </si>
  <si>
    <t>кран шаровый латунный 32</t>
  </si>
  <si>
    <t>16.3.3</t>
  </si>
  <si>
    <t>трубка "ТИЛИТ" Супер ф110 2м</t>
  </si>
  <si>
    <t>16.3.4</t>
  </si>
  <si>
    <t>Установка насоса</t>
  </si>
  <si>
    <t>насос погружной N=0,2 кВт</t>
  </si>
  <si>
    <t>сифон-ревизия чугунный ф110</t>
  </si>
  <si>
    <t>16.3.5</t>
  </si>
  <si>
    <t>Прокладка трубопроводов из пластмассовых труб ( выпуск)</t>
  </si>
  <si>
    <t>СИСТЕМА К2 НИЖЕ ОТМ. 0.000</t>
  </si>
  <si>
    <t>труба пластмассовая напорная ф110</t>
  </si>
  <si>
    <t>Установка гидрозатвора</t>
  </si>
  <si>
    <t>гидрозатвор</t>
  </si>
  <si>
    <t>фланец стальной приварной ф100мм</t>
  </si>
  <si>
    <t>втулка под фланец полипропиленовая д110</t>
  </si>
  <si>
    <t>заглушка стальная фланцевая 100</t>
  </si>
  <si>
    <t>трубка "ТИЛИТ" Супер ф110</t>
  </si>
  <si>
    <t>16.4</t>
  </si>
  <si>
    <t>ОБОРУДОВАНИЕ НИЖЕ ОТМ. 0.000</t>
  </si>
  <si>
    <t>16.4.1</t>
  </si>
  <si>
    <t>Прокладка электрических нагревательных кабелей</t>
  </si>
  <si>
    <t>кабель Elektra FreezeTec 12/42 42м, 504Вт</t>
  </si>
  <si>
    <t>самоклеящаяся алюминиевая лента</t>
  </si>
  <si>
    <t>16.5</t>
  </si>
  <si>
    <t>ХОЗ.ПИТЬЕВОЙ ВОДОПРОВОД (НАРУЖНЫЕ СЕТИ)</t>
  </si>
  <si>
    <t>Установка затвора дискового</t>
  </si>
  <si>
    <t>дисковый поворотный затвор ф50 межфланцевый с ручкой</t>
  </si>
  <si>
    <t>16.5.1</t>
  </si>
  <si>
    <t>Установка футляров</t>
  </si>
  <si>
    <t>труба стальная эл.сварная Д=219х6мм</t>
  </si>
  <si>
    <t>16.5.2</t>
  </si>
  <si>
    <t>Прокладка трубопроводов из полиэтиленовых труб</t>
  </si>
  <si>
    <t>труба напорная из полиэтилена ф63*3,8</t>
  </si>
  <si>
    <t>16.5.3</t>
  </si>
  <si>
    <t>Установка фасонных частей стальных</t>
  </si>
  <si>
    <t>фланец 1-50-10</t>
  </si>
  <si>
    <t>втулка под фланец удлиненная ф63</t>
  </si>
  <si>
    <t>16.6</t>
  </si>
  <si>
    <t>СИСТЕМА В1 ВЫШЕ ОТМ. 0.000</t>
  </si>
  <si>
    <t>16.6.1</t>
  </si>
  <si>
    <t>Прокладка трубопроводов из оцинкованных труб</t>
  </si>
  <si>
    <t>труба  ВГП оцинкованная ф15</t>
  </si>
  <si>
    <t>16.6.2</t>
  </si>
  <si>
    <t>труба полипропиленовая ф25х2,3</t>
  </si>
  <si>
    <t>трубы метал. Водопроводные(гильзы) ф40</t>
  </si>
  <si>
    <t>кран шаровый полипропиленовый ф25</t>
  </si>
  <si>
    <t>кран шаровый полипропиленовый ф20</t>
  </si>
  <si>
    <t>Труба защитная гофрированная (пешель) синяя д. 20 мм</t>
  </si>
  <si>
    <t>16.6.3</t>
  </si>
  <si>
    <t xml:space="preserve">трубка "ТИЛИТ" </t>
  </si>
  <si>
    <t>16.6.4</t>
  </si>
  <si>
    <t>Установка счетчиков с фильтрами</t>
  </si>
  <si>
    <t>счетчик СХВ-15</t>
  </si>
  <si>
    <t>фильтр ФММ-15</t>
  </si>
  <si>
    <t>16.6.5</t>
  </si>
  <si>
    <t>Установка кранов пожарных</t>
  </si>
  <si>
    <t>устройство внутриквартирного пожаротушения "Роса"</t>
  </si>
  <si>
    <t>16.7</t>
  </si>
  <si>
    <t>СИСТЕМА Т3 ВЫШЕ ОТМ. 0.000</t>
  </si>
  <si>
    <t>16.7.1</t>
  </si>
  <si>
    <t>Прокладка трубопроводов из полипропиленовых армированных труб</t>
  </si>
  <si>
    <t>труба полипропиленовая армированная ф20х3,4</t>
  </si>
  <si>
    <t>Труба защитная гофрированная (пешель) красная д. 20 мм</t>
  </si>
  <si>
    <t>16.8</t>
  </si>
  <si>
    <t>СИСТЕМА К1 ВЫШЕ ОТМ. 0.000</t>
  </si>
  <si>
    <t>16.8.1</t>
  </si>
  <si>
    <t>труба пластмассовая канализационная ф50</t>
  </si>
  <si>
    <t>труба пластмассовая канализационная ф40</t>
  </si>
  <si>
    <t>ревизия ф100</t>
  </si>
  <si>
    <t>муфта противопожарная ф100</t>
  </si>
  <si>
    <t>воронка капельная с гидрозатвором</t>
  </si>
  <si>
    <t>СИСТЕМА К2 ВЫШЕ ОТМ. 0.000</t>
  </si>
  <si>
    <t>воронка водосточная ф100</t>
  </si>
  <si>
    <t>компенсационный патрубок</t>
  </si>
  <si>
    <t>ИТОГО по разделу "Внутренние В и К":</t>
  </si>
  <si>
    <t>Раздел 21. Газоснабжение</t>
  </si>
  <si>
    <t>ВНУТРИДОМОВОЙ ГАЗОПРОВОД</t>
  </si>
  <si>
    <t>17.1</t>
  </si>
  <si>
    <t>Установка газовых счетчиков</t>
  </si>
  <si>
    <t>счетчик СГБ-2,5</t>
  </si>
  <si>
    <t>17.2</t>
  </si>
  <si>
    <t>Установка СИКЗ</t>
  </si>
  <si>
    <t>СИКЗ-25</t>
  </si>
  <si>
    <t>Клапан термозапорный КТЗ 001-25</t>
  </si>
  <si>
    <t>17.3</t>
  </si>
  <si>
    <t>Монтаж коаксиального дымохода/воздуховода ф 60/100</t>
  </si>
  <si>
    <t xml:space="preserve"> Коаксиальный дымоход/воздуховод</t>
  </si>
  <si>
    <t>17.4</t>
  </si>
  <si>
    <t>Газопровод  стальной</t>
  </si>
  <si>
    <t>стальная труба ф 57</t>
  </si>
  <si>
    <t>стальная труба ф 32</t>
  </si>
  <si>
    <t>стальная труба ф 25</t>
  </si>
  <si>
    <t>стальная труба ф 20</t>
  </si>
  <si>
    <t>стальная труба ф 15</t>
  </si>
  <si>
    <t>стальная труба ф57 мм футляр</t>
  </si>
  <si>
    <t>стальная труба ф 40 мм футляр</t>
  </si>
  <si>
    <t>крепление к стене</t>
  </si>
  <si>
    <t>17.5</t>
  </si>
  <si>
    <t>Арматура</t>
  </si>
  <si>
    <t>кран шаровый  ф 25мм КШ 25р</t>
  </si>
  <si>
    <t>кран шаровый  ф 20мм КШ 20р</t>
  </si>
  <si>
    <t>кран шаровый  ф 15мм КШ 15р</t>
  </si>
  <si>
    <t>Изолирующие соединения ф20 мм СИ 20</t>
  </si>
  <si>
    <t>Изолирующие соединения ф 15мм СИ 15</t>
  </si>
  <si>
    <t>кран шаровый  ф 32мм КШ 32р</t>
  </si>
  <si>
    <t>отвод стальной 90гр ф 32 мм</t>
  </si>
  <si>
    <t>отвод стальной 90гр ф 25 мм</t>
  </si>
  <si>
    <t>отвод стальной 90гр ф 57 мм</t>
  </si>
  <si>
    <t>Переход ф 25-15 мм</t>
  </si>
  <si>
    <t>Переход ф 32-25 мм</t>
  </si>
  <si>
    <t>Переход ф 57-32 мм</t>
  </si>
  <si>
    <t>17.6</t>
  </si>
  <si>
    <t>Окраска газопровода</t>
  </si>
  <si>
    <t>Грунтовка ГФ-021</t>
  </si>
  <si>
    <t>Эмаль ПФ-115 (желтая)</t>
  </si>
  <si>
    <t>17.7</t>
  </si>
  <si>
    <t>Пневматическое испытание газопровода</t>
  </si>
  <si>
    <t>ИТОГО по разделу "Газоснабжение":</t>
  </si>
  <si>
    <t>НА РАСЦЕНКИ +8%</t>
  </si>
  <si>
    <t>З/п ИТР</t>
  </si>
  <si>
    <t>з/п Рабочие</t>
  </si>
  <si>
    <t>Доп. Работы</t>
  </si>
  <si>
    <t>Электроэнергия</t>
  </si>
  <si>
    <t>Техника аренда</t>
  </si>
  <si>
    <t>Лизинги</t>
  </si>
  <si>
    <t>Налоги</t>
  </si>
  <si>
    <t>ВСЕГО ПО СМЕТЕ</t>
  </si>
  <si>
    <t>в т.ч. НДС18%</t>
  </si>
  <si>
    <t>05.01.2017</t>
  </si>
  <si>
    <t>Исполнитель</t>
  </si>
  <si>
    <t>Гичану</t>
  </si>
  <si>
    <t>кол-во по наряду</t>
  </si>
  <si>
    <t>06.01.2017</t>
  </si>
  <si>
    <t>07.01.2017</t>
  </si>
  <si>
    <t>08.01.2017</t>
  </si>
  <si>
    <t>Остаток по смете</t>
  </si>
  <si>
    <t>стоимость ед.</t>
  </si>
  <si>
    <t>Итого</t>
  </si>
  <si>
    <t>Муса</t>
  </si>
  <si>
    <t>РИК</t>
  </si>
  <si>
    <t>Металлоцентр</t>
  </si>
  <si>
    <t>Д2</t>
  </si>
  <si>
    <t>Ек</t>
  </si>
  <si>
    <t>Д</t>
  </si>
  <si>
    <t>Е</t>
  </si>
  <si>
    <t>∑ по секциям</t>
  </si>
  <si>
    <t>площадь</t>
  </si>
  <si>
    <t>кол-во квартир</t>
  </si>
  <si>
    <t>№п/п</t>
  </si>
  <si>
    <t>Наименование затрат</t>
  </si>
  <si>
    <t>Земляные работы</t>
  </si>
  <si>
    <t>Устройство фундаментов</t>
  </si>
  <si>
    <t>Устройство подвала ниже отм.0.00</t>
  </si>
  <si>
    <t>Строительство коробки, балконы, лестницы, козырьки</t>
  </si>
  <si>
    <t>Кровля</t>
  </si>
  <si>
    <t xml:space="preserve">Остекление оконных проёмов </t>
  </si>
  <si>
    <t>Двери</t>
  </si>
  <si>
    <t>Внутренняя отделка в том числе стяжка</t>
  </si>
  <si>
    <t>Отделка фасадов</t>
  </si>
  <si>
    <t>Устройство отмостки</t>
  </si>
  <si>
    <t>Газоснабжение</t>
  </si>
  <si>
    <t>Внутренние сети ВиК</t>
  </si>
  <si>
    <t>Внутренние сети отопления и вентиляции (в т.ч.газовые котлы)</t>
  </si>
  <si>
    <t>Внутренние сети эл/снабжения и освещения</t>
  </si>
  <si>
    <t>Итого стоимость СМР,руб.</t>
  </si>
  <si>
    <t>Дом №41</t>
  </si>
  <si>
    <t>Смета</t>
  </si>
  <si>
    <t>Факт</t>
  </si>
  <si>
    <t>Дом №42</t>
  </si>
  <si>
    <t>ИТОГО 10 квартал Ульянвоск</t>
  </si>
  <si>
    <t>Раздел 100. Организация работ</t>
  </si>
  <si>
    <t>100.1</t>
  </si>
  <si>
    <t>100.2</t>
  </si>
  <si>
    <t>100.3</t>
  </si>
  <si>
    <t>100.4</t>
  </si>
  <si>
    <t>100.5</t>
  </si>
  <si>
    <t>100.6</t>
  </si>
  <si>
    <t>100.7</t>
  </si>
  <si>
    <t>100.9</t>
  </si>
  <si>
    <t>скат</t>
  </si>
  <si>
    <t xml:space="preserve">срочные курсы абитуриентов </t>
  </si>
  <si>
    <t>секретные курсы автоматизации труда</t>
  </si>
  <si>
    <t>сложно кошкам аутентифицировать тренд</t>
  </si>
  <si>
    <t>выбрана работа</t>
  </si>
  <si>
    <t>решения</t>
  </si>
  <si>
    <t>1е</t>
  </si>
  <si>
    <t>выбор кол-ва</t>
  </si>
  <si>
    <t>задача - посчитать кол-во всего</t>
  </si>
  <si>
    <t>мах кол-во</t>
  </si>
  <si>
    <t>x</t>
  </si>
  <si>
    <t>остаток по смете</t>
  </si>
  <si>
    <t>объем</t>
  </si>
  <si>
    <t>ввод</t>
  </si>
  <si>
    <t>расчет материала</t>
  </si>
  <si>
    <t>простая пропорция</t>
  </si>
  <si>
    <t>=30/92*93.38</t>
  </si>
  <si>
    <t>=30/92*3,948033</t>
  </si>
  <si>
    <t>=30/92*1</t>
  </si>
  <si>
    <t>там округлено значение</t>
  </si>
  <si>
    <t>сохранять расчетные значения</t>
  </si>
  <si>
    <t>выводить округленные до копеек</t>
  </si>
  <si>
    <t>2е</t>
  </si>
  <si>
    <t>полностью</t>
  </si>
  <si>
    <t>Процент выполнения работы от общего объема</t>
  </si>
  <si>
    <t>=92-20</t>
  </si>
  <si>
    <t>остаток %</t>
  </si>
  <si>
    <t>=(92-20)*100/92</t>
  </si>
  <si>
    <t>выбор</t>
  </si>
  <si>
    <t>=40*92/100</t>
  </si>
  <si>
    <t>max кол-во%</t>
  </si>
  <si>
    <t>%</t>
  </si>
  <si>
    <t>дальше  расчет материала от полученного количества работ как в первом случае</t>
  </si>
  <si>
    <t>касса</t>
  </si>
  <si>
    <t>разделить права на ввод скана</t>
  </si>
  <si>
    <t>Работы</t>
  </si>
  <si>
    <t>оборудование</t>
  </si>
  <si>
    <t>к-т</t>
  </si>
  <si>
    <t>18.1</t>
  </si>
  <si>
    <t>19.1</t>
  </si>
  <si>
    <t>20.1</t>
  </si>
  <si>
    <t>100.10</t>
  </si>
  <si>
    <t>ИТОГО по разделу "Организация работ":</t>
  </si>
  <si>
    <t>и</t>
  </si>
  <si>
    <t>РЕАЛИЗАЦИЯ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</si>
</sst>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3" formatCode="_-* #,##0.00_₽_-;\-* #,##0.00_₽_-;_-* &quot;-&quot;??_₽_-;_-@_-"/>
    <numFmt numFmtId="164" formatCode="#,##0.00_р_."/>
    <numFmt numFmtId="165" formatCode="#,##0.00&quot;р.&quot;"/>
    <numFmt numFmtId="166" formatCode="#,##0.0_р_."/>
    <numFmt numFmtId="167" formatCode="0.0"/>
    <numFmt numFmtId="168" formatCode="_-* #,##0.00\ _₽_-;\-* #,##0.00\ _₽_-;_-* &quot;-&quot;??\ _₽_-;_-@_-"/>
    <numFmt numFmtId="169" formatCode="#,##0_ ;\-#,##0\ "/>
  </numFmts>
  <fonts count="40" x14ac:knownFonts="1">
    <font>
      <sz val="11"/>
      <color theme="1"/>
      <name val="Calibri"/>
      <family val="2"/>
      <charset val="204"/>
      <scheme val="minor"/>
    </font>
    <font>
      <sz val="11"/>
      <name val="Times New Roman"/>
      <family val="1"/>
      <charset val="204"/>
    </font>
    <font>
      <sz val="11"/>
      <name val="SimSun"/>
      <family val="2"/>
      <charset val="204"/>
    </font>
    <font>
      <b/>
      <sz val="11"/>
      <name val="Times New Roman"/>
      <family val="1"/>
      <charset val="204"/>
    </font>
    <font>
      <b/>
      <sz val="9"/>
      <name val="Times New Roman"/>
      <family val="1"/>
      <charset val="204"/>
    </font>
    <font>
      <b/>
      <sz val="12"/>
      <name val="Times New Roman"/>
      <family val="1"/>
      <charset val="204"/>
    </font>
    <font>
      <b/>
      <i/>
      <sz val="10"/>
      <name val="Times New Roman"/>
      <family val="1"/>
      <charset val="204"/>
    </font>
    <font>
      <b/>
      <i/>
      <sz val="12"/>
      <name val="Times New Roman"/>
      <family val="1"/>
      <charset val="204"/>
    </font>
    <font>
      <sz val="12"/>
      <name val="Times New Roman"/>
      <family val="1"/>
      <charset val="204"/>
    </font>
    <font>
      <b/>
      <sz val="14"/>
      <name val="Times New Roman"/>
      <family val="1"/>
      <charset val="204"/>
    </font>
    <font>
      <sz val="12"/>
      <color rgb="FFFF0000"/>
      <name val="Times New Roman"/>
      <family val="1"/>
      <charset val="204"/>
    </font>
    <font>
      <sz val="11"/>
      <color theme="1"/>
      <name val="Calibri"/>
      <family val="2"/>
      <scheme val="minor"/>
    </font>
    <font>
      <b/>
      <sz val="11"/>
      <name val="Calibri"/>
      <family val="2"/>
      <charset val="204"/>
    </font>
    <font>
      <sz val="11"/>
      <name val="Calibri"/>
      <family val="2"/>
      <charset val="204"/>
    </font>
    <font>
      <sz val="11"/>
      <name val="Arial"/>
      <family val="2"/>
      <charset val="204"/>
    </font>
    <font>
      <sz val="14"/>
      <name val="Times New Roman"/>
      <family val="1"/>
      <charset val="204"/>
    </font>
    <font>
      <sz val="12"/>
      <name val="Calibri"/>
      <family val="2"/>
      <charset val="204"/>
    </font>
    <font>
      <sz val="10.199999999999999"/>
      <name val="Times New Roman"/>
      <family val="1"/>
      <charset val="204"/>
    </font>
    <font>
      <b/>
      <sz val="10"/>
      <name val="Times New Roman"/>
      <family val="1"/>
      <charset val="204"/>
    </font>
    <font>
      <sz val="10"/>
      <name val="Times New Roman"/>
      <family val="1"/>
      <charset val="204"/>
    </font>
    <font>
      <b/>
      <sz val="11"/>
      <name val="SimSun"/>
      <family val="2"/>
      <charset val="204"/>
    </font>
    <font>
      <sz val="12"/>
      <color rgb="FF00B050"/>
      <name val="Times New Roman"/>
      <family val="1"/>
      <charset val="204"/>
    </font>
    <font>
      <b/>
      <sz val="11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b/>
      <sz val="11"/>
      <color rgb="FF000000"/>
      <name val="Arial"/>
      <family val="2"/>
      <charset val="204"/>
    </font>
    <font>
      <sz val="11"/>
      <color rgb="FF000000"/>
      <name val="Arial"/>
      <family val="2"/>
      <charset val="204"/>
    </font>
    <font>
      <b/>
      <sz val="11"/>
      <color rgb="FFFFC000"/>
      <name val="Arial"/>
      <family val="2"/>
      <charset val="204"/>
    </font>
    <font>
      <b/>
      <sz val="11"/>
      <color rgb="FFFF0000"/>
      <name val="Arial"/>
      <family val="2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2"/>
      <color rgb="FFFF0000"/>
      <name val="Times New Roman"/>
      <family val="1"/>
      <charset val="204"/>
    </font>
    <font>
      <sz val="12"/>
      <color theme="4"/>
      <name val="Times New Roman"/>
      <family val="1"/>
      <charset val="204"/>
    </font>
    <font>
      <sz val="11"/>
      <color theme="4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i/>
      <sz val="11"/>
      <color rgb="FFFF0000"/>
      <name val="Calibri"/>
      <family val="2"/>
      <charset val="204"/>
      <scheme val="minor"/>
    </font>
    <font>
      <b/>
      <sz val="14"/>
      <color theme="0"/>
      <name val="Times New Roman"/>
      <family val="1"/>
      <charset val="204"/>
    </font>
    <font>
      <b/>
      <sz val="14"/>
      <color theme="9" tint="0.79998168889431442"/>
      <name val="Times New Roman"/>
      <family val="1"/>
      <charset val="204"/>
    </font>
    <font>
      <b/>
      <sz val="9"/>
      <color theme="9" tint="0.79998168889431442"/>
      <name val="Times New Roman"/>
      <family val="1"/>
      <charset val="204"/>
    </font>
  </fonts>
  <fills count="1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rgb="FFFFFFCC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rgb="FFD7E4BD"/>
      </patternFill>
    </fill>
    <fill>
      <patternFill patternType="solid">
        <fgColor rgb="FFFFFFFF"/>
        <bgColor rgb="FFFFFFCC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1" fillId="0" borderId="0"/>
    <xf numFmtId="43" fontId="23" fillId="0" borderId="0" applyFont="0" applyFill="0" applyBorder="0" applyAlignment="0" applyProtection="0"/>
  </cellStyleXfs>
  <cellXfs count="359">
    <xf numFmtId="0" fontId="0" fillId="0" borderId="0" xfId="0"/>
    <xf numFmtId="0" fontId="1" fillId="0" borderId="0" xfId="0" applyFont="1" applyFill="1"/>
    <xf numFmtId="4" fontId="1" fillId="0" borderId="0" xfId="0" applyNumberFormat="1" applyFont="1" applyFill="1" applyAlignment="1">
      <alignment horizontal="right"/>
    </xf>
    <xf numFmtId="0" fontId="2" fillId="0" borderId="0" xfId="0" applyFont="1" applyFill="1"/>
    <xf numFmtId="0" fontId="3" fillId="0" borderId="0" xfId="0" applyFont="1" applyFill="1" applyAlignment="1">
      <alignment horizontal="center"/>
    </xf>
    <xf numFmtId="4" fontId="3" fillId="0" borderId="0" xfId="0" applyNumberFormat="1" applyFont="1" applyFill="1" applyAlignment="1">
      <alignment horizontal="right"/>
    </xf>
    <xf numFmtId="0" fontId="1" fillId="0" borderId="0" xfId="0" quotePrefix="1" applyFont="1" applyFill="1" applyAlignment="1">
      <alignment horizontal="left"/>
    </xf>
    <xf numFmtId="49" fontId="4" fillId="0" borderId="0" xfId="0" applyNumberFormat="1" applyFont="1" applyFill="1" applyAlignment="1">
      <alignment horizontal="center" vertical="center" wrapText="1"/>
    </xf>
    <xf numFmtId="164" fontId="5" fillId="0" borderId="0" xfId="0" applyNumberFormat="1" applyFont="1" applyFill="1" applyAlignment="1">
      <alignment horizontal="center" vertical="center" wrapText="1"/>
    </xf>
    <xf numFmtId="164" fontId="5" fillId="0" borderId="0" xfId="0" applyNumberFormat="1" applyFont="1" applyFill="1" applyAlignment="1">
      <alignment horizontal="right" vertical="center" wrapText="1"/>
    </xf>
    <xf numFmtId="165" fontId="7" fillId="0" borderId="0" xfId="0" applyNumberFormat="1" applyFont="1" applyFill="1" applyAlignment="1">
      <alignment horizontal="center" vertical="center" wrapText="1"/>
    </xf>
    <xf numFmtId="164" fontId="7" fillId="0" borderId="0" xfId="0" applyNumberFormat="1" applyFont="1" applyAlignment="1">
      <alignment vertical="center" wrapText="1"/>
    </xf>
    <xf numFmtId="164" fontId="7" fillId="0" borderId="1" xfId="0" quotePrefix="1" applyNumberFormat="1" applyFont="1" applyBorder="1" applyAlignment="1">
      <alignment horizontal="right" vertical="center" wrapText="1"/>
    </xf>
    <xf numFmtId="164" fontId="7" fillId="0" borderId="0" xfId="0" applyNumberFormat="1" applyFont="1" applyBorder="1" applyAlignment="1">
      <alignment horizontal="left" vertical="center" wrapText="1"/>
    </xf>
    <xf numFmtId="165" fontId="7" fillId="0" borderId="0" xfId="0" applyNumberFormat="1" applyFont="1" applyBorder="1" applyAlignment="1">
      <alignment horizontal="center" vertical="center" wrapText="1"/>
    </xf>
    <xf numFmtId="164" fontId="7" fillId="0" borderId="1" xfId="0" quotePrefix="1" applyNumberFormat="1" applyFont="1" applyFill="1" applyBorder="1" applyAlignment="1">
      <alignment horizontal="right" vertical="center" wrapText="1"/>
    </xf>
    <xf numFmtId="164" fontId="7" fillId="0" borderId="1" xfId="0" applyNumberFormat="1" applyFont="1" applyFill="1" applyBorder="1" applyAlignment="1">
      <alignment horizontal="center" vertical="center" wrapText="1"/>
    </xf>
    <xf numFmtId="164" fontId="7" fillId="0" borderId="1" xfId="0" applyNumberFormat="1" applyFont="1" applyBorder="1" applyAlignment="1">
      <alignment horizontal="right" vertical="center" wrapText="1"/>
    </xf>
    <xf numFmtId="164" fontId="8" fillId="0" borderId="0" xfId="0" applyNumberFormat="1" applyFont="1" applyAlignment="1">
      <alignment vertical="center" wrapText="1"/>
    </xf>
    <xf numFmtId="164" fontId="5" fillId="0" borderId="2" xfId="0" applyNumberFormat="1" applyFont="1" applyBorder="1" applyAlignment="1">
      <alignment horizontal="center" vertical="center" wrapText="1"/>
    </xf>
    <xf numFmtId="164" fontId="5" fillId="0" borderId="2" xfId="0" quotePrefix="1" applyNumberFormat="1" applyFont="1" applyBorder="1" applyAlignment="1">
      <alignment horizontal="right" vertical="center" wrapText="1"/>
    </xf>
    <xf numFmtId="164" fontId="4" fillId="2" borderId="3" xfId="0" quotePrefix="1" applyNumberFormat="1" applyFont="1" applyFill="1" applyBorder="1" applyAlignment="1">
      <alignment horizontal="left" vertical="center" wrapText="1"/>
    </xf>
    <xf numFmtId="164" fontId="9" fillId="2" borderId="4" xfId="0" applyNumberFormat="1" applyFont="1" applyFill="1" applyBorder="1" applyAlignment="1">
      <alignment horizontal="right" vertical="center" wrapText="1"/>
    </xf>
    <xf numFmtId="164" fontId="9" fillId="2" borderId="4" xfId="0" applyNumberFormat="1" applyFont="1" applyFill="1" applyBorder="1" applyAlignment="1">
      <alignment vertical="center" wrapText="1"/>
    </xf>
    <xf numFmtId="164" fontId="9" fillId="2" borderId="5" xfId="0" applyNumberFormat="1" applyFont="1" applyFill="1" applyBorder="1" applyAlignment="1">
      <alignment vertical="center" wrapText="1"/>
    </xf>
    <xf numFmtId="164" fontId="8" fillId="0" borderId="0" xfId="0" applyNumberFormat="1" applyFont="1" applyFill="1" applyAlignment="1">
      <alignment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164" fontId="5" fillId="0" borderId="2" xfId="0" quotePrefix="1" applyNumberFormat="1" applyFont="1" applyFill="1" applyBorder="1" applyAlignment="1">
      <alignment horizontal="left" vertical="center" wrapText="1"/>
    </xf>
    <xf numFmtId="164" fontId="5" fillId="0" borderId="2" xfId="0" applyNumberFormat="1" applyFont="1" applyFill="1" applyBorder="1" applyAlignment="1">
      <alignment horizontal="center" vertical="center" wrapText="1"/>
    </xf>
    <xf numFmtId="164" fontId="8" fillId="0" borderId="2" xfId="0" applyNumberFormat="1" applyFont="1" applyFill="1" applyBorder="1" applyAlignment="1">
      <alignment horizontal="center" vertical="center" wrapText="1"/>
    </xf>
    <xf numFmtId="164" fontId="8" fillId="0" borderId="2" xfId="0" applyNumberFormat="1" applyFont="1" applyFill="1" applyBorder="1" applyAlignment="1">
      <alignment horizontal="right" vertical="center" wrapText="1"/>
    </xf>
    <xf numFmtId="164" fontId="5" fillId="0" borderId="0" xfId="0" applyNumberFormat="1" applyFont="1" applyAlignment="1">
      <alignment vertical="center" wrapText="1"/>
    </xf>
    <xf numFmtId="164" fontId="5" fillId="0" borderId="0" xfId="0" applyNumberFormat="1" applyFont="1" applyFill="1" applyBorder="1" applyAlignment="1">
      <alignment horizontal="center" vertical="center" wrapText="1"/>
    </xf>
    <xf numFmtId="164" fontId="8" fillId="0" borderId="0" xfId="0" applyNumberFormat="1" applyFont="1" applyFill="1" applyBorder="1" applyAlignment="1">
      <alignment horizontal="center" vertical="center" wrapText="1"/>
    </xf>
    <xf numFmtId="49" fontId="4" fillId="0" borderId="2" xfId="0" applyNumberFormat="1" applyFont="1" applyFill="1" applyBorder="1" applyAlignment="1">
      <alignment horizontal="center" vertical="center" wrapText="1"/>
    </xf>
    <xf numFmtId="164" fontId="8" fillId="0" borderId="2" xfId="0" quotePrefix="1" applyNumberFormat="1" applyFont="1" applyFill="1" applyBorder="1" applyAlignment="1">
      <alignment horizontal="right" vertical="center" wrapText="1"/>
    </xf>
    <xf numFmtId="0" fontId="1" fillId="0" borderId="0" xfId="0" applyFont="1"/>
    <xf numFmtId="164" fontId="4" fillId="0" borderId="2" xfId="0" applyNumberFormat="1" applyFont="1" applyFill="1" applyBorder="1" applyAlignment="1">
      <alignment horizontal="center" vertical="center" wrapText="1"/>
    </xf>
    <xf numFmtId="164" fontId="8" fillId="0" borderId="0" xfId="0" applyNumberFormat="1" applyFont="1" applyAlignment="1">
      <alignment horizontal="center" vertical="center" wrapText="1"/>
    </xf>
    <xf numFmtId="164" fontId="5" fillId="0" borderId="2" xfId="0" applyNumberFormat="1" applyFont="1" applyFill="1" applyBorder="1" applyAlignment="1">
      <alignment vertical="center" wrapText="1"/>
    </xf>
    <xf numFmtId="4" fontId="5" fillId="0" borderId="2" xfId="0" applyNumberFormat="1" applyFont="1" applyFill="1" applyBorder="1" applyAlignment="1">
      <alignment horizontal="center" vertical="center" wrapText="1"/>
    </xf>
    <xf numFmtId="4" fontId="8" fillId="0" borderId="2" xfId="0" applyNumberFormat="1" applyFont="1" applyFill="1" applyBorder="1" applyAlignment="1">
      <alignment horizontal="right" vertical="center" wrapText="1"/>
    </xf>
    <xf numFmtId="164" fontId="10" fillId="0" borderId="2" xfId="0" applyNumberFormat="1" applyFont="1" applyFill="1" applyBorder="1" applyAlignment="1">
      <alignment horizontal="right" vertical="center" wrapText="1"/>
    </xf>
    <xf numFmtId="4" fontId="10" fillId="0" borderId="2" xfId="0" applyNumberFormat="1" applyFont="1" applyFill="1" applyBorder="1" applyAlignment="1" applyProtection="1">
      <alignment horizontal="right" vertical="center" wrapText="1"/>
      <protection locked="0"/>
    </xf>
    <xf numFmtId="4" fontId="8" fillId="0" borderId="0" xfId="1" applyNumberFormat="1" applyFont="1" applyFill="1" applyBorder="1" applyAlignment="1">
      <alignment horizontal="center" vertical="center" wrapText="1"/>
    </xf>
    <xf numFmtId="0" fontId="8" fillId="0" borderId="2" xfId="1" applyFont="1" applyFill="1" applyBorder="1" applyAlignment="1">
      <alignment horizontal="center" vertical="center" wrapText="1"/>
    </xf>
    <xf numFmtId="4" fontId="8" fillId="0" borderId="2" xfId="1" applyNumberFormat="1" applyFont="1" applyFill="1" applyBorder="1" applyAlignment="1">
      <alignment horizontal="center" vertical="center" wrapText="1"/>
    </xf>
    <xf numFmtId="49" fontId="4" fillId="0" borderId="6" xfId="0" applyNumberFormat="1" applyFont="1" applyFill="1" applyBorder="1" applyAlignment="1">
      <alignment horizontal="center" vertical="center" wrapText="1"/>
    </xf>
    <xf numFmtId="164" fontId="5" fillId="0" borderId="0" xfId="0" applyNumberFormat="1" applyFont="1" applyFill="1" applyAlignment="1">
      <alignment vertical="center" wrapText="1"/>
    </xf>
    <xf numFmtId="164" fontId="5" fillId="0" borderId="0" xfId="0" applyNumberFormat="1" applyFont="1" applyFill="1" applyBorder="1" applyAlignment="1">
      <alignment vertical="center" wrapText="1"/>
    </xf>
    <xf numFmtId="164" fontId="5" fillId="0" borderId="2" xfId="0" applyNumberFormat="1" applyFont="1" applyFill="1" applyBorder="1" applyAlignment="1">
      <alignment horizontal="right" vertical="center" wrapText="1"/>
    </xf>
    <xf numFmtId="164" fontId="4" fillId="0" borderId="6" xfId="0" applyNumberFormat="1" applyFont="1" applyFill="1" applyBorder="1" applyAlignment="1">
      <alignment horizontal="center" vertical="center" wrapText="1"/>
    </xf>
    <xf numFmtId="4" fontId="8" fillId="0" borderId="2" xfId="1" applyNumberFormat="1" applyFont="1" applyFill="1" applyBorder="1" applyAlignment="1">
      <alignment horizontal="right" vertical="center" wrapText="1"/>
    </xf>
    <xf numFmtId="0" fontId="5" fillId="0" borderId="2" xfId="1" applyFont="1" applyFill="1" applyBorder="1" applyAlignment="1">
      <alignment horizontal="left" vertical="center" wrapText="1"/>
    </xf>
    <xf numFmtId="164" fontId="5" fillId="0" borderId="0" xfId="0" applyNumberFormat="1" applyFont="1" applyAlignment="1">
      <alignment horizontal="center" vertical="center" wrapText="1"/>
    </xf>
    <xf numFmtId="2" fontId="5" fillId="0" borderId="2" xfId="1" applyNumberFormat="1" applyFont="1" applyFill="1" applyBorder="1" applyAlignment="1">
      <alignment horizontal="center" vertical="center" wrapText="1"/>
    </xf>
    <xf numFmtId="164" fontId="5" fillId="3" borderId="2" xfId="0" applyNumberFormat="1" applyFont="1" applyFill="1" applyBorder="1" applyAlignment="1">
      <alignment horizontal="center" vertical="center" wrapText="1"/>
    </xf>
    <xf numFmtId="164" fontId="5" fillId="3" borderId="2" xfId="0" applyNumberFormat="1" applyFont="1" applyFill="1" applyBorder="1" applyAlignment="1">
      <alignment horizontal="right" vertical="center" wrapText="1"/>
    </xf>
    <xf numFmtId="49" fontId="4" fillId="4" borderId="3" xfId="0" applyNumberFormat="1" applyFont="1" applyFill="1" applyBorder="1" applyAlignment="1">
      <alignment horizontal="center" vertical="center" wrapText="1"/>
    </xf>
    <xf numFmtId="164" fontId="8" fillId="0" borderId="6" xfId="0" applyNumberFormat="1" applyFont="1" applyFill="1" applyBorder="1" applyAlignment="1">
      <alignment horizontal="left" vertical="center" wrapText="1"/>
    </xf>
    <xf numFmtId="0" fontId="8" fillId="0" borderId="6" xfId="1" applyFont="1" applyFill="1" applyBorder="1" applyAlignment="1">
      <alignment horizontal="center" vertical="center" wrapText="1"/>
    </xf>
    <xf numFmtId="4" fontId="8" fillId="0" borderId="6" xfId="1" applyNumberFormat="1" applyFont="1" applyFill="1" applyBorder="1" applyAlignment="1">
      <alignment horizontal="center" vertical="center" wrapText="1"/>
    </xf>
    <xf numFmtId="164" fontId="8" fillId="0" borderId="6" xfId="0" applyNumberFormat="1" applyFont="1" applyFill="1" applyBorder="1" applyAlignment="1">
      <alignment horizontal="center" vertical="center" wrapText="1"/>
    </xf>
    <xf numFmtId="4" fontId="8" fillId="0" borderId="6" xfId="1" applyNumberFormat="1" applyFont="1" applyFill="1" applyBorder="1" applyAlignment="1">
      <alignment horizontal="right" vertical="center" wrapText="1"/>
    </xf>
    <xf numFmtId="164" fontId="5" fillId="0" borderId="6" xfId="0" applyNumberFormat="1" applyFont="1" applyFill="1" applyBorder="1" applyAlignment="1">
      <alignment horizontal="left" vertical="center" wrapText="1"/>
    </xf>
    <xf numFmtId="164" fontId="5" fillId="0" borderId="6" xfId="0" applyNumberFormat="1" applyFont="1" applyFill="1" applyBorder="1" applyAlignment="1">
      <alignment horizontal="center" vertical="center" wrapText="1"/>
    </xf>
    <xf numFmtId="164" fontId="5" fillId="0" borderId="6" xfId="0" applyNumberFormat="1" applyFont="1" applyFill="1" applyBorder="1" applyAlignment="1">
      <alignment horizontal="right" vertical="center" wrapText="1"/>
    </xf>
    <xf numFmtId="49" fontId="4" fillId="5" borderId="6" xfId="0" applyNumberFormat="1" applyFont="1" applyFill="1" applyBorder="1" applyAlignment="1">
      <alignment horizontal="center" vertical="center" wrapText="1"/>
    </xf>
    <xf numFmtId="164" fontId="5" fillId="5" borderId="6" xfId="0" quotePrefix="1" applyNumberFormat="1" applyFont="1" applyFill="1" applyBorder="1" applyAlignment="1">
      <alignment horizontal="right" vertical="center" wrapText="1"/>
    </xf>
    <xf numFmtId="164" fontId="5" fillId="5" borderId="6" xfId="0" applyNumberFormat="1" applyFont="1" applyFill="1" applyBorder="1" applyAlignment="1">
      <alignment horizontal="center" vertical="center" wrapText="1"/>
    </xf>
    <xf numFmtId="164" fontId="5" fillId="5" borderId="6" xfId="0" applyNumberFormat="1" applyFont="1" applyFill="1" applyBorder="1" applyAlignment="1">
      <alignment horizontal="right" vertical="center" wrapText="1"/>
    </xf>
    <xf numFmtId="49" fontId="4" fillId="0" borderId="7" xfId="0" applyNumberFormat="1" applyFont="1" applyFill="1" applyBorder="1" applyAlignment="1">
      <alignment horizontal="center" vertical="center" wrapText="1"/>
    </xf>
    <xf numFmtId="164" fontId="5" fillId="0" borderId="2" xfId="0" quotePrefix="1" applyNumberFormat="1" applyFont="1" applyFill="1" applyBorder="1" applyAlignment="1">
      <alignment horizontal="right" vertical="center" wrapText="1"/>
    </xf>
    <xf numFmtId="164" fontId="8" fillId="0" borderId="0" xfId="0" applyNumberFormat="1" applyFont="1" applyFill="1" applyBorder="1" applyAlignment="1">
      <alignment vertical="center" wrapText="1"/>
    </xf>
    <xf numFmtId="164" fontId="8" fillId="0" borderId="0" xfId="0" applyNumberFormat="1" applyFont="1" applyBorder="1" applyAlignment="1">
      <alignment vertical="center" wrapText="1"/>
    </xf>
    <xf numFmtId="2" fontId="8" fillId="0" borderId="2" xfId="0" applyNumberFormat="1" applyFont="1" applyFill="1" applyBorder="1" applyAlignment="1">
      <alignment horizontal="center" vertical="center" wrapText="1"/>
    </xf>
    <xf numFmtId="164" fontId="8" fillId="0" borderId="2" xfId="0" applyNumberFormat="1" applyFont="1" applyFill="1" applyBorder="1" applyAlignment="1">
      <alignment vertical="center" wrapText="1"/>
    </xf>
    <xf numFmtId="4" fontId="8" fillId="0" borderId="2" xfId="0" applyNumberFormat="1" applyFont="1" applyFill="1" applyBorder="1" applyAlignment="1">
      <alignment horizontal="center" vertical="center" wrapText="1"/>
    </xf>
    <xf numFmtId="4" fontId="8" fillId="0" borderId="2" xfId="0" applyNumberFormat="1" applyFont="1" applyFill="1" applyBorder="1" applyAlignment="1">
      <alignment vertical="center" wrapText="1"/>
    </xf>
    <xf numFmtId="164" fontId="5" fillId="0" borderId="2" xfId="0" applyNumberFormat="1" applyFont="1" applyFill="1" applyBorder="1" applyAlignment="1">
      <alignment horizontal="left" vertical="center" wrapText="1"/>
    </xf>
    <xf numFmtId="2" fontId="5" fillId="0" borderId="2" xfId="0" applyNumberFormat="1" applyFont="1" applyFill="1" applyBorder="1" applyAlignment="1">
      <alignment horizontal="center" vertical="center" wrapText="1"/>
    </xf>
    <xf numFmtId="2" fontId="8" fillId="0" borderId="0" xfId="0" applyNumberFormat="1" applyFont="1" applyFill="1" applyBorder="1" applyAlignment="1">
      <alignment horizontal="center" vertical="center" wrapText="1"/>
    </xf>
    <xf numFmtId="0" fontId="5" fillId="0" borderId="2" xfId="1" applyFont="1" applyFill="1" applyBorder="1" applyAlignment="1">
      <alignment vertical="center" wrapText="1"/>
    </xf>
    <xf numFmtId="0" fontId="5" fillId="0" borderId="2" xfId="1" applyFont="1" applyFill="1" applyBorder="1" applyAlignment="1">
      <alignment horizontal="center" vertical="center" wrapText="1"/>
    </xf>
    <xf numFmtId="4" fontId="5" fillId="0" borderId="2" xfId="1" applyNumberFormat="1" applyFont="1" applyFill="1" applyBorder="1" applyAlignment="1">
      <alignment horizontal="center" vertical="center" wrapText="1"/>
    </xf>
    <xf numFmtId="4" fontId="8" fillId="0" borderId="2" xfId="0" applyNumberFormat="1" applyFont="1" applyFill="1" applyBorder="1" applyAlignment="1" applyProtection="1">
      <alignment horizontal="right" vertical="center" wrapText="1"/>
      <protection locked="0"/>
    </xf>
    <xf numFmtId="0" fontId="8" fillId="0" borderId="2" xfId="1" quotePrefix="1" applyFont="1" applyFill="1" applyBorder="1" applyAlignment="1">
      <alignment horizontal="right" vertical="center" wrapText="1"/>
    </xf>
    <xf numFmtId="0" fontId="5" fillId="0" borderId="2" xfId="1" quotePrefix="1" applyFont="1" applyFill="1" applyBorder="1" applyAlignment="1">
      <alignment horizontal="left" vertical="center" wrapText="1"/>
    </xf>
    <xf numFmtId="49" fontId="4" fillId="2" borderId="2" xfId="0" quotePrefix="1" applyNumberFormat="1" applyFont="1" applyFill="1" applyBorder="1" applyAlignment="1">
      <alignment horizontal="center" vertical="center" wrapText="1"/>
    </xf>
    <xf numFmtId="49" fontId="4" fillId="0" borderId="2" xfId="0" applyNumberFormat="1" applyFont="1" applyBorder="1" applyAlignment="1">
      <alignment horizontal="center" vertical="center" wrapText="1"/>
    </xf>
    <xf numFmtId="164" fontId="5" fillId="2" borderId="4" xfId="0" quotePrefix="1" applyNumberFormat="1" applyFont="1" applyFill="1" applyBorder="1" applyAlignment="1">
      <alignment horizontal="left" vertical="center" wrapText="1"/>
    </xf>
    <xf numFmtId="164" fontId="5" fillId="0" borderId="0" xfId="0" applyNumberFormat="1" applyFont="1" applyBorder="1" applyAlignment="1">
      <alignment vertical="center" wrapText="1"/>
    </xf>
    <xf numFmtId="164" fontId="5" fillId="4" borderId="2" xfId="0" applyNumberFormat="1" applyFont="1" applyFill="1" applyBorder="1" applyAlignment="1">
      <alignment horizontal="center" vertical="center" wrapText="1"/>
    </xf>
    <xf numFmtId="49" fontId="4" fillId="0" borderId="2" xfId="0" quotePrefix="1" applyNumberFormat="1" applyFont="1" applyBorder="1" applyAlignment="1">
      <alignment horizontal="center" vertical="center" wrapText="1"/>
    </xf>
    <xf numFmtId="0" fontId="8" fillId="0" borderId="2" xfId="1" applyFont="1" applyFill="1" applyBorder="1" applyAlignment="1">
      <alignment horizontal="right" vertical="center" wrapText="1"/>
    </xf>
    <xf numFmtId="164" fontId="5" fillId="4" borderId="2" xfId="0" quotePrefix="1" applyNumberFormat="1" applyFont="1" applyFill="1" applyBorder="1" applyAlignment="1">
      <alignment horizontal="center" vertical="center" wrapText="1"/>
    </xf>
    <xf numFmtId="164" fontId="4" fillId="2" borderId="2" xfId="0" applyNumberFormat="1" applyFont="1" applyFill="1" applyBorder="1" applyAlignment="1">
      <alignment horizontal="center" vertical="center" wrapText="1"/>
    </xf>
    <xf numFmtId="49" fontId="4" fillId="5" borderId="2" xfId="0" applyNumberFormat="1" applyFont="1" applyFill="1" applyBorder="1" applyAlignment="1">
      <alignment horizontal="center" vertical="center" wrapText="1"/>
    </xf>
    <xf numFmtId="164" fontId="5" fillId="6" borderId="2" xfId="0" quotePrefix="1" applyNumberFormat="1" applyFont="1" applyFill="1" applyBorder="1" applyAlignment="1">
      <alignment horizontal="right" vertical="center" wrapText="1"/>
    </xf>
    <xf numFmtId="164" fontId="5" fillId="6" borderId="2" xfId="0" applyNumberFormat="1" applyFont="1" applyFill="1" applyBorder="1" applyAlignment="1">
      <alignment horizontal="center" vertical="center" wrapText="1"/>
    </xf>
    <xf numFmtId="164" fontId="5" fillId="6" borderId="2" xfId="0" applyNumberFormat="1" applyFont="1" applyFill="1" applyBorder="1" applyAlignment="1">
      <alignment horizontal="right" vertical="center" wrapText="1"/>
    </xf>
    <xf numFmtId="4" fontId="5" fillId="6" borderId="2" xfId="0" applyNumberFormat="1" applyFont="1" applyFill="1" applyBorder="1" applyAlignment="1">
      <alignment horizontal="center" vertical="center" wrapText="1"/>
    </xf>
    <xf numFmtId="49" fontId="4" fillId="0" borderId="3" xfId="0" applyNumberFormat="1" applyFont="1" applyFill="1" applyBorder="1" applyAlignment="1">
      <alignment horizontal="center" vertical="center" wrapText="1"/>
    </xf>
    <xf numFmtId="164" fontId="4" fillId="2" borderId="3" xfId="0" quotePrefix="1" applyNumberFormat="1" applyFont="1" applyFill="1" applyBorder="1" applyAlignment="1">
      <alignment vertical="center" wrapText="1"/>
    </xf>
    <xf numFmtId="4" fontId="5" fillId="6" borderId="2" xfId="0" applyNumberFormat="1" applyFont="1" applyFill="1" applyBorder="1" applyAlignment="1">
      <alignment horizontal="right" vertical="center" wrapText="1"/>
    </xf>
    <xf numFmtId="49" fontId="4" fillId="4" borderId="2" xfId="0" applyNumberFormat="1" applyFont="1" applyFill="1" applyBorder="1" applyAlignment="1">
      <alignment horizontal="center" vertical="center" wrapText="1"/>
    </xf>
    <xf numFmtId="164" fontId="9" fillId="2" borderId="4" xfId="0" quotePrefix="1" applyNumberFormat="1" applyFont="1" applyFill="1" applyBorder="1" applyAlignment="1">
      <alignment horizontal="left" vertical="center" wrapText="1"/>
    </xf>
    <xf numFmtId="164" fontId="8" fillId="0" borderId="2" xfId="0" applyNumberFormat="1" applyFont="1" applyBorder="1" applyAlignment="1">
      <alignment horizontal="center" vertical="center" wrapText="1"/>
    </xf>
    <xf numFmtId="0" fontId="12" fillId="0" borderId="2" xfId="0" applyFont="1" applyFill="1" applyBorder="1" applyAlignment="1">
      <alignment horizontal="center" wrapText="1"/>
    </xf>
    <xf numFmtId="0" fontId="13" fillId="0" borderId="2" xfId="0" applyFont="1" applyFill="1" applyBorder="1" applyAlignment="1">
      <alignment horizontal="center" wrapText="1"/>
    </xf>
    <xf numFmtId="0" fontId="14" fillId="0" borderId="2" xfId="1" applyFont="1" applyFill="1" applyBorder="1" applyAlignment="1">
      <alignment horizontal="right" vertical="center" wrapText="1"/>
    </xf>
    <xf numFmtId="0" fontId="8" fillId="0" borderId="2" xfId="0" applyFont="1" applyFill="1" applyBorder="1" applyAlignment="1">
      <alignment horizontal="right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8" fillId="0" borderId="2" xfId="0" quotePrefix="1" applyFont="1" applyFill="1" applyBorder="1" applyAlignment="1">
      <alignment horizontal="right" vertical="center" wrapText="1"/>
    </xf>
    <xf numFmtId="0" fontId="8" fillId="0" borderId="2" xfId="0" applyFont="1" applyFill="1" applyBorder="1" applyAlignment="1">
      <alignment horizontal="center" vertical="center" wrapText="1"/>
    </xf>
    <xf numFmtId="164" fontId="1" fillId="0" borderId="2" xfId="0" applyNumberFormat="1" applyFont="1" applyFill="1" applyBorder="1" applyAlignment="1">
      <alignment horizontal="right" vertical="center" wrapText="1"/>
    </xf>
    <xf numFmtId="49" fontId="4" fillId="0" borderId="0" xfId="0" applyNumberFormat="1" applyFont="1" applyAlignment="1">
      <alignment horizontal="center" vertical="center" wrapText="1"/>
    </xf>
    <xf numFmtId="3" fontId="8" fillId="0" borderId="2" xfId="0" applyNumberFormat="1" applyFont="1" applyFill="1" applyBorder="1" applyAlignment="1">
      <alignment horizontal="center" vertical="center" wrapText="1"/>
    </xf>
    <xf numFmtId="0" fontId="5" fillId="0" borderId="2" xfId="0" quotePrefix="1" applyFont="1" applyFill="1" applyBorder="1" applyAlignment="1">
      <alignment horizontal="center" vertical="center" wrapText="1"/>
    </xf>
    <xf numFmtId="4" fontId="5" fillId="0" borderId="2" xfId="0" applyNumberFormat="1" applyFont="1" applyFill="1" applyBorder="1" applyAlignment="1">
      <alignment horizontal="right" vertical="center" wrapText="1"/>
    </xf>
    <xf numFmtId="0" fontId="14" fillId="0" borderId="2" xfId="1" quotePrefix="1" applyFont="1" applyFill="1" applyBorder="1" applyAlignment="1">
      <alignment horizontal="right" vertical="center" wrapText="1"/>
    </xf>
    <xf numFmtId="164" fontId="5" fillId="0" borderId="6" xfId="0" quotePrefix="1" applyNumberFormat="1" applyFont="1" applyFill="1" applyBorder="1" applyAlignment="1">
      <alignment horizontal="right" vertical="center" wrapText="1"/>
    </xf>
    <xf numFmtId="164" fontId="5" fillId="0" borderId="8" xfId="0" quotePrefix="1" applyNumberFormat="1" applyFont="1" applyBorder="1" applyAlignment="1">
      <alignment horizontal="left" vertical="center" wrapText="1"/>
    </xf>
    <xf numFmtId="164" fontId="5" fillId="7" borderId="2" xfId="0" applyNumberFormat="1" applyFont="1" applyFill="1" applyBorder="1" applyAlignment="1">
      <alignment horizontal="right" vertical="center" wrapText="1"/>
    </xf>
    <xf numFmtId="164" fontId="5" fillId="0" borderId="2" xfId="0" quotePrefix="1" applyNumberFormat="1" applyFont="1" applyBorder="1" applyAlignment="1">
      <alignment horizontal="left" vertical="center" wrapText="1"/>
    </xf>
    <xf numFmtId="164" fontId="8" fillId="0" borderId="0" xfId="0" applyNumberFormat="1" applyFont="1" applyAlignment="1">
      <alignment horizontal="right" vertical="center" wrapText="1"/>
    </xf>
    <xf numFmtId="164" fontId="4" fillId="2" borderId="3" xfId="0" applyNumberFormat="1" applyFont="1" applyFill="1" applyBorder="1" applyAlignment="1">
      <alignment vertical="center" wrapText="1"/>
    </xf>
    <xf numFmtId="164" fontId="5" fillId="0" borderId="8" xfId="0" applyNumberFormat="1" applyFont="1" applyFill="1" applyBorder="1" applyAlignment="1">
      <alignment vertical="center" wrapText="1"/>
    </xf>
    <xf numFmtId="1" fontId="8" fillId="0" borderId="2" xfId="0" applyNumberFormat="1" applyFont="1" applyFill="1" applyBorder="1" applyAlignment="1">
      <alignment horizontal="center" vertical="center" wrapText="1"/>
    </xf>
    <xf numFmtId="0" fontId="8" fillId="0" borderId="2" xfId="0" applyNumberFormat="1" applyFont="1" applyFill="1" applyBorder="1" applyAlignment="1">
      <alignment horizontal="center" vertical="center" wrapText="1"/>
    </xf>
    <xf numFmtId="0" fontId="5" fillId="0" borderId="2" xfId="0" applyNumberFormat="1" applyFont="1" applyFill="1" applyBorder="1" applyAlignment="1">
      <alignment horizontal="center" vertical="center" wrapText="1"/>
    </xf>
    <xf numFmtId="164" fontId="5" fillId="0" borderId="8" xfId="0" quotePrefix="1" applyNumberFormat="1" applyFont="1" applyFill="1" applyBorder="1" applyAlignment="1">
      <alignment horizontal="left" vertical="center" wrapText="1"/>
    </xf>
    <xf numFmtId="0" fontId="8" fillId="0" borderId="2" xfId="1" applyFont="1" applyBorder="1" applyAlignment="1">
      <alignment horizontal="center" vertical="center" wrapText="1"/>
    </xf>
    <xf numFmtId="0" fontId="1" fillId="0" borderId="2" xfId="1" quotePrefix="1" applyFont="1" applyBorder="1" applyAlignment="1">
      <alignment horizontal="right" vertical="center" wrapText="1"/>
    </xf>
    <xf numFmtId="164" fontId="5" fillId="0" borderId="6" xfId="0" applyNumberFormat="1" applyFont="1" applyFill="1" applyBorder="1" applyAlignment="1">
      <alignment vertical="center" wrapText="1"/>
    </xf>
    <xf numFmtId="164" fontId="5" fillId="0" borderId="8" xfId="0" applyNumberFormat="1" applyFont="1" applyFill="1" applyBorder="1" applyAlignment="1">
      <alignment horizontal="center" vertical="center" wrapText="1"/>
    </xf>
    <xf numFmtId="164" fontId="9" fillId="0" borderId="8" xfId="0" applyNumberFormat="1" applyFont="1" applyFill="1" applyBorder="1" applyAlignment="1">
      <alignment horizontal="center" vertical="center" wrapText="1"/>
    </xf>
    <xf numFmtId="164" fontId="15" fillId="0" borderId="8" xfId="0" applyNumberFormat="1" applyFont="1" applyFill="1" applyBorder="1" applyAlignment="1">
      <alignment horizontal="center" vertical="center" wrapText="1"/>
    </xf>
    <xf numFmtId="164" fontId="1" fillId="0" borderId="8" xfId="0" applyNumberFormat="1" applyFont="1" applyFill="1" applyBorder="1" applyAlignment="1">
      <alignment horizontal="center" vertical="center" wrapText="1"/>
    </xf>
    <xf numFmtId="164" fontId="1" fillId="0" borderId="8" xfId="0" applyNumberFormat="1" applyFont="1" applyFill="1" applyBorder="1" applyAlignment="1">
      <alignment horizontal="right" vertical="center" wrapText="1"/>
    </xf>
    <xf numFmtId="164" fontId="1" fillId="0" borderId="2" xfId="0" applyNumberFormat="1" applyFont="1" applyFill="1" applyBorder="1" applyAlignment="1">
      <alignment horizontal="center" vertical="center" wrapText="1"/>
    </xf>
    <xf numFmtId="166" fontId="8" fillId="0" borderId="2" xfId="0" applyNumberFormat="1" applyFont="1" applyFill="1" applyBorder="1" applyAlignment="1">
      <alignment horizontal="center" vertical="center" wrapText="1"/>
    </xf>
    <xf numFmtId="167" fontId="5" fillId="0" borderId="0" xfId="0" applyNumberFormat="1" applyFont="1" applyFill="1" applyBorder="1" applyAlignment="1">
      <alignment horizontal="center" vertical="center" wrapText="1"/>
    </xf>
    <xf numFmtId="164" fontId="3" fillId="6" borderId="2" xfId="0" applyNumberFormat="1" applyFont="1" applyFill="1" applyBorder="1" applyAlignment="1">
      <alignment horizontal="right" vertical="center" wrapText="1"/>
    </xf>
    <xf numFmtId="164" fontId="9" fillId="2" borderId="3" xfId="0" quotePrefix="1" applyNumberFormat="1" applyFont="1" applyFill="1" applyBorder="1" applyAlignment="1">
      <alignment horizontal="left" vertical="center" wrapText="1"/>
    </xf>
    <xf numFmtId="164" fontId="9" fillId="2" borderId="5" xfId="0" quotePrefix="1" applyNumberFormat="1" applyFont="1" applyFill="1" applyBorder="1" applyAlignment="1">
      <alignment horizontal="left" vertical="center" wrapText="1"/>
    </xf>
    <xf numFmtId="167" fontId="5" fillId="0" borderId="2" xfId="0" applyNumberFormat="1" applyFont="1" applyFill="1" applyBorder="1" applyAlignment="1">
      <alignment horizontal="center" vertical="center" wrapText="1"/>
    </xf>
    <xf numFmtId="164" fontId="15" fillId="2" borderId="4" xfId="0" applyNumberFormat="1" applyFont="1" applyFill="1" applyBorder="1" applyAlignment="1">
      <alignment vertical="center" wrapText="1"/>
    </xf>
    <xf numFmtId="164" fontId="1" fillId="2" borderId="4" xfId="0" applyNumberFormat="1" applyFont="1" applyFill="1" applyBorder="1" applyAlignment="1">
      <alignment horizontal="center" vertical="center" wrapText="1"/>
    </xf>
    <xf numFmtId="164" fontId="8" fillId="2" borderId="4" xfId="0" applyNumberFormat="1" applyFont="1" applyFill="1" applyBorder="1" applyAlignment="1">
      <alignment horizontal="right" vertical="center" wrapText="1"/>
    </xf>
    <xf numFmtId="164" fontId="8" fillId="2" borderId="4" xfId="0" applyNumberFormat="1" applyFont="1" applyFill="1" applyBorder="1" applyAlignment="1">
      <alignment horizontal="center" vertical="center" wrapText="1"/>
    </xf>
    <xf numFmtId="164" fontId="8" fillId="2" borderId="5" xfId="0" applyNumberFormat="1" applyFont="1" applyFill="1" applyBorder="1" applyAlignment="1">
      <alignment horizontal="center" vertical="center" wrapText="1"/>
    </xf>
    <xf numFmtId="164" fontId="8" fillId="0" borderId="8" xfId="0" applyNumberFormat="1" applyFont="1" applyFill="1" applyBorder="1" applyAlignment="1">
      <alignment horizontal="right" vertical="center" wrapText="1"/>
    </xf>
    <xf numFmtId="164" fontId="8" fillId="0" borderId="8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64" fontId="3" fillId="0" borderId="8" xfId="0" applyNumberFormat="1" applyFont="1" applyFill="1" applyBorder="1" applyAlignment="1">
      <alignment vertical="center" wrapText="1"/>
    </xf>
    <xf numFmtId="164" fontId="3" fillId="0" borderId="2" xfId="0" quotePrefix="1" applyNumberFormat="1" applyFont="1" applyFill="1" applyBorder="1" applyAlignment="1">
      <alignment horizontal="left" vertical="center" wrapText="1"/>
    </xf>
    <xf numFmtId="164" fontId="3" fillId="2" borderId="5" xfId="0" applyNumberFormat="1" applyFont="1" applyFill="1" applyBorder="1" applyAlignment="1">
      <alignment horizontal="center" vertical="center" wrapText="1"/>
    </xf>
    <xf numFmtId="164" fontId="5" fillId="2" borderId="2" xfId="0" applyNumberFormat="1" applyFont="1" applyFill="1" applyBorder="1" applyAlignment="1">
      <alignment horizontal="center" vertical="center" wrapText="1"/>
    </xf>
    <xf numFmtId="164" fontId="8" fillId="2" borderId="2" xfId="0" applyNumberFormat="1" applyFont="1" applyFill="1" applyBorder="1" applyAlignment="1">
      <alignment horizontal="center" vertical="center" wrapText="1"/>
    </xf>
    <xf numFmtId="164" fontId="8" fillId="0" borderId="2" xfId="0" applyNumberFormat="1" applyFont="1" applyBorder="1" applyAlignment="1">
      <alignment horizontal="right" vertical="center" wrapText="1"/>
    </xf>
    <xf numFmtId="164" fontId="5" fillId="0" borderId="2" xfId="0" quotePrefix="1" applyNumberFormat="1" applyFont="1" applyFill="1" applyBorder="1" applyAlignment="1">
      <alignment horizontal="center" vertical="center" wrapText="1"/>
    </xf>
    <xf numFmtId="164" fontId="3" fillId="0" borderId="2" xfId="0" applyNumberFormat="1" applyFont="1" applyFill="1" applyBorder="1" applyAlignment="1">
      <alignment horizontal="center" vertical="center" wrapText="1"/>
    </xf>
    <xf numFmtId="164" fontId="5" fillId="5" borderId="2" xfId="0" applyNumberFormat="1" applyFont="1" applyFill="1" applyBorder="1" applyAlignment="1">
      <alignment horizontal="right" vertical="center" wrapText="1"/>
    </xf>
    <xf numFmtId="164" fontId="5" fillId="5" borderId="2" xfId="0" applyNumberFormat="1" applyFont="1" applyFill="1" applyBorder="1" applyAlignment="1">
      <alignment horizontal="center" vertical="center" wrapText="1"/>
    </xf>
    <xf numFmtId="164" fontId="5" fillId="2" borderId="3" xfId="0" applyNumberFormat="1" applyFont="1" applyFill="1" applyBorder="1" applyAlignment="1">
      <alignment vertical="center" wrapText="1"/>
    </xf>
    <xf numFmtId="164" fontId="5" fillId="2" borderId="5" xfId="0" applyNumberFormat="1" applyFont="1" applyFill="1" applyBorder="1" applyAlignment="1">
      <alignment vertical="center" wrapText="1"/>
    </xf>
    <xf numFmtId="164" fontId="8" fillId="2" borderId="2" xfId="0" applyNumberFormat="1" applyFont="1" applyFill="1" applyBorder="1" applyAlignment="1">
      <alignment vertical="center" wrapText="1"/>
    </xf>
    <xf numFmtId="164" fontId="1" fillId="2" borderId="2" xfId="0" applyNumberFormat="1" applyFont="1" applyFill="1" applyBorder="1" applyAlignment="1">
      <alignment horizontal="center" vertical="center" wrapText="1"/>
    </xf>
    <xf numFmtId="164" fontId="8" fillId="2" borderId="2" xfId="0" applyNumberFormat="1" applyFont="1" applyFill="1" applyBorder="1" applyAlignment="1">
      <alignment horizontal="right" vertical="center" wrapText="1"/>
    </xf>
    <xf numFmtId="49" fontId="4" fillId="0" borderId="8" xfId="0" applyNumberFormat="1" applyFont="1" applyFill="1" applyBorder="1" applyAlignment="1">
      <alignment horizontal="center" vertical="center" wrapText="1"/>
    </xf>
    <xf numFmtId="164" fontId="5" fillId="5" borderId="2" xfId="0" quotePrefix="1" applyNumberFormat="1" applyFont="1" applyFill="1" applyBorder="1" applyAlignment="1">
      <alignment horizontal="right" vertical="center" wrapText="1"/>
    </xf>
    <xf numFmtId="49" fontId="4" fillId="2" borderId="3" xfId="0" applyNumberFormat="1" applyFont="1" applyFill="1" applyBorder="1" applyAlignment="1">
      <alignment horizontal="center" vertical="center" wrapText="1"/>
    </xf>
    <xf numFmtId="164" fontId="5" fillId="2" borderId="5" xfId="0" applyNumberFormat="1" applyFont="1" applyFill="1" applyBorder="1" applyAlignment="1">
      <alignment horizontal="center" vertical="center" wrapText="1"/>
    </xf>
    <xf numFmtId="164" fontId="3" fillId="2" borderId="2" xfId="0" applyNumberFormat="1" applyFont="1" applyFill="1" applyBorder="1" applyAlignment="1">
      <alignment horizontal="center" vertical="center" wrapText="1"/>
    </xf>
    <xf numFmtId="164" fontId="5" fillId="2" borderId="2" xfId="0" applyNumberFormat="1" applyFont="1" applyFill="1" applyBorder="1" applyAlignment="1">
      <alignment horizontal="right" vertical="center" wrapText="1"/>
    </xf>
    <xf numFmtId="164" fontId="5" fillId="0" borderId="8" xfId="0" quotePrefix="1" applyNumberFormat="1" applyFont="1" applyFill="1" applyBorder="1" applyAlignment="1">
      <alignment horizontal="center" vertical="center" wrapText="1"/>
    </xf>
    <xf numFmtId="0" fontId="5" fillId="0" borderId="2" xfId="0" quotePrefix="1" applyFont="1" applyFill="1" applyBorder="1" applyAlignment="1">
      <alignment horizontal="left" vertical="center" wrapText="1"/>
    </xf>
    <xf numFmtId="49" fontId="4" fillId="0" borderId="2" xfId="0" quotePrefix="1" applyNumberFormat="1" applyFont="1" applyFill="1" applyBorder="1" applyAlignment="1">
      <alignment horizontal="center" vertical="center" wrapText="1"/>
    </xf>
    <xf numFmtId="164" fontId="8" fillId="0" borderId="0" xfId="0" applyNumberFormat="1" applyFont="1" applyBorder="1" applyAlignment="1">
      <alignment horizontal="center" vertical="center" wrapText="1"/>
    </xf>
    <xf numFmtId="164" fontId="3" fillId="0" borderId="8" xfId="0" quotePrefix="1" applyNumberFormat="1" applyFont="1" applyFill="1" applyBorder="1" applyAlignment="1">
      <alignment horizontal="center" vertical="center" wrapText="1"/>
    </xf>
    <xf numFmtId="164" fontId="8" fillId="4" borderId="2" xfId="0" applyNumberFormat="1" applyFont="1" applyFill="1" applyBorder="1" applyAlignment="1">
      <alignment horizontal="center" vertical="center" wrapText="1"/>
    </xf>
    <xf numFmtId="164" fontId="8" fillId="4" borderId="2" xfId="0" applyNumberFormat="1" applyFont="1" applyFill="1" applyBorder="1" applyAlignment="1">
      <alignment horizontal="right" vertical="center" wrapText="1"/>
    </xf>
    <xf numFmtId="164" fontId="8" fillId="8" borderId="2" xfId="0" quotePrefix="1" applyNumberFormat="1" applyFont="1" applyFill="1" applyBorder="1" applyAlignment="1">
      <alignment horizontal="left" vertical="center" wrapText="1"/>
    </xf>
    <xf numFmtId="164" fontId="8" fillId="8" borderId="2" xfId="0" applyNumberFormat="1" applyFont="1" applyFill="1" applyBorder="1" applyAlignment="1">
      <alignment horizontal="center" vertical="center" wrapText="1"/>
    </xf>
    <xf numFmtId="164" fontId="8" fillId="8" borderId="2" xfId="0" applyNumberFormat="1" applyFont="1" applyFill="1" applyBorder="1" applyAlignment="1">
      <alignment horizontal="right" vertical="center" wrapText="1"/>
    </xf>
    <xf numFmtId="0" fontId="5" fillId="0" borderId="2" xfId="0" applyFont="1" applyBorder="1" applyAlignment="1">
      <alignment vertical="center" wrapText="1"/>
    </xf>
    <xf numFmtId="0" fontId="5" fillId="0" borderId="5" xfId="0" applyFont="1" applyBorder="1" applyAlignment="1">
      <alignment horizontal="center" vertical="center" wrapText="1"/>
    </xf>
    <xf numFmtId="2" fontId="8" fillId="0" borderId="8" xfId="0" quotePrefix="1" applyNumberFormat="1" applyFont="1" applyFill="1" applyBorder="1" applyAlignment="1">
      <alignment horizontal="center" vertical="top" wrapText="1"/>
    </xf>
    <xf numFmtId="0" fontId="8" fillId="0" borderId="8" xfId="0" applyFont="1" applyBorder="1" applyAlignment="1">
      <alignment horizontal="center" vertical="center" wrapText="1"/>
    </xf>
    <xf numFmtId="2" fontId="8" fillId="0" borderId="8" xfId="0" applyNumberFormat="1" applyFont="1" applyBorder="1" applyAlignment="1">
      <alignment horizontal="center" vertical="center" wrapText="1"/>
    </xf>
    <xf numFmtId="1" fontId="8" fillId="0" borderId="8" xfId="0" applyNumberFormat="1" applyFont="1" applyBorder="1" applyAlignment="1">
      <alignment horizontal="center" vertical="center" wrapText="1"/>
    </xf>
    <xf numFmtId="164" fontId="3" fillId="9" borderId="2" xfId="0" applyNumberFormat="1" applyFont="1" applyFill="1" applyBorder="1" applyAlignment="1">
      <alignment horizontal="right" vertical="center" wrapText="1"/>
    </xf>
    <xf numFmtId="164" fontId="18" fillId="9" borderId="2" xfId="0" applyNumberFormat="1" applyFont="1" applyFill="1" applyBorder="1" applyAlignment="1">
      <alignment horizontal="right" vertical="center" wrapText="1"/>
    </xf>
    <xf numFmtId="164" fontId="18" fillId="9" borderId="2" xfId="0" applyNumberFormat="1" applyFont="1" applyFill="1" applyBorder="1" applyAlignment="1">
      <alignment horizontal="center" vertical="center" wrapText="1"/>
    </xf>
    <xf numFmtId="49" fontId="4" fillId="10" borderId="2" xfId="0" applyNumberFormat="1" applyFont="1" applyFill="1" applyBorder="1" applyAlignment="1">
      <alignment horizontal="center" vertical="center" wrapText="1"/>
    </xf>
    <xf numFmtId="164" fontId="3" fillId="10" borderId="2" xfId="0" applyNumberFormat="1" applyFont="1" applyFill="1" applyBorder="1" applyAlignment="1">
      <alignment horizontal="right" vertical="center" wrapText="1"/>
    </xf>
    <xf numFmtId="164" fontId="3" fillId="10" borderId="2" xfId="0" applyNumberFormat="1" applyFont="1" applyFill="1" applyBorder="1" applyAlignment="1">
      <alignment horizontal="center" vertical="center" wrapText="1"/>
    </xf>
    <xf numFmtId="49" fontId="8" fillId="0" borderId="0" xfId="0" applyNumberFormat="1" applyFont="1" applyAlignment="1">
      <alignment vertical="center" wrapText="1"/>
    </xf>
    <xf numFmtId="164" fontId="7" fillId="0" borderId="9" xfId="0" applyNumberFormat="1" applyFont="1" applyBorder="1" applyAlignment="1">
      <alignment vertical="center" wrapText="1"/>
    </xf>
    <xf numFmtId="164" fontId="5" fillId="0" borderId="9" xfId="0" applyNumberFormat="1" applyFont="1" applyBorder="1" applyAlignment="1">
      <alignment vertical="center" wrapText="1"/>
    </xf>
    <xf numFmtId="164" fontId="5" fillId="0" borderId="9" xfId="0" applyNumberFormat="1" applyFont="1" applyFill="1" applyBorder="1" applyAlignment="1">
      <alignment vertical="center" wrapText="1"/>
    </xf>
    <xf numFmtId="0" fontId="20" fillId="0" borderId="9" xfId="0" applyFont="1" applyFill="1" applyBorder="1"/>
    <xf numFmtId="49" fontId="5" fillId="0" borderId="9" xfId="0" applyNumberFormat="1" applyFont="1" applyBorder="1" applyAlignment="1">
      <alignment vertical="center" wrapText="1"/>
    </xf>
    <xf numFmtId="49" fontId="8" fillId="0" borderId="0" xfId="0" applyNumberFormat="1" applyFont="1" applyAlignment="1">
      <alignment horizontal="center" vertical="center" wrapText="1"/>
    </xf>
    <xf numFmtId="164" fontId="10" fillId="0" borderId="0" xfId="0" applyNumberFormat="1" applyFont="1" applyFill="1" applyAlignment="1">
      <alignment vertical="center" wrapText="1"/>
    </xf>
    <xf numFmtId="164" fontId="21" fillId="0" borderId="0" xfId="0" applyNumberFormat="1" applyFont="1" applyFill="1" applyAlignment="1">
      <alignment vertical="center" wrapText="1"/>
    </xf>
    <xf numFmtId="0" fontId="3" fillId="0" borderId="0" xfId="0" applyFont="1" applyFill="1" applyAlignment="1">
      <alignment horizontal="center" vertical="center" wrapText="1"/>
    </xf>
    <xf numFmtId="164" fontId="7" fillId="0" borderId="0" xfId="0" quotePrefix="1" applyNumberFormat="1" applyFont="1" applyFill="1" applyBorder="1" applyAlignment="1">
      <alignment horizontal="center" vertical="center" wrapText="1"/>
    </xf>
    <xf numFmtId="164" fontId="7" fillId="0" borderId="1" xfId="0" quotePrefix="1" applyNumberFormat="1" applyFont="1" applyFill="1" applyBorder="1" applyAlignment="1">
      <alignment horizontal="center" vertical="center" wrapText="1"/>
    </xf>
    <xf numFmtId="0" fontId="5" fillId="0" borderId="0" xfId="1" applyFont="1" applyFill="1" applyBorder="1" applyAlignment="1">
      <alignment horizontal="center" vertical="center" wrapText="1"/>
    </xf>
    <xf numFmtId="164" fontId="5" fillId="5" borderId="6" xfId="0" quotePrefix="1" applyNumberFormat="1" applyFont="1" applyFill="1" applyBorder="1" applyAlignment="1">
      <alignment horizontal="center" vertical="center" wrapText="1"/>
    </xf>
    <xf numFmtId="0" fontId="5" fillId="0" borderId="2" xfId="1" quotePrefix="1" applyFont="1" applyFill="1" applyBorder="1" applyAlignment="1">
      <alignment horizontal="center" vertical="center" wrapText="1"/>
    </xf>
    <xf numFmtId="164" fontId="5" fillId="2" borderId="4" xfId="0" quotePrefix="1" applyNumberFormat="1" applyFont="1" applyFill="1" applyBorder="1" applyAlignment="1">
      <alignment horizontal="center" vertical="center" wrapText="1"/>
    </xf>
    <xf numFmtId="164" fontId="5" fillId="6" borderId="2" xfId="0" quotePrefix="1" applyNumberFormat="1" applyFont="1" applyFill="1" applyBorder="1" applyAlignment="1">
      <alignment horizontal="center" vertical="center" wrapText="1"/>
    </xf>
    <xf numFmtId="164" fontId="9" fillId="2" borderId="4" xfId="0" quotePrefix="1" applyNumberFormat="1" applyFont="1" applyFill="1" applyBorder="1" applyAlignment="1">
      <alignment horizontal="center" vertical="center" wrapText="1"/>
    </xf>
    <xf numFmtId="164" fontId="5" fillId="0" borderId="0" xfId="0" quotePrefix="1" applyNumberFormat="1" applyFont="1" applyFill="1" applyBorder="1" applyAlignment="1">
      <alignment horizontal="center" vertical="center" wrapText="1"/>
    </xf>
    <xf numFmtId="164" fontId="5" fillId="0" borderId="6" xfId="0" quotePrefix="1" applyNumberFormat="1" applyFont="1" applyFill="1" applyBorder="1" applyAlignment="1">
      <alignment horizontal="center" vertical="center" wrapText="1"/>
    </xf>
    <xf numFmtId="164" fontId="5" fillId="0" borderId="8" xfId="0" quotePrefix="1" applyNumberFormat="1" applyFont="1" applyBorder="1" applyAlignment="1">
      <alignment horizontal="center" vertical="center" wrapText="1"/>
    </xf>
    <xf numFmtId="164" fontId="5" fillId="0" borderId="2" xfId="0" quotePrefix="1" applyNumberFormat="1" applyFont="1" applyBorder="1" applyAlignment="1">
      <alignment horizontal="center" vertical="center" wrapText="1"/>
    </xf>
    <xf numFmtId="164" fontId="3" fillId="6" borderId="2" xfId="0" applyNumberFormat="1" applyFont="1" applyFill="1" applyBorder="1" applyAlignment="1">
      <alignment horizontal="center" vertical="center" wrapText="1"/>
    </xf>
    <xf numFmtId="164" fontId="3" fillId="0" borderId="8" xfId="0" applyNumberFormat="1" applyFont="1" applyFill="1" applyBorder="1" applyAlignment="1">
      <alignment horizontal="center" vertical="center" wrapText="1"/>
    </xf>
    <xf numFmtId="164" fontId="3" fillId="0" borderId="2" xfId="0" quotePrefix="1" applyNumberFormat="1" applyFont="1" applyFill="1" applyBorder="1" applyAlignment="1">
      <alignment horizontal="center" vertical="center" wrapText="1"/>
    </xf>
    <xf numFmtId="164" fontId="5" fillId="5" borderId="2" xfId="0" quotePrefix="1" applyNumberFormat="1" applyFont="1" applyFill="1" applyBorder="1" applyAlignment="1">
      <alignment horizontal="center" vertical="center" wrapText="1"/>
    </xf>
    <xf numFmtId="0" fontId="3" fillId="0" borderId="0" xfId="0" quotePrefix="1" applyFont="1" applyFill="1" applyAlignment="1">
      <alignment horizontal="center" vertical="center" wrapText="1"/>
    </xf>
    <xf numFmtId="0" fontId="22" fillId="0" borderId="2" xfId="1" applyFont="1" applyFill="1" applyBorder="1" applyAlignment="1">
      <alignment horizontal="center" vertical="center" wrapText="1"/>
    </xf>
    <xf numFmtId="0" fontId="22" fillId="0" borderId="2" xfId="1" quotePrefix="1" applyFont="1" applyFill="1" applyBorder="1" applyAlignment="1">
      <alignment horizontal="center" vertical="center" wrapText="1"/>
    </xf>
    <xf numFmtId="0" fontId="3" fillId="0" borderId="2" xfId="1" quotePrefix="1" applyFont="1" applyBorder="1" applyAlignment="1">
      <alignment horizontal="center" vertical="center" wrapText="1"/>
    </xf>
    <xf numFmtId="164" fontId="5" fillId="8" borderId="2" xfId="0" quotePrefix="1" applyNumberFormat="1" applyFont="1" applyFill="1" applyBorder="1" applyAlignment="1">
      <alignment horizontal="center" vertical="center" wrapText="1"/>
    </xf>
    <xf numFmtId="0" fontId="24" fillId="0" borderId="0" xfId="0" quotePrefix="1" applyFont="1" applyAlignment="1">
      <alignment horizontal="left"/>
    </xf>
    <xf numFmtId="0" fontId="24" fillId="0" borderId="0" xfId="0" applyFont="1"/>
    <xf numFmtId="168" fontId="11" fillId="0" borderId="0" xfId="2" applyNumberFormat="1" applyFont="1"/>
    <xf numFmtId="0" fontId="0" fillId="0" borderId="0" xfId="0" applyFont="1"/>
    <xf numFmtId="168" fontId="25" fillId="0" borderId="2" xfId="2" applyNumberFormat="1" applyFont="1" applyBorder="1" applyAlignment="1">
      <alignment horizontal="center"/>
    </xf>
    <xf numFmtId="0" fontId="25" fillId="0" borderId="2" xfId="0" applyFont="1" applyBorder="1" applyAlignment="1">
      <alignment horizontal="center"/>
    </xf>
    <xf numFmtId="0" fontId="25" fillId="0" borderId="10" xfId="0" applyFont="1" applyFill="1" applyBorder="1" applyAlignment="1">
      <alignment horizontal="center"/>
    </xf>
    <xf numFmtId="0" fontId="24" fillId="0" borderId="0" xfId="0" applyFont="1" applyAlignment="1">
      <alignment horizontal="right"/>
    </xf>
    <xf numFmtId="0" fontId="26" fillId="0" borderId="2" xfId="0" applyFont="1" applyBorder="1" applyAlignment="1">
      <alignment horizontal="center"/>
    </xf>
    <xf numFmtId="4" fontId="27" fillId="0" borderId="2" xfId="0" applyNumberFormat="1" applyFont="1" applyBorder="1"/>
    <xf numFmtId="4" fontId="28" fillId="0" borderId="2" xfId="0" applyNumberFormat="1" applyFont="1" applyBorder="1"/>
    <xf numFmtId="169" fontId="26" fillId="0" borderId="2" xfId="2" applyNumberFormat="1" applyFont="1" applyBorder="1" applyAlignment="1">
      <alignment horizontal="center"/>
    </xf>
    <xf numFmtId="0" fontId="29" fillId="0" borderId="2" xfId="0" applyFont="1" applyBorder="1" applyAlignment="1">
      <alignment horizontal="center" vertical="center"/>
    </xf>
    <xf numFmtId="168" fontId="30" fillId="0" borderId="0" xfId="2" applyNumberFormat="1" applyFont="1"/>
    <xf numFmtId="0" fontId="26" fillId="0" borderId="0" xfId="0" applyFont="1"/>
    <xf numFmtId="0" fontId="0" fillId="0" borderId="2" xfId="0" applyFont="1" applyBorder="1"/>
    <xf numFmtId="0" fontId="5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vertical="center"/>
    </xf>
    <xf numFmtId="4" fontId="26" fillId="0" borderId="0" xfId="0" applyNumberFormat="1" applyFont="1"/>
    <xf numFmtId="4" fontId="26" fillId="0" borderId="2" xfId="0" applyNumberFormat="1" applyFont="1" applyBorder="1"/>
    <xf numFmtId="0" fontId="8" fillId="0" borderId="2" xfId="0" applyFont="1" applyBorder="1" applyAlignment="1">
      <alignment vertical="center" wrapText="1"/>
    </xf>
    <xf numFmtId="0" fontId="28" fillId="0" borderId="2" xfId="0" applyFont="1" applyBorder="1"/>
    <xf numFmtId="0" fontId="19" fillId="0" borderId="2" xfId="0" applyFont="1" applyBorder="1" applyAlignment="1">
      <alignment vertical="center" wrapText="1"/>
    </xf>
    <xf numFmtId="0" fontId="3" fillId="0" borderId="2" xfId="0" applyFont="1" applyBorder="1" applyAlignment="1">
      <alignment vertical="center"/>
    </xf>
    <xf numFmtId="4" fontId="25" fillId="0" borderId="2" xfId="0" applyNumberFormat="1" applyFont="1" applyBorder="1" applyAlignment="1">
      <alignment horizontal="center"/>
    </xf>
    <xf numFmtId="4" fontId="27" fillId="0" borderId="3" xfId="0" applyNumberFormat="1" applyFont="1" applyBorder="1"/>
    <xf numFmtId="14" fontId="0" fillId="0" borderId="2" xfId="0" applyNumberFormat="1" applyFont="1" applyBorder="1"/>
    <xf numFmtId="0" fontId="24" fillId="8" borderId="0" xfId="0" applyFont="1" applyFill="1"/>
    <xf numFmtId="0" fontId="8" fillId="8" borderId="11" xfId="0" applyFont="1" applyFill="1" applyBorder="1" applyAlignment="1">
      <alignment vertical="center"/>
    </xf>
    <xf numFmtId="0" fontId="0" fillId="8" borderId="0" xfId="0" applyFont="1" applyFill="1"/>
    <xf numFmtId="164" fontId="5" fillId="2" borderId="4" xfId="0" quotePrefix="1" applyNumberFormat="1" applyFont="1" applyFill="1" applyBorder="1" applyAlignment="1">
      <alignment horizontal="left" vertical="center" wrapText="1"/>
    </xf>
    <xf numFmtId="0" fontId="5" fillId="8" borderId="2" xfId="0" quotePrefix="1" applyFont="1" applyFill="1" applyBorder="1" applyAlignment="1">
      <alignment horizontal="center" vertical="center" wrapText="1"/>
    </xf>
    <xf numFmtId="164" fontId="5" fillId="0" borderId="2" xfId="0" applyNumberFormat="1" applyFont="1" applyBorder="1" applyAlignment="1">
      <alignment horizontal="center" vertical="center" wrapText="1"/>
    </xf>
    <xf numFmtId="49" fontId="8" fillId="0" borderId="0" xfId="0" applyNumberFormat="1" applyFont="1" applyAlignment="1">
      <alignment horizontal="center" vertical="center" wrapText="1"/>
    </xf>
    <xf numFmtId="4" fontId="2" fillId="0" borderId="0" xfId="0" applyNumberFormat="1" applyFont="1" applyFill="1"/>
    <xf numFmtId="164" fontId="5" fillId="0" borderId="6" xfId="0" quotePrefix="1" applyNumberFormat="1" applyFont="1" applyFill="1" applyBorder="1" applyAlignment="1">
      <alignment horizontal="left" vertical="center" wrapText="1"/>
    </xf>
    <xf numFmtId="164" fontId="32" fillId="0" borderId="2" xfId="0" applyNumberFormat="1" applyFont="1" applyFill="1" applyBorder="1" applyAlignment="1">
      <alignment horizontal="center" vertical="center" wrapText="1"/>
    </xf>
    <xf numFmtId="164" fontId="10" fillId="0" borderId="2" xfId="0" applyNumberFormat="1" applyFont="1" applyFill="1" applyBorder="1" applyAlignment="1">
      <alignment horizontal="center" vertical="center" wrapText="1"/>
    </xf>
    <xf numFmtId="164" fontId="10" fillId="0" borderId="0" xfId="0" applyNumberFormat="1" applyFont="1" applyAlignment="1">
      <alignment horizontal="center" vertical="center" wrapText="1"/>
    </xf>
    <xf numFmtId="164" fontId="8" fillId="11" borderId="0" xfId="0" applyNumberFormat="1" applyFont="1" applyFill="1" applyAlignment="1">
      <alignment vertical="center" wrapText="1"/>
    </xf>
    <xf numFmtId="0" fontId="0" fillId="11" borderId="0" xfId="0" applyFill="1"/>
    <xf numFmtId="49" fontId="4" fillId="2" borderId="0" xfId="0" applyNumberFormat="1" applyFont="1" applyFill="1" applyBorder="1" applyAlignment="1">
      <alignment horizontal="center" vertical="center" wrapText="1"/>
    </xf>
    <xf numFmtId="164" fontId="19" fillId="0" borderId="0" xfId="0" quotePrefix="1" applyNumberFormat="1" applyFont="1" applyFill="1" applyBorder="1" applyAlignment="1">
      <alignment horizontal="right" vertical="center" wrapText="1"/>
    </xf>
    <xf numFmtId="0" fontId="0" fillId="0" borderId="0" xfId="0" applyAlignment="1">
      <alignment horizontal="center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0" xfId="0" applyBorder="1" applyAlignment="1">
      <alignment horizontal="right"/>
    </xf>
    <xf numFmtId="0" fontId="0" fillId="0" borderId="0" xfId="0" applyBorder="1"/>
    <xf numFmtId="0" fontId="0" fillId="0" borderId="0" xfId="0" applyBorder="1" applyAlignment="1">
      <alignment horizontal="center"/>
    </xf>
    <xf numFmtId="164" fontId="0" fillId="11" borderId="0" xfId="0" applyNumberFormat="1" applyFill="1" applyBorder="1"/>
    <xf numFmtId="164" fontId="0" fillId="0" borderId="0" xfId="0" applyNumberFormat="1" applyBorder="1" applyAlignment="1">
      <alignment horizontal="center"/>
    </xf>
    <xf numFmtId="4" fontId="0" fillId="0" borderId="0" xfId="0" applyNumberFormat="1" applyBorder="1" applyAlignment="1">
      <alignment horizontal="center"/>
    </xf>
    <xf numFmtId="0" fontId="31" fillId="0" borderId="0" xfId="0" applyFont="1" applyBorder="1" applyAlignment="1">
      <alignment horizontal="center"/>
    </xf>
    <xf numFmtId="0" fontId="0" fillId="0" borderId="16" xfId="0" applyBorder="1"/>
    <xf numFmtId="0" fontId="0" fillId="0" borderId="0" xfId="0" quotePrefix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13" xfId="0" applyBorder="1" applyAlignment="1">
      <alignment horizontal="center"/>
    </xf>
    <xf numFmtId="0" fontId="31" fillId="0" borderId="0" xfId="0" applyFont="1" applyBorder="1" applyAlignment="1">
      <alignment horizontal="right"/>
    </xf>
    <xf numFmtId="4" fontId="0" fillId="0" borderId="0" xfId="0" applyNumberFormat="1" applyBorder="1"/>
    <xf numFmtId="9" fontId="31" fillId="0" borderId="0" xfId="0" applyNumberFormat="1" applyFont="1" applyBorder="1"/>
    <xf numFmtId="0" fontId="0" fillId="0" borderId="18" xfId="0" applyBorder="1" applyAlignment="1">
      <alignment horizontal="right"/>
    </xf>
    <xf numFmtId="1" fontId="31" fillId="0" borderId="18" xfId="0" applyNumberFormat="1" applyFont="1" applyBorder="1"/>
    <xf numFmtId="0" fontId="0" fillId="0" borderId="18" xfId="0" quotePrefix="1" applyBorder="1"/>
    <xf numFmtId="1" fontId="0" fillId="0" borderId="18" xfId="0" applyNumberFormat="1" applyBorder="1"/>
    <xf numFmtId="0" fontId="0" fillId="8" borderId="15" xfId="0" applyFill="1" applyBorder="1"/>
    <xf numFmtId="164" fontId="33" fillId="8" borderId="0" xfId="0" applyNumberFormat="1" applyFont="1" applyFill="1" applyBorder="1" applyAlignment="1">
      <alignment horizontal="right" vertical="center" wrapText="1"/>
    </xf>
    <xf numFmtId="0" fontId="0" fillId="8" borderId="0" xfId="0" applyFill="1" applyBorder="1"/>
    <xf numFmtId="0" fontId="0" fillId="8" borderId="0" xfId="0" quotePrefix="1" applyFill="1" applyBorder="1"/>
    <xf numFmtId="164" fontId="0" fillId="8" borderId="0" xfId="0" applyNumberFormat="1" applyFill="1" applyBorder="1"/>
    <xf numFmtId="0" fontId="0" fillId="8" borderId="16" xfId="0" applyFill="1" applyBorder="1"/>
    <xf numFmtId="164" fontId="34" fillId="8" borderId="0" xfId="0" applyNumberFormat="1" applyFont="1" applyFill="1" applyBorder="1" applyAlignment="1">
      <alignment horizontal="right"/>
    </xf>
    <xf numFmtId="0" fontId="0" fillId="8" borderId="0" xfId="0" applyFill="1" applyBorder="1" applyAlignment="1">
      <alignment horizontal="right"/>
    </xf>
    <xf numFmtId="0" fontId="35" fillId="0" borderId="0" xfId="0" applyFont="1" applyBorder="1" applyAlignment="1">
      <alignment horizontal="right"/>
    </xf>
    <xf numFmtId="0" fontId="35" fillId="0" borderId="0" xfId="0" applyFont="1" applyBorder="1"/>
    <xf numFmtId="0" fontId="35" fillId="0" borderId="13" xfId="0" applyFont="1" applyBorder="1"/>
    <xf numFmtId="0" fontId="31" fillId="0" borderId="13" xfId="0" applyFont="1" applyBorder="1" applyAlignment="1">
      <alignment horizontal="right"/>
    </xf>
    <xf numFmtId="0" fontId="35" fillId="0" borderId="0" xfId="0" applyFont="1"/>
    <xf numFmtId="0" fontId="36" fillId="0" borderId="0" xfId="0" applyFont="1"/>
    <xf numFmtId="0" fontId="36" fillId="0" borderId="0" xfId="0" applyFont="1" applyAlignment="1">
      <alignment horizontal="right"/>
    </xf>
    <xf numFmtId="0" fontId="36" fillId="0" borderId="13" xfId="0" applyFont="1" applyBorder="1"/>
    <xf numFmtId="49" fontId="4" fillId="12" borderId="2" xfId="0" applyNumberFormat="1" applyFont="1" applyFill="1" applyBorder="1" applyAlignment="1">
      <alignment horizontal="center" vertical="center" wrapText="1"/>
    </xf>
    <xf numFmtId="164" fontId="8" fillId="12" borderId="2" xfId="0" quotePrefix="1" applyNumberFormat="1" applyFont="1" applyFill="1" applyBorder="1" applyAlignment="1">
      <alignment horizontal="left" vertical="center" wrapText="1"/>
    </xf>
    <xf numFmtId="164" fontId="5" fillId="12" borderId="2" xfId="0" quotePrefix="1" applyNumberFormat="1" applyFont="1" applyFill="1" applyBorder="1" applyAlignment="1">
      <alignment horizontal="center" vertical="center" wrapText="1"/>
    </xf>
    <xf numFmtId="164" fontId="5" fillId="12" borderId="2" xfId="0" applyNumberFormat="1" applyFont="1" applyFill="1" applyBorder="1" applyAlignment="1">
      <alignment horizontal="center" vertical="center" wrapText="1"/>
    </xf>
    <xf numFmtId="164" fontId="5" fillId="12" borderId="2" xfId="0" applyNumberFormat="1" applyFont="1" applyFill="1" applyBorder="1" applyAlignment="1">
      <alignment horizontal="right" vertical="center" wrapText="1"/>
    </xf>
    <xf numFmtId="164" fontId="8" fillId="12" borderId="2" xfId="0" applyNumberFormat="1" applyFont="1" applyFill="1" applyBorder="1" applyAlignment="1">
      <alignment horizontal="center" vertical="center" wrapText="1"/>
    </xf>
    <xf numFmtId="164" fontId="5" fillId="12" borderId="9" xfId="0" applyNumberFormat="1" applyFont="1" applyFill="1" applyBorder="1" applyAlignment="1">
      <alignment vertical="center" wrapText="1"/>
    </xf>
    <xf numFmtId="164" fontId="8" fillId="12" borderId="2" xfId="0" quotePrefix="1" applyNumberFormat="1" applyFont="1" applyFill="1" applyBorder="1" applyAlignment="1">
      <alignment horizontal="right" vertical="center" wrapText="1"/>
    </xf>
    <xf numFmtId="164" fontId="8" fillId="12" borderId="2" xfId="0" applyNumberFormat="1" applyFont="1" applyFill="1" applyBorder="1" applyAlignment="1">
      <alignment horizontal="right" vertical="center" wrapText="1"/>
    </xf>
    <xf numFmtId="164" fontId="8" fillId="12" borderId="0" xfId="0" applyNumberFormat="1" applyFont="1" applyFill="1" applyAlignment="1">
      <alignment vertical="center" wrapText="1"/>
    </xf>
    <xf numFmtId="164" fontId="5" fillId="12" borderId="6" xfId="0" quotePrefix="1" applyNumberFormat="1" applyFont="1" applyFill="1" applyBorder="1" applyAlignment="1">
      <alignment horizontal="right" vertical="center" wrapText="1"/>
    </xf>
    <xf numFmtId="164" fontId="5" fillId="12" borderId="6" xfId="0" quotePrefix="1" applyNumberFormat="1" applyFont="1" applyFill="1" applyBorder="1" applyAlignment="1">
      <alignment horizontal="center" vertical="center" wrapText="1"/>
    </xf>
    <xf numFmtId="164" fontId="5" fillId="12" borderId="2" xfId="0" applyNumberFormat="1" applyFont="1" applyFill="1" applyBorder="1" applyAlignment="1">
      <alignment vertical="center" wrapText="1"/>
    </xf>
    <xf numFmtId="164" fontId="37" fillId="13" borderId="0" xfId="0" applyNumberFormat="1" applyFont="1" applyFill="1" applyAlignment="1">
      <alignment horizontal="center" vertical="center" wrapText="1"/>
    </xf>
    <xf numFmtId="164" fontId="38" fillId="13" borderId="0" xfId="0" applyNumberFormat="1" applyFont="1" applyFill="1" applyAlignment="1">
      <alignment horizontal="center" vertical="center" wrapText="1"/>
    </xf>
    <xf numFmtId="49" fontId="39" fillId="13" borderId="2" xfId="0" applyNumberFormat="1" applyFont="1" applyFill="1" applyBorder="1" applyAlignment="1">
      <alignment horizontal="center" vertical="center" wrapText="1"/>
    </xf>
    <xf numFmtId="0" fontId="8" fillId="0" borderId="0" xfId="0" applyNumberFormat="1" applyFont="1" applyAlignment="1">
      <alignment vertical="center" wrapText="1"/>
    </xf>
    <xf numFmtId="164" fontId="5" fillId="13" borderId="8" xfId="0" applyNumberFormat="1" applyFont="1" applyFill="1" applyBorder="1" applyAlignment="1">
      <alignment horizontal="center" vertical="center" wrapText="1"/>
    </xf>
    <xf numFmtId="164" fontId="5" fillId="13" borderId="2" xfId="0" applyNumberFormat="1" applyFont="1" applyFill="1" applyBorder="1" applyAlignment="1">
      <alignment horizontal="center" vertical="center" wrapText="1"/>
    </xf>
    <xf numFmtId="49" fontId="4" fillId="0" borderId="2" xfId="0" applyNumberFormat="1" applyFont="1" applyBorder="1" applyAlignment="1">
      <alignment horizontal="center" vertical="center" wrapText="1"/>
    </xf>
    <xf numFmtId="164" fontId="5" fillId="0" borderId="2" xfId="0" applyNumberFormat="1" applyFont="1" applyBorder="1" applyAlignment="1">
      <alignment horizontal="center" vertical="center" wrapText="1"/>
    </xf>
    <xf numFmtId="0" fontId="3" fillId="0" borderId="0" xfId="0" quotePrefix="1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0" xfId="0" quotePrefix="1" applyFont="1" applyFill="1" applyAlignment="1">
      <alignment horizontal="center" vertical="top" wrapText="1"/>
    </xf>
    <xf numFmtId="0" fontId="3" fillId="0" borderId="0" xfId="0" applyFont="1" applyFill="1" applyAlignment="1">
      <alignment horizontal="center" vertical="top" wrapText="1"/>
    </xf>
    <xf numFmtId="164" fontId="6" fillId="0" borderId="0" xfId="0" applyNumberFormat="1" applyFont="1" applyFill="1" applyBorder="1" applyAlignment="1">
      <alignment horizontal="right" vertical="center" wrapText="1"/>
    </xf>
    <xf numFmtId="164" fontId="7" fillId="0" borderId="1" xfId="0" quotePrefix="1" applyNumberFormat="1" applyFont="1" applyFill="1" applyBorder="1" applyAlignment="1">
      <alignment horizontal="right" vertical="center" wrapText="1"/>
    </xf>
    <xf numFmtId="164" fontId="7" fillId="0" borderId="1" xfId="0" applyNumberFormat="1" applyFont="1" applyBorder="1" applyAlignment="1">
      <alignment horizontal="right" vertical="center" wrapText="1"/>
    </xf>
    <xf numFmtId="164" fontId="5" fillId="2" borderId="4" xfId="0" quotePrefix="1" applyNumberFormat="1" applyFont="1" applyFill="1" applyBorder="1" applyAlignment="1">
      <alignment horizontal="left" vertical="center" wrapText="1"/>
    </xf>
    <xf numFmtId="164" fontId="8" fillId="0" borderId="9" xfId="0" applyNumberFormat="1" applyFont="1" applyBorder="1" applyAlignment="1">
      <alignment horizontal="center" vertical="center" wrapText="1"/>
    </xf>
    <xf numFmtId="164" fontId="8" fillId="0" borderId="0" xfId="0" quotePrefix="1" applyNumberFormat="1" applyFont="1" applyAlignment="1">
      <alignment horizontal="center" vertical="center" wrapText="1"/>
    </xf>
    <xf numFmtId="164" fontId="8" fillId="0" borderId="0" xfId="0" applyNumberFormat="1" applyFont="1" applyAlignment="1">
      <alignment horizontal="center" vertical="center" wrapText="1"/>
    </xf>
    <xf numFmtId="49" fontId="15" fillId="0" borderId="0" xfId="0" applyNumberFormat="1" applyFont="1" applyAlignment="1">
      <alignment horizontal="center" vertical="center" wrapText="1"/>
    </xf>
    <xf numFmtId="49" fontId="8" fillId="0" borderId="0" xfId="0" applyNumberFormat="1" applyFont="1" applyAlignment="1">
      <alignment horizontal="center" vertical="center" wrapText="1"/>
    </xf>
    <xf numFmtId="0" fontId="20" fillId="0" borderId="0" xfId="0" applyFont="1" applyFill="1" applyBorder="1"/>
    <xf numFmtId="164" fontId="7" fillId="0" borderId="0" xfId="0" applyNumberFormat="1" applyFont="1" applyBorder="1" applyAlignment="1">
      <alignment vertical="center" wrapText="1"/>
    </xf>
    <xf numFmtId="49" fontId="5" fillId="0" borderId="0" xfId="0" applyNumberFormat="1" applyFont="1" applyBorder="1" applyAlignment="1">
      <alignment vertical="center" wrapText="1"/>
    </xf>
    <xf numFmtId="4" fontId="1" fillId="10" borderId="0" xfId="0" applyNumberFormat="1" applyFont="1" applyFill="1" applyAlignment="1">
      <alignment horizontal="right"/>
    </xf>
    <xf numFmtId="165" fontId="7" fillId="10" borderId="0" xfId="0" applyNumberFormat="1" applyFont="1" applyFill="1" applyAlignment="1">
      <alignment horizontal="center" vertical="center" wrapText="1"/>
    </xf>
    <xf numFmtId="165" fontId="7" fillId="10" borderId="0" xfId="0" applyNumberFormat="1" applyFont="1" applyFill="1" applyBorder="1" applyAlignment="1">
      <alignment horizontal="center" vertical="center" wrapText="1"/>
    </xf>
    <xf numFmtId="164" fontId="5" fillId="10" borderId="9" xfId="0" applyNumberFormat="1" applyFont="1" applyFill="1" applyBorder="1" applyAlignment="1">
      <alignment horizontal="center" vertical="center" wrapText="1"/>
    </xf>
    <xf numFmtId="164" fontId="5" fillId="10" borderId="0" xfId="0" applyNumberFormat="1" applyFont="1" applyFill="1" applyBorder="1" applyAlignment="1">
      <alignment horizontal="center" vertical="center" wrapText="1"/>
    </xf>
    <xf numFmtId="164" fontId="5" fillId="10" borderId="2" xfId="0" applyNumberFormat="1" applyFont="1" applyFill="1" applyBorder="1" applyAlignment="1">
      <alignment horizontal="center" vertical="center" wrapText="1"/>
    </xf>
    <xf numFmtId="164" fontId="9" fillId="10" borderId="0" xfId="0" applyNumberFormat="1" applyFont="1" applyFill="1" applyBorder="1" applyAlignment="1">
      <alignment vertical="center" wrapText="1"/>
    </xf>
    <xf numFmtId="164" fontId="8" fillId="10" borderId="0" xfId="0" applyNumberFormat="1" applyFont="1" applyFill="1" applyBorder="1" applyAlignment="1">
      <alignment horizontal="right" vertical="center" wrapText="1"/>
    </xf>
    <xf numFmtId="164" fontId="8" fillId="10" borderId="0" xfId="0" applyNumberFormat="1" applyFont="1" applyFill="1" applyAlignment="1">
      <alignment horizontal="center" vertical="center" wrapText="1"/>
    </xf>
  </cellXfs>
  <cellStyles count="3">
    <cellStyle name="Обычный" xfId="0" builtinId="0"/>
    <cellStyle name="Обычный 2 2" xfId="1"/>
    <cellStyle name="Финансовый" xfId="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&#1048;&#1085;&#1090;&#1077;&#1088;-&#1057;&#1090;&#1088;&#1086;&#1081;\&#1047;&#1072;&#1087;&#1072;&#1076;-2\10%20&#1082;&#1074;&#1072;&#1088;&#1090;&#1072;&#1083;\&#1057;&#1084;&#1077;&#1090;&#1099;\&#1089;&#1084;&#1077;&#1090;&#1072;_&#1076;&#1086;&#1084;%2041%20&#1054;&#1058;%20&#1042;&#1051;&#1040;&#1044;&#1048;&#1050;&#104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ебест 41"/>
      <sheetName val="41"/>
      <sheetName val="ведомость затрат"/>
      <sheetName val="кровля"/>
      <sheetName val="кладка"/>
      <sheetName val="балконы"/>
      <sheetName val="МУ"/>
      <sheetName val="фасад"/>
      <sheetName val="окна"/>
      <sheetName val="внут.отделка"/>
      <sheetName val="лестницы"/>
      <sheetName val="МЭ"/>
      <sheetName val="ЖБИ"/>
      <sheetName val="металл"/>
      <sheetName val="арматура"/>
      <sheetName val="отделка"/>
      <sheetName val="пример"/>
      <sheetName val="Лист1"/>
    </sheetNames>
    <sheetDataSet>
      <sheetData sheetId="0"/>
      <sheetData sheetId="1">
        <row r="10">
          <cell r="C10">
            <v>1637.9</v>
          </cell>
        </row>
        <row r="51">
          <cell r="I51">
            <v>2272050.0960000004</v>
          </cell>
        </row>
        <row r="112">
          <cell r="I112">
            <v>1379811.5135000001</v>
          </cell>
        </row>
        <row r="135">
          <cell r="D135">
            <v>26.009097999999984</v>
          </cell>
        </row>
        <row r="138">
          <cell r="D138">
            <v>27.08639999999999</v>
          </cell>
        </row>
        <row r="154">
          <cell r="D154">
            <v>78.400000000000006</v>
          </cell>
        </row>
        <row r="167">
          <cell r="D167">
            <v>2.58</v>
          </cell>
        </row>
        <row r="174">
          <cell r="D174">
            <v>576</v>
          </cell>
        </row>
        <row r="179">
          <cell r="I179">
            <v>9272788.9560000002</v>
          </cell>
        </row>
        <row r="197">
          <cell r="D197">
            <v>6.84</v>
          </cell>
        </row>
        <row r="198">
          <cell r="D198">
            <v>1.0712699999999999</v>
          </cell>
        </row>
        <row r="205">
          <cell r="I205">
            <v>3720232.8400000008</v>
          </cell>
        </row>
        <row r="217">
          <cell r="D217">
            <v>15</v>
          </cell>
        </row>
        <row r="220">
          <cell r="D220">
            <v>2</v>
          </cell>
        </row>
        <row r="221">
          <cell r="D221">
            <v>0.11</v>
          </cell>
        </row>
        <row r="222">
          <cell r="D222">
            <v>93.461579999999998</v>
          </cell>
        </row>
        <row r="223">
          <cell r="D223">
            <v>18.692316000000002</v>
          </cell>
        </row>
        <row r="224">
          <cell r="D224">
            <v>28.038473999999997</v>
          </cell>
        </row>
        <row r="229">
          <cell r="I229">
            <v>425120.15947000001</v>
          </cell>
        </row>
        <row r="284">
          <cell r="D284">
            <v>6.6772799999999988</v>
          </cell>
        </row>
        <row r="286">
          <cell r="D286">
            <v>251.64000000000001</v>
          </cell>
        </row>
        <row r="288">
          <cell r="D288">
            <v>0.98666000000000009</v>
          </cell>
        </row>
        <row r="290">
          <cell r="D290">
            <v>117.35000000000001</v>
          </cell>
        </row>
        <row r="291">
          <cell r="D291">
            <v>13</v>
          </cell>
        </row>
        <row r="292">
          <cell r="D292">
            <v>15.18</v>
          </cell>
        </row>
        <row r="296">
          <cell r="I296">
            <v>865080.05</v>
          </cell>
        </row>
        <row r="299">
          <cell r="D299">
            <v>648.41750000000002</v>
          </cell>
        </row>
        <row r="301">
          <cell r="D301">
            <v>54.47</v>
          </cell>
        </row>
        <row r="302">
          <cell r="D302">
            <v>123.2</v>
          </cell>
        </row>
        <row r="307">
          <cell r="D307">
            <v>195.66679999999997</v>
          </cell>
        </row>
        <row r="310">
          <cell r="D310">
            <v>10</v>
          </cell>
        </row>
        <row r="311">
          <cell r="D311">
            <v>21.2</v>
          </cell>
        </row>
        <row r="312">
          <cell r="D312">
            <v>119.79599999999999</v>
          </cell>
        </row>
        <row r="313">
          <cell r="D313">
            <v>704</v>
          </cell>
        </row>
        <row r="314">
          <cell r="D314">
            <v>245.99999999999997</v>
          </cell>
        </row>
        <row r="315">
          <cell r="D315">
            <v>0.59799999999999998</v>
          </cell>
        </row>
        <row r="316">
          <cell r="D316">
            <v>134</v>
          </cell>
        </row>
        <row r="317">
          <cell r="D317">
            <v>558.78</v>
          </cell>
        </row>
        <row r="318">
          <cell r="D318">
            <v>2</v>
          </cell>
        </row>
        <row r="319">
          <cell r="D319">
            <v>250.9</v>
          </cell>
        </row>
        <row r="320">
          <cell r="D320">
            <v>1</v>
          </cell>
        </row>
        <row r="321">
          <cell r="D321">
            <v>3</v>
          </cell>
        </row>
        <row r="322">
          <cell r="D322">
            <v>11.6</v>
          </cell>
        </row>
        <row r="323">
          <cell r="D323">
            <v>0.9</v>
          </cell>
        </row>
        <row r="324">
          <cell r="D324">
            <v>1187</v>
          </cell>
        </row>
        <row r="325">
          <cell r="D325">
            <v>55.54</v>
          </cell>
        </row>
        <row r="326">
          <cell r="D326">
            <v>5.56</v>
          </cell>
        </row>
        <row r="327">
          <cell r="D327">
            <v>0.91349999999999998</v>
          </cell>
        </row>
        <row r="329">
          <cell r="D329">
            <v>1.5</v>
          </cell>
        </row>
        <row r="330">
          <cell r="D330">
            <v>1.5225</v>
          </cell>
        </row>
        <row r="331">
          <cell r="D331">
            <v>2.1924000000000001</v>
          </cell>
        </row>
        <row r="332">
          <cell r="D332">
            <v>61.199999999999996</v>
          </cell>
        </row>
        <row r="333">
          <cell r="D333">
            <v>39.54</v>
          </cell>
        </row>
        <row r="335">
          <cell r="D335">
            <v>583.79999999999995</v>
          </cell>
        </row>
        <row r="336">
          <cell r="D336">
            <v>187.2</v>
          </cell>
        </row>
        <row r="337">
          <cell r="D337">
            <v>138.87</v>
          </cell>
        </row>
        <row r="338">
          <cell r="D338">
            <v>130.5</v>
          </cell>
        </row>
        <row r="339">
          <cell r="D339">
            <v>256.20000000000005</v>
          </cell>
        </row>
        <row r="340">
          <cell r="D340">
            <v>3.4200000000000004</v>
          </cell>
        </row>
        <row r="341">
          <cell r="D341">
            <v>2.88</v>
          </cell>
        </row>
        <row r="342">
          <cell r="D342">
            <v>1.2000000000000002</v>
          </cell>
        </row>
        <row r="343">
          <cell r="D343">
            <v>36</v>
          </cell>
        </row>
        <row r="344">
          <cell r="D344">
            <v>13.200000000000001</v>
          </cell>
        </row>
        <row r="346">
          <cell r="D346">
            <v>118.92000000000002</v>
          </cell>
        </row>
        <row r="347">
          <cell r="D347">
            <v>145.92000000000002</v>
          </cell>
        </row>
        <row r="348">
          <cell r="D348">
            <v>3</v>
          </cell>
        </row>
        <row r="356">
          <cell r="I356">
            <v>2430284.0283336006</v>
          </cell>
        </row>
        <row r="362">
          <cell r="I362">
            <v>1443270.16</v>
          </cell>
        </row>
        <row r="366">
          <cell r="D366">
            <v>39</v>
          </cell>
        </row>
        <row r="367">
          <cell r="D367">
            <v>9</v>
          </cell>
        </row>
        <row r="369">
          <cell r="D369">
            <v>1</v>
          </cell>
        </row>
        <row r="370">
          <cell r="D370">
            <v>3</v>
          </cell>
        </row>
        <row r="380">
          <cell r="I380">
            <v>342236</v>
          </cell>
        </row>
        <row r="383">
          <cell r="D383">
            <v>1263.8942500000003</v>
          </cell>
        </row>
        <row r="384">
          <cell r="D384">
            <v>183.08360000000002</v>
          </cell>
        </row>
        <row r="385">
          <cell r="D385">
            <v>21.97</v>
          </cell>
        </row>
        <row r="387">
          <cell r="I387">
            <v>1960957.2100000002</v>
          </cell>
        </row>
        <row r="391">
          <cell r="D391">
            <v>141.89999999999998</v>
          </cell>
        </row>
        <row r="393">
          <cell r="D393">
            <v>559.19999999999993</v>
          </cell>
        </row>
        <row r="395">
          <cell r="D395">
            <v>511.9</v>
          </cell>
        </row>
        <row r="396">
          <cell r="D396">
            <v>1654.7999999999997</v>
          </cell>
        </row>
        <row r="399">
          <cell r="D399">
            <v>81</v>
          </cell>
        </row>
        <row r="402">
          <cell r="D402">
            <v>135.59999999999997</v>
          </cell>
        </row>
        <row r="409">
          <cell r="D409">
            <v>1771.92</v>
          </cell>
        </row>
        <row r="415">
          <cell r="I415">
            <v>2489831.2270000004</v>
          </cell>
        </row>
        <row r="418">
          <cell r="D418">
            <v>6.9</v>
          </cell>
        </row>
        <row r="421">
          <cell r="D421">
            <v>6.9</v>
          </cell>
        </row>
        <row r="423">
          <cell r="D423">
            <v>1.7</v>
          </cell>
        </row>
        <row r="429">
          <cell r="D429">
            <v>6.9</v>
          </cell>
        </row>
        <row r="432">
          <cell r="D432">
            <v>39.1</v>
          </cell>
        </row>
        <row r="437">
          <cell r="D437">
            <v>8.9</v>
          </cell>
        </row>
        <row r="442">
          <cell r="I442">
            <v>56206.909999999996</v>
          </cell>
        </row>
        <row r="445">
          <cell r="D445">
            <v>561.30000000000007</v>
          </cell>
        </row>
        <row r="450">
          <cell r="D450">
            <v>19.799999999999997</v>
          </cell>
        </row>
        <row r="454">
          <cell r="D454">
            <v>203.1</v>
          </cell>
        </row>
        <row r="460">
          <cell r="I460">
            <v>385723.20000000007</v>
          </cell>
        </row>
        <row r="463">
          <cell r="D463">
            <v>14.422000000000004</v>
          </cell>
        </row>
        <row r="464">
          <cell r="D464">
            <v>25.959600000000005</v>
          </cell>
        </row>
        <row r="471">
          <cell r="I471">
            <v>92127.74</v>
          </cell>
        </row>
        <row r="572">
          <cell r="I572">
            <v>1727000</v>
          </cell>
        </row>
        <row r="593">
          <cell r="I593">
            <v>2512666.666666667</v>
          </cell>
        </row>
        <row r="622">
          <cell r="I622">
            <v>532000</v>
          </cell>
        </row>
        <row r="742">
          <cell r="I742">
            <v>1105000</v>
          </cell>
        </row>
        <row r="779">
          <cell r="I779">
            <v>1050000</v>
          </cell>
        </row>
        <row r="781">
          <cell r="I781">
            <v>34062386.756970271</v>
          </cell>
        </row>
      </sheetData>
      <sheetData sheetId="2"/>
      <sheetData sheetId="3"/>
      <sheetData sheetId="4"/>
      <sheetData sheetId="5"/>
      <sheetData sheetId="6"/>
      <sheetData sheetId="7"/>
      <sheetData sheetId="8">
        <row r="6">
          <cell r="K6">
            <v>145.59</v>
          </cell>
        </row>
        <row r="24">
          <cell r="G24">
            <v>34.271999999999998</v>
          </cell>
        </row>
        <row r="25">
          <cell r="G25">
            <v>252.19874999999996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Y752"/>
  <sheetViews>
    <sheetView tabSelected="1" topLeftCell="A7" zoomScale="70" zoomScaleNormal="70" workbookViewId="0">
      <pane xSplit="6" ySplit="11" topLeftCell="G18" activePane="bottomRight" state="frozen"/>
      <selection activeCell="A7" sqref="A7"/>
      <selection pane="topRight" activeCell="G7" sqref="G7"/>
      <selection pane="bottomLeft" activeCell="A18" sqref="A18"/>
      <selection pane="bottomRight" activeCell="V16" sqref="V16"/>
    </sheetView>
  </sheetViews>
  <sheetFormatPr defaultColWidth="9.109375" defaultRowHeight="15.6" outlineLevelRow="2" x14ac:dyDescent="0.3"/>
  <cols>
    <col min="1" max="1" width="6" style="116" customWidth="1"/>
    <col min="2" max="2" width="50.88671875" style="18" customWidth="1"/>
    <col min="3" max="3" width="24.6640625" style="54" customWidth="1"/>
    <col min="4" max="4" width="13.33203125" style="38" customWidth="1"/>
    <col min="5" max="5" width="14.109375" style="38" customWidth="1"/>
    <col min="6" max="6" width="15" style="38" customWidth="1"/>
    <col min="7" max="7" width="14.88671875" style="125" customWidth="1"/>
    <col min="8" max="8" width="17.5546875" style="38" customWidth="1"/>
    <col min="9" max="9" width="18.88671875" style="38" customWidth="1"/>
    <col min="10" max="10" width="18.6640625" style="38" customWidth="1"/>
    <col min="11" max="12" width="18.6640625" style="358" customWidth="1"/>
    <col min="13" max="13" width="14.21875" style="18" customWidth="1"/>
    <col min="14" max="14" width="13.6640625" style="18" customWidth="1"/>
    <col min="15" max="15" width="8.5546875" style="18" customWidth="1"/>
    <col min="16" max="16" width="17.33203125" style="18" customWidth="1"/>
    <col min="17" max="17" width="12" style="18" customWidth="1"/>
    <col min="18" max="18" width="15.5546875" style="18" customWidth="1"/>
    <col min="19" max="19" width="14.44140625" style="18" customWidth="1"/>
    <col min="20" max="21" width="12" style="18" customWidth="1"/>
    <col min="22" max="22" width="13.5546875" style="18" customWidth="1"/>
    <col min="23" max="23" width="12" style="18" customWidth="1"/>
    <col min="24" max="24" width="13.5546875" style="18" customWidth="1"/>
    <col min="25" max="25" width="15.109375" style="200" customWidth="1"/>
    <col min="26" max="26" width="15.109375" style="91" customWidth="1"/>
    <col min="27" max="27" width="15.44140625" style="18" customWidth="1"/>
    <col min="28" max="16384" width="9.109375" style="18"/>
  </cols>
  <sheetData>
    <row r="1" spans="1:36" s="3" customFormat="1" ht="14.4" x14ac:dyDescent="0.25">
      <c r="A1" s="1"/>
      <c r="B1" s="1"/>
      <c r="C1" s="207"/>
      <c r="D1" s="1"/>
      <c r="E1" s="1"/>
      <c r="F1" s="1"/>
      <c r="G1" s="1"/>
      <c r="H1" s="2"/>
      <c r="I1" s="2"/>
      <c r="J1" s="2"/>
      <c r="K1" s="350"/>
      <c r="L1" s="350"/>
      <c r="Y1" s="202"/>
      <c r="Z1" s="347"/>
    </row>
    <row r="2" spans="1:36" s="3" customFormat="1" ht="27.75" customHeight="1" x14ac:dyDescent="0.25">
      <c r="A2" s="1"/>
      <c r="B2" s="4" t="s">
        <v>0</v>
      </c>
      <c r="C2" s="207"/>
      <c r="D2" s="1"/>
      <c r="E2" s="1"/>
      <c r="F2" s="1"/>
      <c r="G2" s="1"/>
      <c r="H2" s="5" t="s">
        <v>1</v>
      </c>
      <c r="I2" s="2"/>
      <c r="J2" s="2"/>
      <c r="K2" s="350"/>
      <c r="L2" s="350"/>
      <c r="Y2" s="202"/>
      <c r="Z2" s="347"/>
    </row>
    <row r="3" spans="1:36" s="3" customFormat="1" ht="14.4" x14ac:dyDescent="0.25">
      <c r="A3" s="1"/>
      <c r="B3" s="1"/>
      <c r="C3" s="207"/>
      <c r="D3" s="1"/>
      <c r="E3" s="1"/>
      <c r="F3" s="1"/>
      <c r="G3" s="1"/>
      <c r="H3" s="2"/>
      <c r="I3" s="2"/>
      <c r="J3" s="2"/>
      <c r="K3" s="350"/>
      <c r="L3" s="350"/>
      <c r="Y3" s="202"/>
      <c r="Z3" s="347"/>
    </row>
    <row r="4" spans="1:36" s="3" customFormat="1" ht="14.4" x14ac:dyDescent="0.25">
      <c r="A4" s="1"/>
      <c r="B4" s="1"/>
      <c r="C4" s="207"/>
      <c r="D4" s="1"/>
      <c r="E4" s="1"/>
      <c r="F4" s="1"/>
      <c r="G4" s="1"/>
      <c r="H4" s="2"/>
      <c r="I4" s="2"/>
      <c r="J4" s="2"/>
      <c r="K4" s="350"/>
      <c r="L4" s="350"/>
      <c r="S4" s="263">
        <f>J16+J16+J17</f>
        <v>211970.696</v>
      </c>
      <c r="Y4" s="202"/>
      <c r="Z4" s="347"/>
      <c r="AA4" s="3" t="s">
        <v>789</v>
      </c>
    </row>
    <row r="5" spans="1:36" s="3" customFormat="1" ht="14.4" x14ac:dyDescent="0.25">
      <c r="A5" s="1"/>
      <c r="B5" s="6"/>
      <c r="C5" s="224"/>
      <c r="D5" s="1"/>
      <c r="E5" s="1"/>
      <c r="F5" s="1"/>
      <c r="G5" s="1" t="s">
        <v>2</v>
      </c>
      <c r="H5" s="2"/>
      <c r="I5" s="2"/>
      <c r="J5" s="2"/>
      <c r="K5" s="350"/>
      <c r="L5" s="350"/>
      <c r="Y5" s="202"/>
      <c r="Z5" s="347"/>
      <c r="AA5" s="3" t="s">
        <v>790</v>
      </c>
    </row>
    <row r="6" spans="1:36" s="3" customFormat="1" ht="14.4" x14ac:dyDescent="0.25">
      <c r="A6" s="1"/>
      <c r="B6" s="1"/>
      <c r="C6" s="207"/>
      <c r="D6" s="1"/>
      <c r="E6" s="1"/>
      <c r="F6" s="1"/>
      <c r="G6" s="1"/>
      <c r="H6" s="2"/>
      <c r="I6" s="2"/>
      <c r="J6" s="2"/>
      <c r="K6" s="350"/>
      <c r="L6" s="350"/>
      <c r="Y6" s="202"/>
      <c r="Z6" s="347"/>
    </row>
    <row r="7" spans="1:36" s="3" customFormat="1" ht="14.4" x14ac:dyDescent="0.25">
      <c r="A7" s="1"/>
      <c r="B7" s="334" t="s">
        <v>3</v>
      </c>
      <c r="C7" s="334"/>
      <c r="D7" s="335"/>
      <c r="E7" s="335"/>
      <c r="F7" s="335"/>
      <c r="G7" s="335"/>
      <c r="H7" s="335"/>
      <c r="I7" s="335"/>
      <c r="J7" s="2"/>
      <c r="K7" s="350"/>
      <c r="L7" s="350"/>
      <c r="Y7" s="202"/>
      <c r="Z7" s="347"/>
    </row>
    <row r="8" spans="1:36" s="3" customFormat="1" ht="29.25" customHeight="1" x14ac:dyDescent="0.25">
      <c r="A8" s="1"/>
      <c r="B8" s="336" t="s">
        <v>4</v>
      </c>
      <c r="C8" s="336"/>
      <c r="D8" s="337"/>
      <c r="E8" s="337"/>
      <c r="F8" s="337"/>
      <c r="G8" s="337"/>
      <c r="H8" s="337"/>
      <c r="I8" s="337"/>
      <c r="J8" s="2"/>
      <c r="K8" s="350"/>
      <c r="L8" s="350"/>
      <c r="Y8" s="202"/>
      <c r="Z8" s="347"/>
      <c r="AA8" s="3" t="s">
        <v>791</v>
      </c>
    </row>
    <row r="9" spans="1:36" s="11" customFormat="1" ht="15.75" customHeight="1" x14ac:dyDescent="0.3">
      <c r="A9" s="7"/>
      <c r="B9" s="8"/>
      <c r="C9" s="8"/>
      <c r="D9" s="8"/>
      <c r="E9" s="8"/>
      <c r="F9" s="8"/>
      <c r="G9" s="9"/>
      <c r="H9" s="338" t="s">
        <v>5</v>
      </c>
      <c r="I9" s="338"/>
      <c r="J9" s="10" t="e">
        <f>J10/D10</f>
        <v>#REF!</v>
      </c>
      <c r="K9" s="351"/>
      <c r="L9" s="351"/>
      <c r="Y9" s="199"/>
      <c r="Z9" s="348"/>
    </row>
    <row r="10" spans="1:36" s="11" customFormat="1" ht="15.75" customHeight="1" x14ac:dyDescent="0.3">
      <c r="A10" s="339" t="s">
        <v>6</v>
      </c>
      <c r="B10" s="339"/>
      <c r="C10" s="208"/>
      <c r="D10" s="11">
        <v>1658.4</v>
      </c>
      <c r="E10" s="12" t="s">
        <v>7</v>
      </c>
      <c r="F10" s="13">
        <v>39</v>
      </c>
      <c r="G10" s="340" t="s">
        <v>8</v>
      </c>
      <c r="H10" s="340"/>
      <c r="I10" s="340"/>
      <c r="J10" s="14" t="e">
        <f>#REF!*1</f>
        <v>#REF!</v>
      </c>
      <c r="K10" s="352"/>
      <c r="L10" s="352"/>
      <c r="Y10" s="199"/>
      <c r="Z10" s="348"/>
      <c r="AA10" s="11" t="s">
        <v>792</v>
      </c>
    </row>
    <row r="11" spans="1:36" s="11" customFormat="1" ht="15.75" customHeight="1" x14ac:dyDescent="0.3">
      <c r="A11" s="15"/>
      <c r="B11" s="15"/>
      <c r="C11" s="209"/>
      <c r="D11" s="16"/>
      <c r="E11" s="12"/>
      <c r="F11" s="13"/>
      <c r="G11" s="17"/>
      <c r="H11" s="17"/>
      <c r="I11" s="17"/>
      <c r="J11" s="14"/>
      <c r="K11" s="352"/>
      <c r="L11" s="352"/>
      <c r="Y11" s="199"/>
      <c r="Z11" s="348"/>
    </row>
    <row r="12" spans="1:36" s="11" customFormat="1" ht="15.75" customHeight="1" x14ac:dyDescent="0.3">
      <c r="A12" s="15"/>
      <c r="B12" s="15"/>
      <c r="C12" s="209"/>
      <c r="D12" s="16"/>
      <c r="E12" s="12"/>
      <c r="F12" s="13"/>
      <c r="G12" s="17"/>
      <c r="H12" s="17"/>
      <c r="I12" s="17"/>
      <c r="J12" s="14"/>
      <c r="K12" s="352"/>
      <c r="L12" s="352"/>
      <c r="Y12" s="199"/>
      <c r="Z12" s="348"/>
    </row>
    <row r="13" spans="1:36" ht="25.5" customHeight="1" x14ac:dyDescent="0.3">
      <c r="A13" s="332" t="s">
        <v>9</v>
      </c>
      <c r="B13" s="333" t="s">
        <v>10</v>
      </c>
      <c r="C13" s="19"/>
      <c r="D13" s="333" t="s">
        <v>11</v>
      </c>
      <c r="E13" s="333" t="s">
        <v>12</v>
      </c>
      <c r="F13" s="333" t="s">
        <v>13</v>
      </c>
      <c r="G13" s="333"/>
      <c r="H13" s="333" t="s">
        <v>14</v>
      </c>
      <c r="I13" s="333"/>
      <c r="J13" s="333" t="s">
        <v>15</v>
      </c>
      <c r="K13" s="353" t="s">
        <v>833</v>
      </c>
      <c r="L13" s="354"/>
      <c r="N13" s="346" t="s">
        <v>738</v>
      </c>
      <c r="O13" s="346"/>
      <c r="P13" s="346"/>
      <c r="Q13" s="346" t="s">
        <v>742</v>
      </c>
      <c r="R13" s="346"/>
      <c r="S13" s="346"/>
      <c r="T13" s="346" t="s">
        <v>743</v>
      </c>
      <c r="U13" s="346"/>
      <c r="V13" s="346"/>
      <c r="W13" s="198" t="s">
        <v>744</v>
      </c>
      <c r="X13" s="198"/>
      <c r="Y13" s="203"/>
      <c r="Z13" s="349"/>
      <c r="AA13" s="345" t="s">
        <v>745</v>
      </c>
      <c r="AB13" s="198"/>
      <c r="AC13" s="198"/>
      <c r="AD13" s="198"/>
      <c r="AE13" s="198"/>
      <c r="AF13" s="198"/>
      <c r="AG13" s="198"/>
      <c r="AH13" s="198"/>
      <c r="AI13" s="198"/>
      <c r="AJ13" s="198"/>
    </row>
    <row r="14" spans="1:36" ht="31.2" x14ac:dyDescent="0.3">
      <c r="A14" s="332"/>
      <c r="B14" s="333"/>
      <c r="C14" s="19" t="s">
        <v>739</v>
      </c>
      <c r="D14" s="333"/>
      <c r="E14" s="333"/>
      <c r="F14" s="19" t="s">
        <v>16</v>
      </c>
      <c r="G14" s="20" t="s">
        <v>17</v>
      </c>
      <c r="H14" s="19" t="s">
        <v>16</v>
      </c>
      <c r="I14" s="19" t="s">
        <v>18</v>
      </c>
      <c r="J14" s="333"/>
      <c r="K14" s="355" t="s">
        <v>16</v>
      </c>
      <c r="L14" s="355" t="s">
        <v>18</v>
      </c>
      <c r="N14" s="204" t="s">
        <v>741</v>
      </c>
      <c r="O14" s="204" t="s">
        <v>746</v>
      </c>
      <c r="P14" s="204" t="s">
        <v>747</v>
      </c>
      <c r="Q14" s="204" t="s">
        <v>741</v>
      </c>
      <c r="R14" s="204" t="s">
        <v>746</v>
      </c>
      <c r="S14" s="204" t="s">
        <v>747</v>
      </c>
      <c r="T14" s="204" t="s">
        <v>741</v>
      </c>
      <c r="U14" s="204" t="s">
        <v>746</v>
      </c>
      <c r="V14" s="204" t="s">
        <v>747</v>
      </c>
      <c r="W14" s="204" t="s">
        <v>741</v>
      </c>
      <c r="X14" s="198"/>
      <c r="Y14" s="203"/>
      <c r="Z14" s="349"/>
      <c r="AA14" s="345"/>
      <c r="AB14" s="198"/>
      <c r="AC14" s="198"/>
      <c r="AD14" s="198"/>
      <c r="AE14" s="198"/>
      <c r="AF14" s="198"/>
      <c r="AG14" s="198"/>
      <c r="AH14" s="198"/>
      <c r="AI14" s="198"/>
      <c r="AJ14" s="198"/>
    </row>
    <row r="15" spans="1:36" s="25" customFormat="1" ht="24" customHeight="1" x14ac:dyDescent="0.3">
      <c r="A15" s="21"/>
      <c r="B15" s="341" t="s">
        <v>19</v>
      </c>
      <c r="C15" s="341"/>
      <c r="D15" s="341"/>
      <c r="E15" s="341"/>
      <c r="F15" s="341"/>
      <c r="G15" s="22"/>
      <c r="H15" s="23"/>
      <c r="I15" s="23"/>
      <c r="J15" s="24"/>
      <c r="K15" s="356"/>
      <c r="L15" s="356"/>
      <c r="Y15" s="201"/>
      <c r="Z15" s="49"/>
    </row>
    <row r="16" spans="1:36" s="25" customFormat="1" ht="24" customHeight="1" x14ac:dyDescent="0.3">
      <c r="A16" s="26" t="s">
        <v>20</v>
      </c>
      <c r="B16" s="27" t="s">
        <v>21</v>
      </c>
      <c r="C16" s="161" t="s">
        <v>740</v>
      </c>
      <c r="D16" s="28" t="s">
        <v>22</v>
      </c>
      <c r="E16" s="28">
        <v>263</v>
      </c>
      <c r="F16" s="28">
        <f>350</f>
        <v>350</v>
      </c>
      <c r="G16" s="29"/>
      <c r="H16" s="29">
        <f>F16*E16</f>
        <v>92050</v>
      </c>
      <c r="I16" s="30"/>
      <c r="J16" s="30">
        <f>H16+I16</f>
        <v>92050</v>
      </c>
      <c r="K16" s="357">
        <f>IF(H16&gt;0,Y16,0)</f>
        <v>92050</v>
      </c>
      <c r="L16" s="357">
        <f>IF(I16&gt;0,Z16,0)</f>
        <v>0</v>
      </c>
      <c r="N16" s="25">
        <v>263</v>
      </c>
      <c r="O16" s="25">
        <v>350</v>
      </c>
      <c r="P16" s="25">
        <f>O16*N16</f>
        <v>92050</v>
      </c>
      <c r="S16" s="25">
        <f>Q16*R16</f>
        <v>0</v>
      </c>
      <c r="V16" s="25">
        <f>T16*U16</f>
        <v>0</v>
      </c>
      <c r="X16" s="25">
        <f>W16*F16+W16*G16</f>
        <v>0</v>
      </c>
      <c r="Y16" s="201">
        <f>P16+S16+V16+X16</f>
        <v>92050</v>
      </c>
      <c r="Z16" s="49"/>
      <c r="AA16" s="25">
        <f>J16-Y16</f>
        <v>0</v>
      </c>
    </row>
    <row r="17" spans="1:259" s="31" customFormat="1" ht="35.25" customHeight="1" outlineLevel="1" x14ac:dyDescent="0.3">
      <c r="A17" s="26" t="s">
        <v>23</v>
      </c>
      <c r="B17" s="27" t="s">
        <v>24</v>
      </c>
      <c r="C17" s="161" t="s">
        <v>740</v>
      </c>
      <c r="D17" s="28" t="s">
        <v>25</v>
      </c>
      <c r="E17" s="28">
        <f>173.7*0.2+75.36*0.2+(14.4+0.6+0.41+12.76+0.65*2+0.41*2+14.4+0.6+2*3+2*0.41+39.2+0.43+0.6+0.41+39.2+0.41+0.6+12.76+2*0.65+2*0.41)*0.41*0.2</f>
        <v>61.934880000000007</v>
      </c>
      <c r="F17" s="28">
        <v>450</v>
      </c>
      <c r="G17" s="30"/>
      <c r="H17" s="29">
        <f t="shared" ref="H17:H46" si="0">F17*E17</f>
        <v>27870.696000000004</v>
      </c>
      <c r="I17" s="29"/>
      <c r="J17" s="30">
        <f t="shared" ref="J17:J37" si="1">H17+I17</f>
        <v>27870.696000000004</v>
      </c>
      <c r="K17" s="357">
        <f t="shared" ref="K17:K19" si="2">IF(H17&gt;0,Y17,0)</f>
        <v>26100</v>
      </c>
      <c r="L17" s="357">
        <f t="shared" ref="L17:L20" si="3">IF(I17&gt;0,Z17,0)</f>
        <v>0</v>
      </c>
      <c r="N17" s="25">
        <v>58</v>
      </c>
      <c r="O17" s="25">
        <v>450</v>
      </c>
      <c r="P17" s="25">
        <f>O17*N17</f>
        <v>26100</v>
      </c>
      <c r="Q17" s="25"/>
      <c r="R17" s="25"/>
      <c r="S17" s="25">
        <f>Q17*R17</f>
        <v>0</v>
      </c>
      <c r="T17" s="25"/>
      <c r="U17" s="25"/>
      <c r="V17" s="25">
        <f t="shared" ref="V17:V50" si="4">T17*U17</f>
        <v>0</v>
      </c>
      <c r="W17" s="25"/>
      <c r="X17" s="25">
        <f t="shared" ref="X17:X50" si="5">W17*F17+W17*G17</f>
        <v>0</v>
      </c>
      <c r="Y17" s="201">
        <f t="shared" ref="Y17:Y46" si="6">P17+S17+V17+X17</f>
        <v>26100</v>
      </c>
      <c r="Z17" s="49"/>
      <c r="AA17" s="25">
        <f t="shared" ref="AA17:AA46" si="7">J17-Y17</f>
        <v>1770.6960000000036</v>
      </c>
    </row>
    <row r="18" spans="1:259" outlineLevel="1" x14ac:dyDescent="0.3">
      <c r="A18" s="34"/>
      <c r="B18" s="35" t="s">
        <v>26</v>
      </c>
      <c r="C18" s="161" t="s">
        <v>748</v>
      </c>
      <c r="D18" s="28" t="s">
        <v>25</v>
      </c>
      <c r="E18" s="29">
        <f>E17*1.1</f>
        <v>68.128368000000009</v>
      </c>
      <c r="F18" s="29"/>
      <c r="G18" s="30">
        <v>180</v>
      </c>
      <c r="H18" s="29">
        <f t="shared" si="0"/>
        <v>0</v>
      </c>
      <c r="I18" s="29">
        <f>G18*E18</f>
        <v>12263.106240000001</v>
      </c>
      <c r="J18" s="30">
        <f t="shared" si="1"/>
        <v>12263.106240000001</v>
      </c>
      <c r="K18" s="357">
        <f>IF(H18&gt;0,Z18,0)</f>
        <v>0</v>
      </c>
      <c r="L18" s="357">
        <f t="shared" si="3"/>
        <v>14674.000000000002</v>
      </c>
      <c r="N18" s="25"/>
      <c r="O18" s="25"/>
      <c r="P18" s="25">
        <f t="shared" ref="P18:P50" si="8">O18*N18</f>
        <v>0</v>
      </c>
      <c r="Q18" s="25">
        <f>N17*1.1</f>
        <v>63.800000000000004</v>
      </c>
      <c r="R18" s="205">
        <v>230</v>
      </c>
      <c r="S18" s="25">
        <f>Q18*R18</f>
        <v>14674.000000000002</v>
      </c>
      <c r="T18" s="25"/>
      <c r="U18" s="25"/>
      <c r="V18" s="25">
        <f t="shared" si="4"/>
        <v>0</v>
      </c>
      <c r="W18" s="25"/>
      <c r="X18" s="25">
        <f t="shared" si="5"/>
        <v>0</v>
      </c>
      <c r="Z18" s="201">
        <f>P18+S18+V18+X18</f>
        <v>14674.000000000002</v>
      </c>
      <c r="AA18" s="205">
        <f>J18-Z18</f>
        <v>-2410.8937600000008</v>
      </c>
    </row>
    <row r="19" spans="1:259" s="31" customFormat="1" ht="35.25" customHeight="1" outlineLevel="1" x14ac:dyDescent="0.3">
      <c r="A19" s="26" t="s">
        <v>27</v>
      </c>
      <c r="B19" s="27" t="s">
        <v>28</v>
      </c>
      <c r="C19" s="161" t="s">
        <v>740</v>
      </c>
      <c r="D19" s="28" t="s">
        <v>25</v>
      </c>
      <c r="E19" s="28">
        <f>173.7*0.1+75.36*0.1</f>
        <v>24.906000000000002</v>
      </c>
      <c r="F19" s="28">
        <v>1000</v>
      </c>
      <c r="G19" s="30"/>
      <c r="H19" s="29">
        <f t="shared" si="0"/>
        <v>24906.000000000004</v>
      </c>
      <c r="I19" s="29">
        <f t="shared" ref="I19:I46" si="9">G19*E19</f>
        <v>0</v>
      </c>
      <c r="J19" s="30">
        <f t="shared" si="1"/>
        <v>24906.000000000004</v>
      </c>
      <c r="K19" s="357">
        <f t="shared" si="2"/>
        <v>22000</v>
      </c>
      <c r="L19" s="357">
        <f t="shared" si="3"/>
        <v>0</v>
      </c>
      <c r="N19" s="25"/>
      <c r="O19" s="25"/>
      <c r="P19" s="25">
        <f t="shared" si="8"/>
        <v>0</v>
      </c>
      <c r="Q19" s="25">
        <v>22</v>
      </c>
      <c r="R19" s="25">
        <v>1000</v>
      </c>
      <c r="S19" s="25">
        <f t="shared" ref="S19:S50" si="10">Q19*R19</f>
        <v>22000</v>
      </c>
      <c r="T19" s="25"/>
      <c r="U19" s="25"/>
      <c r="V19" s="25">
        <f t="shared" si="4"/>
        <v>0</v>
      </c>
      <c r="W19" s="25"/>
      <c r="X19" s="25">
        <f t="shared" si="5"/>
        <v>0</v>
      </c>
      <c r="Y19" s="201">
        <f t="shared" si="6"/>
        <v>22000</v>
      </c>
      <c r="Z19" s="49"/>
      <c r="AA19" s="25">
        <f t="shared" si="7"/>
        <v>2906.0000000000036</v>
      </c>
    </row>
    <row r="20" spans="1:259" s="36" customFormat="1" outlineLevel="1" x14ac:dyDescent="0.25">
      <c r="A20" s="34"/>
      <c r="B20" s="35" t="s">
        <v>29</v>
      </c>
      <c r="C20" s="161" t="s">
        <v>749</v>
      </c>
      <c r="D20" s="28" t="s">
        <v>25</v>
      </c>
      <c r="E20" s="29">
        <f>E19*1.015</f>
        <v>25.279589999999999</v>
      </c>
      <c r="F20" s="29"/>
      <c r="G20" s="30">
        <v>3200</v>
      </c>
      <c r="H20" s="29">
        <f t="shared" si="0"/>
        <v>0</v>
      </c>
      <c r="I20" s="29">
        <f t="shared" si="9"/>
        <v>80894.687999999995</v>
      </c>
      <c r="J20" s="30">
        <f t="shared" si="1"/>
        <v>80894.687999999995</v>
      </c>
      <c r="K20" s="357">
        <f>IF(H20&gt;0,#REF!,0)</f>
        <v>0</v>
      </c>
      <c r="L20" s="357">
        <f t="shared" si="3"/>
        <v>67200</v>
      </c>
      <c r="M20" s="18"/>
      <c r="N20" s="25"/>
      <c r="O20" s="25"/>
      <c r="P20" s="25">
        <f t="shared" si="8"/>
        <v>0</v>
      </c>
      <c r="Q20" s="206">
        <v>22.4</v>
      </c>
      <c r="R20" s="206">
        <v>3000</v>
      </c>
      <c r="S20" s="25">
        <f t="shared" si="10"/>
        <v>67200</v>
      </c>
      <c r="T20" s="25"/>
      <c r="U20" s="25"/>
      <c r="V20" s="25">
        <f t="shared" si="4"/>
        <v>0</v>
      </c>
      <c r="W20" s="25"/>
      <c r="X20" s="25">
        <f t="shared" si="5"/>
        <v>0</v>
      </c>
      <c r="Z20" s="201">
        <f>P20+S20+V20+X20</f>
        <v>67200</v>
      </c>
      <c r="AA20" s="206">
        <f>J20-Z20</f>
        <v>13694.687999999995</v>
      </c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B20" s="18"/>
      <c r="FC20" s="18"/>
      <c r="FD20" s="18"/>
      <c r="FE20" s="18"/>
      <c r="FF20" s="18"/>
      <c r="FG20" s="18"/>
      <c r="FH20" s="18"/>
      <c r="FI20" s="18"/>
      <c r="FJ20" s="18"/>
      <c r="FK20" s="18"/>
      <c r="FL20" s="18"/>
      <c r="FM20" s="18"/>
      <c r="FN20" s="18"/>
      <c r="FO20" s="18"/>
      <c r="FP20" s="18"/>
      <c r="FQ20" s="18"/>
      <c r="FR20" s="18"/>
      <c r="FS20" s="18"/>
      <c r="FT20" s="18"/>
      <c r="FU20" s="18"/>
      <c r="FV20" s="18"/>
      <c r="FW20" s="18"/>
      <c r="FX20" s="18"/>
      <c r="FY20" s="18"/>
      <c r="FZ20" s="18"/>
      <c r="GA20" s="18"/>
      <c r="GB20" s="18"/>
      <c r="GC20" s="18"/>
      <c r="GD20" s="18"/>
      <c r="GE20" s="18"/>
      <c r="GF20" s="18"/>
      <c r="GG20" s="18"/>
      <c r="GH20" s="18"/>
      <c r="GI20" s="18"/>
      <c r="GJ20" s="18"/>
      <c r="GK20" s="18"/>
      <c r="GL20" s="18"/>
      <c r="GM20" s="18"/>
      <c r="GN20" s="18"/>
      <c r="GO20" s="18"/>
      <c r="GP20" s="18"/>
      <c r="GQ20" s="18"/>
      <c r="GR20" s="18"/>
      <c r="GS20" s="18"/>
      <c r="GT20" s="18"/>
      <c r="GU20" s="18"/>
      <c r="GV20" s="18"/>
      <c r="GW20" s="18"/>
      <c r="GX20" s="18"/>
      <c r="GY20" s="18"/>
      <c r="GZ20" s="18"/>
      <c r="HA20" s="18"/>
      <c r="HB20" s="18"/>
      <c r="HC20" s="18"/>
      <c r="HD20" s="18"/>
      <c r="HE20" s="18"/>
      <c r="HF20" s="18"/>
      <c r="HG20" s="18"/>
      <c r="HH20" s="18"/>
      <c r="HI20" s="18"/>
      <c r="HJ20" s="18"/>
      <c r="HK20" s="18"/>
      <c r="HL20" s="18"/>
      <c r="HM20" s="18"/>
      <c r="HN20" s="18"/>
      <c r="HO20" s="18"/>
      <c r="HP20" s="18"/>
      <c r="HQ20" s="18"/>
      <c r="HR20" s="18"/>
      <c r="HS20" s="18"/>
      <c r="HT20" s="18"/>
      <c r="HU20" s="18"/>
      <c r="HV20" s="18"/>
      <c r="HW20" s="18"/>
      <c r="HX20" s="18"/>
      <c r="HY20" s="18"/>
      <c r="HZ20" s="18"/>
      <c r="IA20" s="18"/>
      <c r="IB20" s="18"/>
      <c r="IC20" s="18"/>
      <c r="ID20" s="18"/>
      <c r="IE20" s="18"/>
      <c r="IF20" s="18"/>
      <c r="IG20" s="18"/>
      <c r="IH20" s="18"/>
      <c r="II20" s="18"/>
      <c r="IJ20" s="18"/>
      <c r="IK20" s="18"/>
      <c r="IL20" s="18"/>
      <c r="IM20" s="18"/>
      <c r="IN20" s="18"/>
      <c r="IO20" s="18"/>
      <c r="IP20" s="18"/>
      <c r="IQ20" s="18"/>
      <c r="IR20" s="18"/>
      <c r="IS20" s="18"/>
      <c r="IT20" s="18"/>
      <c r="IU20" s="18"/>
      <c r="IV20" s="18"/>
      <c r="IW20" s="18"/>
      <c r="IX20" s="18"/>
      <c r="IY20" s="18"/>
    </row>
    <row r="21" spans="1:259" s="36" customFormat="1" ht="22.2" customHeight="1" outlineLevel="1" x14ac:dyDescent="0.25">
      <c r="A21" s="26" t="s">
        <v>30</v>
      </c>
      <c r="B21" s="27" t="s">
        <v>31</v>
      </c>
      <c r="C21" s="161" t="s">
        <v>740</v>
      </c>
      <c r="D21" s="28" t="s">
        <v>25</v>
      </c>
      <c r="E21" s="28">
        <f>25+67</f>
        <v>92</v>
      </c>
      <c r="F21" s="28">
        <f>2500</f>
        <v>2500</v>
      </c>
      <c r="G21" s="30"/>
      <c r="H21" s="29">
        <f t="shared" si="0"/>
        <v>230000</v>
      </c>
      <c r="I21" s="29">
        <f t="shared" si="9"/>
        <v>0</v>
      </c>
      <c r="J21" s="30">
        <f t="shared" si="1"/>
        <v>230000</v>
      </c>
      <c r="K21" s="357">
        <f t="shared" ref="K20:K83" si="11">IF(H21&gt;0,Z21,0)</f>
        <v>0</v>
      </c>
      <c r="L21" s="357">
        <f t="shared" ref="L20:L83" si="12">IF(I21&gt;0,Z21,0)</f>
        <v>0</v>
      </c>
      <c r="M21" s="18"/>
      <c r="N21" s="25"/>
      <c r="O21" s="25"/>
      <c r="P21" s="25">
        <f t="shared" si="8"/>
        <v>0</v>
      </c>
      <c r="Q21" s="25"/>
      <c r="R21" s="25"/>
      <c r="S21" s="25">
        <f t="shared" si="10"/>
        <v>0</v>
      </c>
      <c r="T21" s="25">
        <v>92</v>
      </c>
      <c r="U21" s="25">
        <v>2500</v>
      </c>
      <c r="V21" s="25">
        <f t="shared" si="4"/>
        <v>230000</v>
      </c>
      <c r="W21" s="25"/>
      <c r="X21" s="25">
        <f t="shared" si="5"/>
        <v>0</v>
      </c>
      <c r="Y21" s="201">
        <f t="shared" si="6"/>
        <v>230000</v>
      </c>
      <c r="Z21" s="49"/>
      <c r="AA21" s="25">
        <f t="shared" si="7"/>
        <v>0</v>
      </c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B21" s="18"/>
      <c r="FC21" s="18"/>
      <c r="FD21" s="18"/>
      <c r="FE21" s="18"/>
      <c r="FF21" s="18"/>
      <c r="FG21" s="18"/>
      <c r="FH21" s="18"/>
      <c r="FI21" s="18"/>
      <c r="FJ21" s="18"/>
      <c r="FK21" s="18"/>
      <c r="FL21" s="18"/>
      <c r="FM21" s="18"/>
      <c r="FN21" s="18"/>
      <c r="FO21" s="18"/>
      <c r="FP21" s="18"/>
      <c r="FQ21" s="18"/>
      <c r="FR21" s="18"/>
      <c r="FS21" s="18"/>
      <c r="FT21" s="18"/>
      <c r="FU21" s="18"/>
      <c r="FV21" s="18"/>
      <c r="FW21" s="18"/>
      <c r="FX21" s="18"/>
      <c r="FY21" s="18"/>
      <c r="FZ21" s="18"/>
      <c r="GA21" s="18"/>
      <c r="GB21" s="18"/>
      <c r="GC21" s="18"/>
      <c r="GD21" s="18"/>
      <c r="GE21" s="18"/>
      <c r="GF21" s="18"/>
      <c r="GG21" s="18"/>
      <c r="GH21" s="18"/>
      <c r="GI21" s="18"/>
      <c r="GJ21" s="18"/>
      <c r="GK21" s="18"/>
      <c r="GL21" s="18"/>
      <c r="GM21" s="18"/>
      <c r="GN21" s="18"/>
      <c r="GO21" s="18"/>
      <c r="GP21" s="18"/>
      <c r="GQ21" s="18"/>
      <c r="GR21" s="18"/>
      <c r="GS21" s="18"/>
      <c r="GT21" s="18"/>
      <c r="GU21" s="18"/>
      <c r="GV21" s="18"/>
      <c r="GW21" s="18"/>
      <c r="GX21" s="18"/>
      <c r="GY21" s="18"/>
      <c r="GZ21" s="18"/>
      <c r="HA21" s="18"/>
      <c r="HB21" s="18"/>
      <c r="HC21" s="18"/>
      <c r="HD21" s="18"/>
      <c r="HE21" s="18"/>
      <c r="HF21" s="18"/>
      <c r="HG21" s="18"/>
      <c r="HH21" s="18"/>
      <c r="HI21" s="18"/>
      <c r="HJ21" s="18"/>
      <c r="HK21" s="18"/>
      <c r="HL21" s="18"/>
      <c r="HM21" s="18"/>
      <c r="HN21" s="18"/>
      <c r="HO21" s="18"/>
      <c r="HP21" s="18"/>
      <c r="HQ21" s="18"/>
      <c r="HR21" s="18"/>
      <c r="HS21" s="18"/>
      <c r="HT21" s="18"/>
      <c r="HU21" s="18"/>
      <c r="HV21" s="18"/>
      <c r="HW21" s="18"/>
      <c r="HX21" s="18"/>
      <c r="HY21" s="18"/>
      <c r="HZ21" s="18"/>
      <c r="IA21" s="18"/>
      <c r="IB21" s="18"/>
      <c r="IC21" s="18"/>
      <c r="ID21" s="18"/>
      <c r="IE21" s="18"/>
      <c r="IF21" s="18"/>
      <c r="IG21" s="18"/>
      <c r="IH21" s="18"/>
      <c r="II21" s="18"/>
      <c r="IJ21" s="18"/>
      <c r="IK21" s="18"/>
      <c r="IL21" s="18"/>
      <c r="IM21" s="18"/>
      <c r="IN21" s="18"/>
      <c r="IO21" s="18"/>
      <c r="IP21" s="18"/>
      <c r="IQ21" s="18"/>
      <c r="IR21" s="18"/>
      <c r="IS21" s="18"/>
      <c r="IT21" s="18"/>
      <c r="IU21" s="18"/>
      <c r="IV21" s="18"/>
      <c r="IW21" s="18"/>
      <c r="IX21" s="18"/>
      <c r="IY21" s="18"/>
    </row>
    <row r="22" spans="1:259" s="36" customFormat="1" outlineLevel="1" x14ac:dyDescent="0.25">
      <c r="A22" s="37"/>
      <c r="B22" s="30" t="s">
        <v>32</v>
      </c>
      <c r="C22" s="28" t="s">
        <v>749</v>
      </c>
      <c r="D22" s="29" t="s">
        <v>25</v>
      </c>
      <c r="E22" s="29">
        <f>E21*1.015</f>
        <v>93.38</v>
      </c>
      <c r="F22" s="29"/>
      <c r="G22" s="30">
        <v>4600</v>
      </c>
      <c r="H22" s="29">
        <f t="shared" si="0"/>
        <v>0</v>
      </c>
      <c r="I22" s="29">
        <f t="shared" si="9"/>
        <v>429548</v>
      </c>
      <c r="J22" s="30">
        <f t="shared" si="1"/>
        <v>429548</v>
      </c>
      <c r="K22" s="357">
        <f>IF(H22&gt;0,#REF!,0)</f>
        <v>0</v>
      </c>
      <c r="L22" s="357">
        <f t="shared" si="12"/>
        <v>429548</v>
      </c>
      <c r="M22" s="18"/>
      <c r="N22" s="25"/>
      <c r="O22" s="25"/>
      <c r="P22" s="25">
        <f t="shared" si="8"/>
        <v>0</v>
      </c>
      <c r="Q22" s="25"/>
      <c r="R22" s="25"/>
      <c r="S22" s="25">
        <f t="shared" si="10"/>
        <v>0</v>
      </c>
      <c r="T22" s="25">
        <f>T21/E21*E22</f>
        <v>93.38</v>
      </c>
      <c r="U22" s="25">
        <v>4600</v>
      </c>
      <c r="V22" s="25">
        <f t="shared" si="4"/>
        <v>429548</v>
      </c>
      <c r="W22" s="25"/>
      <c r="X22" s="25">
        <f t="shared" si="5"/>
        <v>0</v>
      </c>
      <c r="Z22" s="201">
        <f>P22+S22+V22+X22</f>
        <v>429548</v>
      </c>
      <c r="AA22" s="25">
        <f>J22-Z22</f>
        <v>0</v>
      </c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B22" s="18"/>
      <c r="FC22" s="18"/>
      <c r="FD22" s="18"/>
      <c r="FE22" s="18"/>
      <c r="FF22" s="18"/>
      <c r="FG22" s="18"/>
      <c r="FH22" s="18"/>
      <c r="FI22" s="18"/>
      <c r="FJ22" s="18"/>
      <c r="FK22" s="18"/>
      <c r="FL22" s="18"/>
      <c r="FM22" s="18"/>
      <c r="FN22" s="18"/>
      <c r="FO22" s="18"/>
      <c r="FP22" s="18"/>
      <c r="FQ22" s="18"/>
      <c r="FR22" s="18"/>
      <c r="FS22" s="18"/>
      <c r="FT22" s="18"/>
      <c r="FU22" s="18"/>
      <c r="FV22" s="18"/>
      <c r="FW22" s="18"/>
      <c r="FX22" s="18"/>
      <c r="FY22" s="18"/>
      <c r="FZ22" s="18"/>
      <c r="GA22" s="18"/>
      <c r="GB22" s="18"/>
      <c r="GC22" s="18"/>
      <c r="GD22" s="18"/>
      <c r="GE22" s="18"/>
      <c r="GF22" s="18"/>
      <c r="GG22" s="18"/>
      <c r="GH22" s="18"/>
      <c r="GI22" s="18"/>
      <c r="GJ22" s="18"/>
      <c r="GK22" s="18"/>
      <c r="GL22" s="18"/>
      <c r="GM22" s="18"/>
      <c r="GN22" s="18"/>
      <c r="GO22" s="18"/>
      <c r="GP22" s="18"/>
      <c r="GQ22" s="18"/>
      <c r="GR22" s="18"/>
      <c r="GS22" s="18"/>
      <c r="GT22" s="18"/>
      <c r="GU22" s="18"/>
      <c r="GV22" s="18"/>
      <c r="GW22" s="18"/>
      <c r="GX22" s="18"/>
      <c r="GY22" s="18"/>
      <c r="GZ22" s="18"/>
      <c r="HA22" s="18"/>
      <c r="HB22" s="18"/>
      <c r="HC22" s="18"/>
      <c r="HD22" s="18"/>
      <c r="HE22" s="18"/>
      <c r="HF22" s="18"/>
      <c r="HG22" s="18"/>
      <c r="HH22" s="18"/>
      <c r="HI22" s="18"/>
      <c r="HJ22" s="18"/>
      <c r="HK22" s="18"/>
      <c r="HL22" s="18"/>
      <c r="HM22" s="18"/>
      <c r="HN22" s="18"/>
      <c r="HO22" s="18"/>
      <c r="HP22" s="18"/>
      <c r="HQ22" s="18"/>
      <c r="HR22" s="18"/>
      <c r="HS22" s="18"/>
      <c r="HT22" s="18"/>
      <c r="HU22" s="18"/>
      <c r="HV22" s="18"/>
      <c r="HW22" s="18"/>
      <c r="HX22" s="18"/>
      <c r="HY22" s="18"/>
      <c r="HZ22" s="18"/>
      <c r="IA22" s="18"/>
      <c r="IB22" s="18"/>
      <c r="IC22" s="18"/>
      <c r="ID22" s="18"/>
      <c r="IE22" s="18"/>
      <c r="IF22" s="18"/>
      <c r="IG22" s="18"/>
      <c r="IH22" s="18"/>
      <c r="II22" s="18"/>
      <c r="IJ22" s="18"/>
      <c r="IK22" s="18"/>
      <c r="IL22" s="18"/>
      <c r="IM22" s="18"/>
      <c r="IN22" s="18"/>
      <c r="IO22" s="18"/>
      <c r="IP22" s="18"/>
      <c r="IQ22" s="18"/>
      <c r="IR22" s="18"/>
      <c r="IS22" s="18"/>
      <c r="IT22" s="18"/>
      <c r="IU22" s="18"/>
      <c r="IV22" s="18"/>
      <c r="IW22" s="18"/>
      <c r="IX22" s="18"/>
      <c r="IY22" s="18"/>
    </row>
    <row r="23" spans="1:259" s="25" customFormat="1" ht="20.25" customHeight="1" outlineLevel="1" x14ac:dyDescent="0.3">
      <c r="A23" s="34"/>
      <c r="B23" s="35" t="s">
        <v>33</v>
      </c>
      <c r="C23" s="161" t="s">
        <v>750</v>
      </c>
      <c r="D23" s="29" t="s">
        <v>34</v>
      </c>
      <c r="E23" s="38">
        <v>3.9480330000000015</v>
      </c>
      <c r="F23" s="29"/>
      <c r="G23" s="30">
        <v>35000</v>
      </c>
      <c r="H23" s="29">
        <f t="shared" si="0"/>
        <v>0</v>
      </c>
      <c r="I23" s="29">
        <f t="shared" si="9"/>
        <v>138181.15500000006</v>
      </c>
      <c r="J23" s="30">
        <f t="shared" si="1"/>
        <v>138181.15500000006</v>
      </c>
      <c r="K23" s="357">
        <f>IF(H23&gt;0,#REF!,0)</f>
        <v>0</v>
      </c>
      <c r="L23" s="357">
        <f t="shared" si="12"/>
        <v>138181.15500000006</v>
      </c>
      <c r="P23" s="25">
        <f t="shared" si="8"/>
        <v>0</v>
      </c>
      <c r="S23" s="25">
        <f t="shared" si="10"/>
        <v>0</v>
      </c>
      <c r="T23" s="25">
        <f>T21/E21*E23</f>
        <v>3.9480330000000015</v>
      </c>
      <c r="U23" s="25">
        <v>35000</v>
      </c>
      <c r="V23" s="25">
        <f t="shared" si="4"/>
        <v>138181.15500000006</v>
      </c>
      <c r="X23" s="25">
        <f t="shared" si="5"/>
        <v>0</v>
      </c>
      <c r="Z23" s="201">
        <f>P23+S23+V23+X23</f>
        <v>138181.15500000006</v>
      </c>
      <c r="AA23" s="25">
        <f>J23-Z23</f>
        <v>0</v>
      </c>
    </row>
    <row r="24" spans="1:259" outlineLevel="1" x14ac:dyDescent="0.3">
      <c r="A24" s="37"/>
      <c r="B24" s="30" t="s">
        <v>35</v>
      </c>
      <c r="C24" s="28"/>
      <c r="D24" s="29" t="s">
        <v>25</v>
      </c>
      <c r="E24" s="29">
        <v>1</v>
      </c>
      <c r="F24" s="29"/>
      <c r="G24" s="30">
        <v>7500</v>
      </c>
      <c r="H24" s="29">
        <f t="shared" si="0"/>
        <v>0</v>
      </c>
      <c r="I24" s="29">
        <f t="shared" si="9"/>
        <v>7500</v>
      </c>
      <c r="J24" s="30">
        <f t="shared" si="1"/>
        <v>7500</v>
      </c>
      <c r="K24" s="357">
        <f>IF(H24&gt;0,#REF!,0)</f>
        <v>0</v>
      </c>
      <c r="L24" s="357">
        <f t="shared" si="12"/>
        <v>7000</v>
      </c>
      <c r="N24" s="25"/>
      <c r="O24" s="25"/>
      <c r="P24" s="25">
        <f t="shared" si="8"/>
        <v>0</v>
      </c>
      <c r="Q24" s="25"/>
      <c r="R24" s="25"/>
      <c r="S24" s="25">
        <f t="shared" si="10"/>
        <v>0</v>
      </c>
      <c r="T24" s="25">
        <v>1</v>
      </c>
      <c r="U24" s="206">
        <v>7000</v>
      </c>
      <c r="V24" s="25">
        <f t="shared" si="4"/>
        <v>7000</v>
      </c>
      <c r="W24" s="25"/>
      <c r="X24" s="25">
        <f t="shared" si="5"/>
        <v>0</v>
      </c>
      <c r="Z24" s="201">
        <f>P24+S24+V24+X24</f>
        <v>7000</v>
      </c>
      <c r="AA24" s="206">
        <f>J24-Z24</f>
        <v>500</v>
      </c>
    </row>
    <row r="25" spans="1:259" ht="16.2" customHeight="1" outlineLevel="1" x14ac:dyDescent="0.3">
      <c r="A25" s="26" t="s">
        <v>36</v>
      </c>
      <c r="B25" s="39" t="s">
        <v>37</v>
      </c>
      <c r="C25" s="28"/>
      <c r="D25" s="28" t="s">
        <v>38</v>
      </c>
      <c r="E25" s="32">
        <f>332.58*0.41+5.2*0.35*2+35.96*0.61+168.18*0.41+5.2*0.35</f>
        <v>232.70719999999997</v>
      </c>
      <c r="F25" s="28">
        <f>80</f>
        <v>80</v>
      </c>
      <c r="G25" s="30"/>
      <c r="H25" s="29">
        <f t="shared" si="0"/>
        <v>18616.575999999997</v>
      </c>
      <c r="I25" s="29">
        <f t="shared" si="9"/>
        <v>0</v>
      </c>
      <c r="J25" s="30">
        <f t="shared" si="1"/>
        <v>18616.575999999997</v>
      </c>
      <c r="K25" s="357" t="str">
        <f t="shared" si="11"/>
        <v/>
      </c>
      <c r="L25" s="357">
        <f t="shared" si="12"/>
        <v>0</v>
      </c>
      <c r="N25" s="25"/>
      <c r="O25" s="25"/>
      <c r="P25" s="25">
        <f t="shared" si="8"/>
        <v>0</v>
      </c>
      <c r="Q25" s="25"/>
      <c r="R25" s="25"/>
      <c r="S25" s="25">
        <f t="shared" si="10"/>
        <v>0</v>
      </c>
      <c r="T25" s="25"/>
      <c r="U25" s="25"/>
      <c r="V25" s="25">
        <f t="shared" si="4"/>
        <v>0</v>
      </c>
      <c r="W25" s="25"/>
      <c r="X25" s="25">
        <f t="shared" si="5"/>
        <v>0</v>
      </c>
      <c r="Y25" s="201">
        <f t="shared" si="6"/>
        <v>0</v>
      </c>
      <c r="Z25" s="49" t="str">
        <f t="shared" ref="Z23:Z86" si="13">IF(I25&gt;0,"FFFFFF","")</f>
        <v/>
      </c>
      <c r="AA25" s="25">
        <f t="shared" si="7"/>
        <v>18616.575999999997</v>
      </c>
    </row>
    <row r="26" spans="1:259" ht="16.2" customHeight="1" outlineLevel="1" x14ac:dyDescent="0.3">
      <c r="A26" s="34"/>
      <c r="B26" s="30" t="s">
        <v>39</v>
      </c>
      <c r="C26" s="28"/>
      <c r="D26" s="29" t="s">
        <v>40</v>
      </c>
      <c r="E26" s="29">
        <f>2.5*E25</f>
        <v>581.76799999999992</v>
      </c>
      <c r="F26" s="29"/>
      <c r="G26" s="30">
        <v>55</v>
      </c>
      <c r="H26" s="29">
        <f t="shared" si="0"/>
        <v>0</v>
      </c>
      <c r="I26" s="29">
        <f t="shared" si="9"/>
        <v>31997.239999999994</v>
      </c>
      <c r="J26" s="30">
        <f t="shared" si="1"/>
        <v>31997.239999999994</v>
      </c>
      <c r="K26" s="357">
        <f>IF(H26&gt;0,#REF!,0)</f>
        <v>0</v>
      </c>
      <c r="L26" s="357">
        <f t="shared" si="12"/>
        <v>0</v>
      </c>
      <c r="N26" s="25"/>
      <c r="O26" s="25"/>
      <c r="P26" s="25">
        <f t="shared" si="8"/>
        <v>0</v>
      </c>
      <c r="Q26" s="25"/>
      <c r="R26" s="25"/>
      <c r="S26" s="25">
        <f t="shared" si="10"/>
        <v>0</v>
      </c>
      <c r="T26" s="25"/>
      <c r="U26" s="25"/>
      <c r="V26" s="25">
        <f t="shared" si="4"/>
        <v>0</v>
      </c>
      <c r="W26" s="25"/>
      <c r="X26" s="25">
        <f t="shared" si="5"/>
        <v>0</v>
      </c>
      <c r="Z26" s="201">
        <f>P26+S26+V26+X26</f>
        <v>0</v>
      </c>
      <c r="AA26" s="25">
        <f>J26-Z26</f>
        <v>31997.239999999994</v>
      </c>
    </row>
    <row r="27" spans="1:259" ht="16.2" customHeight="1" outlineLevel="1" x14ac:dyDescent="0.3">
      <c r="A27" s="34"/>
      <c r="B27" s="30" t="s">
        <v>41</v>
      </c>
      <c r="C27" s="28"/>
      <c r="D27" s="29" t="s">
        <v>42</v>
      </c>
      <c r="E27" s="29">
        <f>0.35*E25</f>
        <v>81.447519999999983</v>
      </c>
      <c r="F27" s="29"/>
      <c r="G27" s="30">
        <v>44</v>
      </c>
      <c r="H27" s="29">
        <f t="shared" si="0"/>
        <v>0</v>
      </c>
      <c r="I27" s="29">
        <f t="shared" si="9"/>
        <v>3583.6908799999992</v>
      </c>
      <c r="J27" s="30">
        <f t="shared" si="1"/>
        <v>3583.6908799999992</v>
      </c>
      <c r="K27" s="357">
        <f>IF(H27&gt;0,#REF!,0)</f>
        <v>0</v>
      </c>
      <c r="L27" s="357">
        <f t="shared" si="12"/>
        <v>0</v>
      </c>
      <c r="N27" s="25"/>
      <c r="O27" s="25"/>
      <c r="P27" s="25">
        <f t="shared" si="8"/>
        <v>0</v>
      </c>
      <c r="Q27" s="25"/>
      <c r="R27" s="25"/>
      <c r="S27" s="25">
        <f t="shared" si="10"/>
        <v>0</v>
      </c>
      <c r="T27" s="25"/>
      <c r="U27" s="25"/>
      <c r="V27" s="25">
        <f t="shared" si="4"/>
        <v>0</v>
      </c>
      <c r="W27" s="25"/>
      <c r="X27" s="25">
        <f t="shared" si="5"/>
        <v>0</v>
      </c>
      <c r="Z27" s="201">
        <f>P27+S27+V27+X27</f>
        <v>0</v>
      </c>
      <c r="AA27" s="25">
        <f>J27-Z27</f>
        <v>3583.6908799999992</v>
      </c>
    </row>
    <row r="28" spans="1:259" ht="26.25" customHeight="1" outlineLevel="1" x14ac:dyDescent="0.3">
      <c r="A28" s="26" t="s">
        <v>43</v>
      </c>
      <c r="B28" s="39" t="s">
        <v>44</v>
      </c>
      <c r="C28" s="28"/>
      <c r="D28" s="28" t="s">
        <v>25</v>
      </c>
      <c r="E28" s="40">
        <f>134.27*0.02+57.49*0.02</f>
        <v>3.8352000000000004</v>
      </c>
      <c r="F28" s="40">
        <f>F25</f>
        <v>80</v>
      </c>
      <c r="G28" s="41"/>
      <c r="H28" s="29">
        <f t="shared" si="0"/>
        <v>306.81600000000003</v>
      </c>
      <c r="I28" s="29">
        <f t="shared" si="9"/>
        <v>0</v>
      </c>
      <c r="J28" s="41">
        <f>I28+H28</f>
        <v>306.81600000000003</v>
      </c>
      <c r="K28" s="357" t="str">
        <f t="shared" si="11"/>
        <v/>
      </c>
      <c r="L28" s="357">
        <f t="shared" si="12"/>
        <v>0</v>
      </c>
      <c r="N28" s="25"/>
      <c r="O28" s="25"/>
      <c r="P28" s="25">
        <f t="shared" si="8"/>
        <v>0</v>
      </c>
      <c r="Q28" s="25"/>
      <c r="R28" s="25"/>
      <c r="S28" s="25">
        <f t="shared" si="10"/>
        <v>0</v>
      </c>
      <c r="T28" s="25"/>
      <c r="U28" s="25"/>
      <c r="V28" s="25">
        <f t="shared" si="4"/>
        <v>0</v>
      </c>
      <c r="W28" s="25"/>
      <c r="X28" s="25">
        <f t="shared" si="5"/>
        <v>0</v>
      </c>
      <c r="Y28" s="201">
        <f t="shared" si="6"/>
        <v>0</v>
      </c>
      <c r="Z28" s="49" t="str">
        <f t="shared" si="13"/>
        <v/>
      </c>
      <c r="AA28" s="25">
        <f t="shared" si="7"/>
        <v>306.81600000000003</v>
      </c>
    </row>
    <row r="29" spans="1:259" ht="15.75" customHeight="1" outlineLevel="1" x14ac:dyDescent="0.3">
      <c r="A29" s="34"/>
      <c r="B29" s="35" t="s">
        <v>45</v>
      </c>
      <c r="C29" s="161"/>
      <c r="D29" s="29" t="s">
        <v>25</v>
      </c>
      <c r="E29" s="29">
        <f>ROUND(E28*1.015,2)</f>
        <v>3.89</v>
      </c>
      <c r="F29" s="29"/>
      <c r="G29" s="30">
        <v>3200</v>
      </c>
      <c r="H29" s="29">
        <f t="shared" si="0"/>
        <v>0</v>
      </c>
      <c r="I29" s="29">
        <f t="shared" si="9"/>
        <v>12448</v>
      </c>
      <c r="J29" s="30">
        <f>H29+I29</f>
        <v>12448</v>
      </c>
      <c r="K29" s="357">
        <f>IF(H29&gt;0,#REF!,0)</f>
        <v>0</v>
      </c>
      <c r="L29" s="357">
        <f t="shared" si="12"/>
        <v>0</v>
      </c>
      <c r="N29" s="25"/>
      <c r="O29" s="25"/>
      <c r="P29" s="25">
        <f t="shared" si="8"/>
        <v>0</v>
      </c>
      <c r="Q29" s="25"/>
      <c r="R29" s="25"/>
      <c r="S29" s="25">
        <f t="shared" si="10"/>
        <v>0</v>
      </c>
      <c r="T29" s="25"/>
      <c r="U29" s="25"/>
      <c r="V29" s="25">
        <f t="shared" si="4"/>
        <v>0</v>
      </c>
      <c r="W29" s="25"/>
      <c r="X29" s="25">
        <f t="shared" si="5"/>
        <v>0</v>
      </c>
      <c r="Z29" s="201">
        <f>P29+S29+V29+X29</f>
        <v>0</v>
      </c>
      <c r="AA29" s="25">
        <f>J29-Z29</f>
        <v>12448</v>
      </c>
    </row>
    <row r="30" spans="1:259" ht="15.75" customHeight="1" outlineLevel="1" x14ac:dyDescent="0.3">
      <c r="A30" s="26" t="s">
        <v>46</v>
      </c>
      <c r="B30" s="27" t="s">
        <v>47</v>
      </c>
      <c r="C30" s="161"/>
      <c r="D30" s="28" t="s">
        <v>22</v>
      </c>
      <c r="E30" s="28">
        <f>SUM(E31:E34)</f>
        <v>132</v>
      </c>
      <c r="F30" s="28">
        <v>270</v>
      </c>
      <c r="G30" s="30"/>
      <c r="H30" s="29">
        <f t="shared" si="0"/>
        <v>35640</v>
      </c>
      <c r="I30" s="29">
        <f t="shared" si="9"/>
        <v>0</v>
      </c>
      <c r="J30" s="30">
        <f t="shared" si="1"/>
        <v>35640</v>
      </c>
      <c r="K30" s="357" t="str">
        <f t="shared" si="11"/>
        <v/>
      </c>
      <c r="L30" s="357">
        <f t="shared" si="12"/>
        <v>0</v>
      </c>
      <c r="N30" s="25"/>
      <c r="O30" s="25"/>
      <c r="P30" s="25">
        <f t="shared" si="8"/>
        <v>0</v>
      </c>
      <c r="Q30" s="25"/>
      <c r="R30" s="25"/>
      <c r="S30" s="25">
        <f t="shared" si="10"/>
        <v>0</v>
      </c>
      <c r="T30" s="25"/>
      <c r="U30" s="25"/>
      <c r="V30" s="25">
        <f t="shared" si="4"/>
        <v>0</v>
      </c>
      <c r="W30" s="25"/>
      <c r="X30" s="25">
        <f t="shared" si="5"/>
        <v>0</v>
      </c>
      <c r="Y30" s="201">
        <f t="shared" si="6"/>
        <v>0</v>
      </c>
      <c r="Z30" s="49" t="str">
        <f t="shared" si="13"/>
        <v/>
      </c>
      <c r="AA30" s="25">
        <f t="shared" si="7"/>
        <v>35640</v>
      </c>
    </row>
    <row r="31" spans="1:259" ht="15.75" customHeight="1" outlineLevel="1" x14ac:dyDescent="0.3">
      <c r="A31" s="34"/>
      <c r="B31" s="35" t="s">
        <v>48</v>
      </c>
      <c r="C31" s="161"/>
      <c r="D31" s="29" t="s">
        <v>22</v>
      </c>
      <c r="E31" s="29">
        <v>39</v>
      </c>
      <c r="F31" s="28"/>
      <c r="G31" s="42">
        <v>1935.11</v>
      </c>
      <c r="H31" s="29">
        <f t="shared" si="0"/>
        <v>0</v>
      </c>
      <c r="I31" s="29">
        <f t="shared" si="9"/>
        <v>75469.289999999994</v>
      </c>
      <c r="J31" s="30">
        <f t="shared" si="1"/>
        <v>75469.289999999994</v>
      </c>
      <c r="K31" s="357">
        <f>IF(H31&gt;0,#REF!,0)</f>
        <v>0</v>
      </c>
      <c r="L31" s="357">
        <f t="shared" si="12"/>
        <v>0</v>
      </c>
      <c r="M31" s="18" t="s">
        <v>49</v>
      </c>
      <c r="N31" s="25"/>
      <c r="O31" s="25"/>
      <c r="P31" s="25">
        <f t="shared" si="8"/>
        <v>0</v>
      </c>
      <c r="Q31" s="25"/>
      <c r="R31" s="25"/>
      <c r="S31" s="25">
        <f t="shared" si="10"/>
        <v>0</v>
      </c>
      <c r="T31" s="25"/>
      <c r="U31" s="25"/>
      <c r="V31" s="25">
        <f t="shared" si="4"/>
        <v>0</v>
      </c>
      <c r="W31" s="25"/>
      <c r="X31" s="25">
        <f t="shared" si="5"/>
        <v>0</v>
      </c>
      <c r="Z31" s="201">
        <f>P31+S31+V31+X31</f>
        <v>0</v>
      </c>
      <c r="AA31" s="25">
        <f>J31-Z31</f>
        <v>75469.289999999994</v>
      </c>
    </row>
    <row r="32" spans="1:259" ht="15.75" customHeight="1" outlineLevel="1" x14ac:dyDescent="0.3">
      <c r="A32" s="34"/>
      <c r="B32" s="35" t="s">
        <v>50</v>
      </c>
      <c r="C32" s="161"/>
      <c r="D32" s="29" t="s">
        <v>22</v>
      </c>
      <c r="E32" s="29">
        <v>26</v>
      </c>
      <c r="F32" s="28"/>
      <c r="G32" s="42">
        <v>944.39</v>
      </c>
      <c r="H32" s="29">
        <f t="shared" si="0"/>
        <v>0</v>
      </c>
      <c r="I32" s="29">
        <f t="shared" si="9"/>
        <v>24554.14</v>
      </c>
      <c r="J32" s="30">
        <f t="shared" si="1"/>
        <v>24554.14</v>
      </c>
      <c r="K32" s="357">
        <f>IF(H32&gt;0,#REF!,0)</f>
        <v>0</v>
      </c>
      <c r="L32" s="357">
        <f t="shared" si="12"/>
        <v>0</v>
      </c>
      <c r="M32" s="18" t="s">
        <v>49</v>
      </c>
      <c r="N32" s="25"/>
      <c r="O32" s="25"/>
      <c r="P32" s="25">
        <f t="shared" si="8"/>
        <v>0</v>
      </c>
      <c r="Q32" s="25"/>
      <c r="R32" s="25"/>
      <c r="S32" s="25">
        <f t="shared" si="10"/>
        <v>0</v>
      </c>
      <c r="T32" s="25"/>
      <c r="U32" s="25"/>
      <c r="V32" s="25">
        <f t="shared" si="4"/>
        <v>0</v>
      </c>
      <c r="W32" s="25"/>
      <c r="X32" s="25">
        <f t="shared" si="5"/>
        <v>0</v>
      </c>
      <c r="Z32" s="201">
        <f>P32+S32+V32+X32</f>
        <v>0</v>
      </c>
      <c r="AA32" s="25">
        <f>J32-Z32</f>
        <v>24554.14</v>
      </c>
    </row>
    <row r="33" spans="1:27" outlineLevel="1" x14ac:dyDescent="0.3">
      <c r="A33" s="34"/>
      <c r="B33" s="35" t="s">
        <v>51</v>
      </c>
      <c r="C33" s="161"/>
      <c r="D33" s="29" t="s">
        <v>22</v>
      </c>
      <c r="E33" s="29">
        <v>54</v>
      </c>
      <c r="F33" s="29"/>
      <c r="G33" s="42">
        <v>694.93</v>
      </c>
      <c r="H33" s="29">
        <f t="shared" si="0"/>
        <v>0</v>
      </c>
      <c r="I33" s="29">
        <f t="shared" si="9"/>
        <v>37526.219999999994</v>
      </c>
      <c r="J33" s="30">
        <f t="shared" si="1"/>
        <v>37526.219999999994</v>
      </c>
      <c r="K33" s="357">
        <f>IF(H33&gt;0,#REF!,0)</f>
        <v>0</v>
      </c>
      <c r="L33" s="357">
        <f t="shared" si="12"/>
        <v>0</v>
      </c>
      <c r="M33" s="18" t="s">
        <v>49</v>
      </c>
      <c r="N33" s="25"/>
      <c r="O33" s="25"/>
      <c r="P33" s="25">
        <f t="shared" si="8"/>
        <v>0</v>
      </c>
      <c r="Q33" s="25"/>
      <c r="R33" s="25"/>
      <c r="S33" s="25">
        <f t="shared" si="10"/>
        <v>0</v>
      </c>
      <c r="T33" s="25"/>
      <c r="U33" s="25"/>
      <c r="V33" s="25">
        <f t="shared" si="4"/>
        <v>0</v>
      </c>
      <c r="W33" s="25"/>
      <c r="X33" s="25">
        <f t="shared" si="5"/>
        <v>0</v>
      </c>
      <c r="Z33" s="201">
        <f>P33+S33+V33+X33</f>
        <v>0</v>
      </c>
      <c r="AA33" s="25">
        <f>J33-Z33</f>
        <v>37526.219999999994</v>
      </c>
    </row>
    <row r="34" spans="1:27" outlineLevel="1" x14ac:dyDescent="0.3">
      <c r="A34" s="34"/>
      <c r="B34" s="35" t="s">
        <v>52</v>
      </c>
      <c r="C34" s="161"/>
      <c r="D34" s="29" t="s">
        <v>22</v>
      </c>
      <c r="E34" s="29">
        <v>13</v>
      </c>
      <c r="F34" s="29"/>
      <c r="G34" s="43">
        <v>900</v>
      </c>
      <c r="H34" s="29">
        <f t="shared" si="0"/>
        <v>0</v>
      </c>
      <c r="I34" s="29">
        <f t="shared" si="9"/>
        <v>11700</v>
      </c>
      <c r="J34" s="30">
        <f>H34+I34</f>
        <v>11700</v>
      </c>
      <c r="K34" s="357">
        <f>IF(H34&gt;0,#REF!,0)</f>
        <v>0</v>
      </c>
      <c r="L34" s="357">
        <f t="shared" si="12"/>
        <v>0</v>
      </c>
      <c r="M34" s="18" t="s">
        <v>49</v>
      </c>
      <c r="N34" s="25"/>
      <c r="O34" s="25"/>
      <c r="P34" s="25">
        <f t="shared" si="8"/>
        <v>0</v>
      </c>
      <c r="Q34" s="25"/>
      <c r="R34" s="25"/>
      <c r="S34" s="25">
        <f t="shared" si="10"/>
        <v>0</v>
      </c>
      <c r="T34" s="25"/>
      <c r="U34" s="25"/>
      <c r="V34" s="25">
        <f t="shared" si="4"/>
        <v>0</v>
      </c>
      <c r="W34" s="25"/>
      <c r="X34" s="25">
        <f t="shared" si="5"/>
        <v>0</v>
      </c>
      <c r="Z34" s="201">
        <f>P34+S34+V34+X34</f>
        <v>0</v>
      </c>
      <c r="AA34" s="25">
        <f>J34-Z34</f>
        <v>11700</v>
      </c>
    </row>
    <row r="35" spans="1:27" outlineLevel="1" x14ac:dyDescent="0.3">
      <c r="A35" s="34"/>
      <c r="B35" s="30" t="s">
        <v>53</v>
      </c>
      <c r="C35" s="28"/>
      <c r="D35" s="29" t="s">
        <v>25</v>
      </c>
      <c r="E35" s="29">
        <f>E30*0.05</f>
        <v>6.6000000000000005</v>
      </c>
      <c r="F35" s="29"/>
      <c r="G35" s="30">
        <v>3200</v>
      </c>
      <c r="H35" s="29">
        <f t="shared" si="0"/>
        <v>0</v>
      </c>
      <c r="I35" s="29">
        <f t="shared" si="9"/>
        <v>21120</v>
      </c>
      <c r="J35" s="30">
        <f t="shared" si="1"/>
        <v>21120</v>
      </c>
      <c r="K35" s="357">
        <f>IF(H35&gt;0,#REF!,0)</f>
        <v>0</v>
      </c>
      <c r="L35" s="357">
        <f t="shared" si="12"/>
        <v>0</v>
      </c>
      <c r="N35" s="25"/>
      <c r="O35" s="25"/>
      <c r="P35" s="25">
        <f t="shared" si="8"/>
        <v>0</v>
      </c>
      <c r="Q35" s="25"/>
      <c r="R35" s="25"/>
      <c r="S35" s="25">
        <f t="shared" si="10"/>
        <v>0</v>
      </c>
      <c r="T35" s="25"/>
      <c r="U35" s="25"/>
      <c r="V35" s="25">
        <f t="shared" si="4"/>
        <v>0</v>
      </c>
      <c r="W35" s="25"/>
      <c r="X35" s="25">
        <f t="shared" si="5"/>
        <v>0</v>
      </c>
      <c r="Z35" s="201">
        <f>P35+S35+V35+X35</f>
        <v>0</v>
      </c>
      <c r="AA35" s="25">
        <f>J35-Z35</f>
        <v>21120</v>
      </c>
    </row>
    <row r="36" spans="1:27" ht="31.2" outlineLevel="1" x14ac:dyDescent="0.3">
      <c r="A36" s="26" t="s">
        <v>54</v>
      </c>
      <c r="B36" s="27" t="s">
        <v>55</v>
      </c>
      <c r="C36" s="161"/>
      <c r="D36" s="45" t="s">
        <v>25</v>
      </c>
      <c r="E36" s="46">
        <f>1.5+4.3</f>
        <v>5.8</v>
      </c>
      <c r="F36" s="28">
        <v>800</v>
      </c>
      <c r="G36" s="30"/>
      <c r="H36" s="29">
        <f t="shared" si="0"/>
        <v>4640</v>
      </c>
      <c r="I36" s="29">
        <f t="shared" si="9"/>
        <v>0</v>
      </c>
      <c r="J36" s="30">
        <f t="shared" si="1"/>
        <v>4640</v>
      </c>
      <c r="K36" s="357" t="str">
        <f t="shared" si="11"/>
        <v/>
      </c>
      <c r="L36" s="357">
        <f t="shared" si="12"/>
        <v>0</v>
      </c>
      <c r="N36" s="25"/>
      <c r="O36" s="25"/>
      <c r="P36" s="25">
        <f t="shared" si="8"/>
        <v>0</v>
      </c>
      <c r="Q36" s="25"/>
      <c r="R36" s="25"/>
      <c r="S36" s="25">
        <f t="shared" si="10"/>
        <v>0</v>
      </c>
      <c r="T36" s="25"/>
      <c r="U36" s="25"/>
      <c r="V36" s="25">
        <f t="shared" si="4"/>
        <v>0</v>
      </c>
      <c r="W36" s="25"/>
      <c r="X36" s="25">
        <f t="shared" si="5"/>
        <v>0</v>
      </c>
      <c r="Y36" s="201">
        <f t="shared" si="6"/>
        <v>0</v>
      </c>
      <c r="Z36" s="49" t="str">
        <f t="shared" si="13"/>
        <v/>
      </c>
      <c r="AA36" s="25">
        <f t="shared" si="7"/>
        <v>4640</v>
      </c>
    </row>
    <row r="37" spans="1:27" outlineLevel="1" x14ac:dyDescent="0.3">
      <c r="A37" s="47"/>
      <c r="B37" s="30" t="s">
        <v>32</v>
      </c>
      <c r="C37" s="28"/>
      <c r="D37" s="29" t="s">
        <v>25</v>
      </c>
      <c r="E37" s="29">
        <f>E36*1.015</f>
        <v>5.8869999999999996</v>
      </c>
      <c r="F37" s="29"/>
      <c r="G37" s="30">
        <v>4200</v>
      </c>
      <c r="H37" s="29">
        <f t="shared" si="0"/>
        <v>0</v>
      </c>
      <c r="I37" s="29">
        <f t="shared" si="9"/>
        <v>24725.399999999998</v>
      </c>
      <c r="J37" s="30">
        <f t="shared" si="1"/>
        <v>24725.399999999998</v>
      </c>
      <c r="K37" s="357">
        <f>IF(H37&gt;0,#REF!,0)</f>
        <v>0</v>
      </c>
      <c r="L37" s="357">
        <f t="shared" si="12"/>
        <v>0</v>
      </c>
      <c r="N37" s="25"/>
      <c r="O37" s="25"/>
      <c r="P37" s="25">
        <f t="shared" si="8"/>
        <v>0</v>
      </c>
      <c r="Q37" s="25"/>
      <c r="R37" s="25"/>
      <c r="S37" s="25">
        <f t="shared" si="10"/>
        <v>0</v>
      </c>
      <c r="T37" s="25"/>
      <c r="U37" s="25"/>
      <c r="V37" s="25">
        <f t="shared" si="4"/>
        <v>0</v>
      </c>
      <c r="W37" s="25"/>
      <c r="X37" s="25">
        <f t="shared" si="5"/>
        <v>0</v>
      </c>
      <c r="Z37" s="201">
        <f>P37+S37+V37+X37</f>
        <v>0</v>
      </c>
      <c r="AA37" s="25">
        <f>J37-Z37</f>
        <v>24725.399999999998</v>
      </c>
    </row>
    <row r="38" spans="1:27" s="48" customFormat="1" outlineLevel="1" x14ac:dyDescent="0.3">
      <c r="A38" s="26" t="s">
        <v>56</v>
      </c>
      <c r="B38" s="39" t="s">
        <v>57</v>
      </c>
      <c r="C38" s="28"/>
      <c r="D38" s="28" t="s">
        <v>38</v>
      </c>
      <c r="E38" s="40">
        <f>34.66+36.22*2+5.3</f>
        <v>112.39999999999999</v>
      </c>
      <c r="F38" s="40">
        <v>250</v>
      </c>
      <c r="G38" s="41"/>
      <c r="H38" s="29">
        <f t="shared" si="0"/>
        <v>28099.999999999996</v>
      </c>
      <c r="I38" s="29">
        <f t="shared" si="9"/>
        <v>0</v>
      </c>
      <c r="J38" s="41">
        <f>I38+H38</f>
        <v>28099.999999999996</v>
      </c>
      <c r="K38" s="357" t="str">
        <f t="shared" si="11"/>
        <v/>
      </c>
      <c r="L38" s="357">
        <f t="shared" si="12"/>
        <v>0</v>
      </c>
      <c r="N38" s="25"/>
      <c r="O38" s="25"/>
      <c r="P38" s="25">
        <f t="shared" si="8"/>
        <v>0</v>
      </c>
      <c r="Q38" s="25"/>
      <c r="R38" s="25"/>
      <c r="S38" s="25">
        <f t="shared" si="10"/>
        <v>0</v>
      </c>
      <c r="T38" s="25"/>
      <c r="U38" s="25"/>
      <c r="V38" s="25">
        <f t="shared" si="4"/>
        <v>0</v>
      </c>
      <c r="W38" s="25"/>
      <c r="X38" s="25">
        <f t="shared" si="5"/>
        <v>0</v>
      </c>
      <c r="Y38" s="201">
        <f t="shared" si="6"/>
        <v>0</v>
      </c>
      <c r="Z38" s="49" t="str">
        <f t="shared" si="13"/>
        <v/>
      </c>
      <c r="AA38" s="25">
        <f t="shared" si="7"/>
        <v>28099.999999999996</v>
      </c>
    </row>
    <row r="39" spans="1:27" s="48" customFormat="1" outlineLevel="1" x14ac:dyDescent="0.3">
      <c r="A39" s="34"/>
      <c r="B39" s="35" t="s">
        <v>58</v>
      </c>
      <c r="C39" s="161"/>
      <c r="D39" s="29" t="s">
        <v>38</v>
      </c>
      <c r="E39" s="29">
        <f>ROUND(E38*2,2)</f>
        <v>224.8</v>
      </c>
      <c r="F39" s="29"/>
      <c r="G39" s="50">
        <v>86.8</v>
      </c>
      <c r="H39" s="29">
        <f t="shared" si="0"/>
        <v>0</v>
      </c>
      <c r="I39" s="29">
        <f t="shared" si="9"/>
        <v>19512.64</v>
      </c>
      <c r="J39" s="30">
        <f t="shared" ref="J39:J46" si="14">H39+I39</f>
        <v>19512.64</v>
      </c>
      <c r="K39" s="357">
        <f>IF(H39&gt;0,#REF!,0)</f>
        <v>0</v>
      </c>
      <c r="L39" s="357">
        <f t="shared" si="12"/>
        <v>0</v>
      </c>
      <c r="N39" s="25"/>
      <c r="O39" s="25"/>
      <c r="P39" s="25">
        <f t="shared" si="8"/>
        <v>0</v>
      </c>
      <c r="Q39" s="25"/>
      <c r="R39" s="25"/>
      <c r="S39" s="25">
        <f t="shared" si="10"/>
        <v>0</v>
      </c>
      <c r="T39" s="25"/>
      <c r="U39" s="25"/>
      <c r="V39" s="25">
        <f t="shared" si="4"/>
        <v>0</v>
      </c>
      <c r="W39" s="25"/>
      <c r="X39" s="25">
        <f t="shared" si="5"/>
        <v>0</v>
      </c>
      <c r="Z39" s="201">
        <f>P39+S39+V39+X39</f>
        <v>0</v>
      </c>
      <c r="AA39" s="25">
        <f>J39-Z39</f>
        <v>19512.64</v>
      </c>
    </row>
    <row r="40" spans="1:27" s="48" customFormat="1" outlineLevel="1" x14ac:dyDescent="0.3">
      <c r="A40" s="26" t="s">
        <v>59</v>
      </c>
      <c r="B40" s="27" t="s">
        <v>60</v>
      </c>
      <c r="C40" s="161"/>
      <c r="D40" s="29" t="s">
        <v>25</v>
      </c>
      <c r="E40" s="28">
        <f>0.5+1</f>
        <v>1.5</v>
      </c>
      <c r="F40" s="28">
        <v>1500</v>
      </c>
      <c r="G40" s="30"/>
      <c r="H40" s="29">
        <f t="shared" si="0"/>
        <v>2250</v>
      </c>
      <c r="I40" s="29">
        <f t="shared" si="9"/>
        <v>0</v>
      </c>
      <c r="J40" s="30">
        <f t="shared" si="14"/>
        <v>2250</v>
      </c>
      <c r="K40" s="357" t="str">
        <f t="shared" si="11"/>
        <v/>
      </c>
      <c r="L40" s="357">
        <f t="shared" si="12"/>
        <v>0</v>
      </c>
      <c r="N40" s="25"/>
      <c r="O40" s="25"/>
      <c r="P40" s="25">
        <f t="shared" si="8"/>
        <v>0</v>
      </c>
      <c r="Q40" s="25"/>
      <c r="R40" s="25"/>
      <c r="S40" s="25">
        <f t="shared" si="10"/>
        <v>0</v>
      </c>
      <c r="T40" s="25"/>
      <c r="U40" s="25"/>
      <c r="V40" s="25">
        <f t="shared" si="4"/>
        <v>0</v>
      </c>
      <c r="W40" s="25"/>
      <c r="X40" s="25">
        <f t="shared" si="5"/>
        <v>0</v>
      </c>
      <c r="Y40" s="201">
        <f t="shared" si="6"/>
        <v>0</v>
      </c>
      <c r="Z40" s="49" t="str">
        <f t="shared" si="13"/>
        <v/>
      </c>
      <c r="AA40" s="25">
        <f t="shared" si="7"/>
        <v>2250</v>
      </c>
    </row>
    <row r="41" spans="1:27" s="48" customFormat="1" outlineLevel="1" x14ac:dyDescent="0.3">
      <c r="A41" s="51"/>
      <c r="B41" s="30" t="s">
        <v>32</v>
      </c>
      <c r="C41" s="28"/>
      <c r="D41" s="29" t="s">
        <v>25</v>
      </c>
      <c r="E41" s="29">
        <f>E40*1.02</f>
        <v>1.53</v>
      </c>
      <c r="F41" s="29"/>
      <c r="G41" s="30">
        <v>4200</v>
      </c>
      <c r="H41" s="29">
        <f t="shared" si="0"/>
        <v>0</v>
      </c>
      <c r="I41" s="29">
        <f t="shared" si="9"/>
        <v>6426</v>
      </c>
      <c r="J41" s="30">
        <f t="shared" si="14"/>
        <v>6426</v>
      </c>
      <c r="K41" s="357">
        <f>IF(H41&gt;0,#REF!,0)</f>
        <v>0</v>
      </c>
      <c r="L41" s="357">
        <f t="shared" si="12"/>
        <v>0</v>
      </c>
      <c r="N41" s="25"/>
      <c r="O41" s="25"/>
      <c r="P41" s="25">
        <f t="shared" si="8"/>
        <v>0</v>
      </c>
      <c r="Q41" s="25"/>
      <c r="R41" s="25"/>
      <c r="S41" s="25">
        <f t="shared" si="10"/>
        <v>0</v>
      </c>
      <c r="T41" s="25"/>
      <c r="U41" s="25"/>
      <c r="V41" s="25">
        <f t="shared" si="4"/>
        <v>0</v>
      </c>
      <c r="W41" s="25"/>
      <c r="X41" s="25">
        <f t="shared" si="5"/>
        <v>0</v>
      </c>
      <c r="Z41" s="201">
        <f>P41+S41+V41+X41</f>
        <v>0</v>
      </c>
      <c r="AA41" s="25">
        <f>J41-Z41</f>
        <v>6426</v>
      </c>
    </row>
    <row r="42" spans="1:27" s="48" customFormat="1" outlineLevel="1" x14ac:dyDescent="0.3">
      <c r="A42" s="51"/>
      <c r="B42" s="30" t="s">
        <v>61</v>
      </c>
      <c r="C42" s="28"/>
      <c r="D42" s="45" t="s">
        <v>40</v>
      </c>
      <c r="E42" s="46">
        <f>44*0.98+88*0.15+6*17.1+42*0.07</f>
        <v>161.86000000000001</v>
      </c>
      <c r="F42" s="29"/>
      <c r="G42" s="52">
        <v>42</v>
      </c>
      <c r="H42" s="29">
        <f t="shared" si="0"/>
        <v>0</v>
      </c>
      <c r="I42" s="29">
        <f t="shared" si="9"/>
        <v>6798.1200000000008</v>
      </c>
      <c r="J42" s="30">
        <f t="shared" si="14"/>
        <v>6798.1200000000008</v>
      </c>
      <c r="K42" s="357">
        <f>IF(H42&gt;0,#REF!,0)</f>
        <v>0</v>
      </c>
      <c r="L42" s="357">
        <f t="shared" si="12"/>
        <v>0</v>
      </c>
      <c r="N42" s="25"/>
      <c r="O42" s="25"/>
      <c r="P42" s="25">
        <f t="shared" si="8"/>
        <v>0</v>
      </c>
      <c r="Q42" s="25"/>
      <c r="R42" s="25"/>
      <c r="S42" s="25">
        <f t="shared" si="10"/>
        <v>0</v>
      </c>
      <c r="T42" s="25"/>
      <c r="U42" s="25"/>
      <c r="V42" s="25">
        <f t="shared" si="4"/>
        <v>0</v>
      </c>
      <c r="W42" s="25"/>
      <c r="X42" s="25">
        <f t="shared" si="5"/>
        <v>0</v>
      </c>
      <c r="Z42" s="201">
        <f>P42+S42+V42+X42</f>
        <v>0</v>
      </c>
      <c r="AA42" s="25">
        <f>J42-Z42</f>
        <v>6798.1200000000008</v>
      </c>
    </row>
    <row r="43" spans="1:27" s="48" customFormat="1" ht="31.2" outlineLevel="1" x14ac:dyDescent="0.3">
      <c r="A43" s="26" t="s">
        <v>62</v>
      </c>
      <c r="B43" s="53" t="s">
        <v>63</v>
      </c>
      <c r="C43" s="210"/>
      <c r="D43" s="54" t="s">
        <v>34</v>
      </c>
      <c r="E43" s="55">
        <f>E45/1000</f>
        <v>0.25390000000000001</v>
      </c>
      <c r="F43" s="56">
        <v>20000</v>
      </c>
      <c r="G43" s="57"/>
      <c r="H43" s="29">
        <f t="shared" si="0"/>
        <v>5078</v>
      </c>
      <c r="I43" s="29">
        <f t="shared" si="9"/>
        <v>0</v>
      </c>
      <c r="J43" s="30">
        <f t="shared" si="14"/>
        <v>5078</v>
      </c>
      <c r="K43" s="357" t="str">
        <f t="shared" si="11"/>
        <v/>
      </c>
      <c r="L43" s="357">
        <f t="shared" si="12"/>
        <v>0</v>
      </c>
      <c r="N43" s="25"/>
      <c r="O43" s="25"/>
      <c r="P43" s="25">
        <f t="shared" si="8"/>
        <v>0</v>
      </c>
      <c r="Q43" s="25"/>
      <c r="R43" s="25"/>
      <c r="S43" s="25">
        <f t="shared" si="10"/>
        <v>0</v>
      </c>
      <c r="T43" s="25"/>
      <c r="U43" s="25"/>
      <c r="V43" s="25">
        <f t="shared" si="4"/>
        <v>0</v>
      </c>
      <c r="W43" s="25"/>
      <c r="X43" s="25">
        <f t="shared" si="5"/>
        <v>0</v>
      </c>
      <c r="Y43" s="201">
        <f t="shared" si="6"/>
        <v>0</v>
      </c>
      <c r="Z43" s="49" t="str">
        <f t="shared" si="13"/>
        <v/>
      </c>
      <c r="AA43" s="25">
        <f t="shared" si="7"/>
        <v>5078</v>
      </c>
    </row>
    <row r="44" spans="1:27" s="48" customFormat="1" outlineLevel="1" x14ac:dyDescent="0.3">
      <c r="A44" s="58"/>
      <c r="B44" s="30" t="s">
        <v>32</v>
      </c>
      <c r="C44" s="28"/>
      <c r="D44" s="29" t="s">
        <v>25</v>
      </c>
      <c r="E44" s="29">
        <f>(12.2+3)*1.02</f>
        <v>15.504</v>
      </c>
      <c r="F44" s="29"/>
      <c r="G44" s="30">
        <v>4600</v>
      </c>
      <c r="H44" s="29">
        <f t="shared" si="0"/>
        <v>0</v>
      </c>
      <c r="I44" s="29">
        <f t="shared" si="9"/>
        <v>71318.399999999994</v>
      </c>
      <c r="J44" s="30">
        <f t="shared" si="14"/>
        <v>71318.399999999994</v>
      </c>
      <c r="K44" s="357">
        <f>IF(H44&gt;0,#REF!,0)</f>
        <v>0</v>
      </c>
      <c r="L44" s="357">
        <f t="shared" si="12"/>
        <v>0</v>
      </c>
      <c r="N44" s="25"/>
      <c r="O44" s="25"/>
      <c r="P44" s="25">
        <f t="shared" si="8"/>
        <v>0</v>
      </c>
      <c r="Q44" s="25"/>
      <c r="R44" s="25"/>
      <c r="S44" s="25">
        <f t="shared" si="10"/>
        <v>0</v>
      </c>
      <c r="T44" s="25"/>
      <c r="U44" s="25"/>
      <c r="V44" s="25">
        <f t="shared" si="4"/>
        <v>0</v>
      </c>
      <c r="W44" s="25"/>
      <c r="X44" s="25">
        <f t="shared" si="5"/>
        <v>0</v>
      </c>
      <c r="Z44" s="201">
        <f>P44+S44+V44+X44</f>
        <v>0</v>
      </c>
      <c r="AA44" s="25">
        <f>J44-Z44</f>
        <v>71318.399999999994</v>
      </c>
    </row>
    <row r="45" spans="1:27" s="48" customFormat="1" outlineLevel="1" x14ac:dyDescent="0.3">
      <c r="A45" s="58"/>
      <c r="B45" s="30" t="s">
        <v>64</v>
      </c>
      <c r="C45" s="28"/>
      <c r="D45" s="45" t="s">
        <v>40</v>
      </c>
      <c r="E45" s="46">
        <f>194.3+59.6</f>
        <v>253.9</v>
      </c>
      <c r="F45" s="29"/>
      <c r="G45" s="52">
        <v>42</v>
      </c>
      <c r="H45" s="29">
        <f t="shared" si="0"/>
        <v>0</v>
      </c>
      <c r="I45" s="29">
        <f t="shared" si="9"/>
        <v>10663.800000000001</v>
      </c>
      <c r="J45" s="30">
        <f t="shared" si="14"/>
        <v>10663.800000000001</v>
      </c>
      <c r="K45" s="357">
        <f>IF(H45&gt;0,#REF!,0)</f>
        <v>0</v>
      </c>
      <c r="L45" s="357">
        <f t="shared" si="12"/>
        <v>0</v>
      </c>
      <c r="N45" s="25"/>
      <c r="O45" s="25"/>
      <c r="P45" s="25">
        <f t="shared" si="8"/>
        <v>0</v>
      </c>
      <c r="Q45" s="25"/>
      <c r="R45" s="25"/>
      <c r="S45" s="25">
        <f t="shared" si="10"/>
        <v>0</v>
      </c>
      <c r="T45" s="25"/>
      <c r="U45" s="25"/>
      <c r="V45" s="25">
        <f t="shared" si="4"/>
        <v>0</v>
      </c>
      <c r="W45" s="25"/>
      <c r="X45" s="25">
        <f t="shared" si="5"/>
        <v>0</v>
      </c>
      <c r="Z45" s="201">
        <f>P45+S45+V45+X45</f>
        <v>0</v>
      </c>
      <c r="AA45" s="25">
        <f>J45-Z45</f>
        <v>10663.800000000001</v>
      </c>
    </row>
    <row r="46" spans="1:27" s="48" customFormat="1" outlineLevel="1" x14ac:dyDescent="0.3">
      <c r="A46" s="47"/>
      <c r="B46" s="59" t="s">
        <v>65</v>
      </c>
      <c r="C46" s="65"/>
      <c r="D46" s="60" t="s">
        <v>66</v>
      </c>
      <c r="E46" s="61">
        <f>2*10*8</f>
        <v>160</v>
      </c>
      <c r="F46" s="62">
        <v>1300</v>
      </c>
      <c r="G46" s="63"/>
      <c r="H46" s="29">
        <f t="shared" si="0"/>
        <v>208000</v>
      </c>
      <c r="I46" s="29">
        <f t="shared" si="9"/>
        <v>0</v>
      </c>
      <c r="J46" s="30">
        <f t="shared" si="14"/>
        <v>208000</v>
      </c>
      <c r="K46" s="357" t="str">
        <f t="shared" si="11"/>
        <v/>
      </c>
      <c r="L46" s="357">
        <f t="shared" si="12"/>
        <v>0</v>
      </c>
      <c r="N46" s="25"/>
      <c r="O46" s="25"/>
      <c r="P46" s="25">
        <f t="shared" si="8"/>
        <v>0</v>
      </c>
      <c r="Q46" s="25"/>
      <c r="R46" s="25"/>
      <c r="S46" s="25">
        <f t="shared" si="10"/>
        <v>0</v>
      </c>
      <c r="T46" s="25"/>
      <c r="U46" s="25"/>
      <c r="V46" s="25">
        <f t="shared" si="4"/>
        <v>0</v>
      </c>
      <c r="W46" s="25"/>
      <c r="X46" s="25">
        <f t="shared" si="5"/>
        <v>0</v>
      </c>
      <c r="Y46" s="201">
        <f t="shared" si="6"/>
        <v>0</v>
      </c>
      <c r="Z46" s="49" t="str">
        <f t="shared" si="13"/>
        <v/>
      </c>
      <c r="AA46" s="25">
        <f t="shared" si="7"/>
        <v>208000</v>
      </c>
    </row>
    <row r="47" spans="1:27" s="48" customFormat="1" outlineLevel="1" x14ac:dyDescent="0.3">
      <c r="A47" s="47"/>
      <c r="B47" s="64" t="s">
        <v>67</v>
      </c>
      <c r="C47" s="65"/>
      <c r="D47" s="60"/>
      <c r="E47" s="61"/>
      <c r="F47" s="62"/>
      <c r="G47" s="63"/>
      <c r="H47" s="65">
        <f>SUM(H16:H46)</f>
        <v>677458.08799999999</v>
      </c>
      <c r="I47" s="62"/>
      <c r="J47" s="66">
        <f>H47</f>
        <v>677458.08799999999</v>
      </c>
      <c r="K47" s="357" t="str">
        <f t="shared" si="11"/>
        <v/>
      </c>
      <c r="L47" s="357">
        <f t="shared" si="12"/>
        <v>0</v>
      </c>
      <c r="N47" s="25"/>
      <c r="O47" s="25"/>
      <c r="P47" s="25">
        <f t="shared" si="8"/>
        <v>0</v>
      </c>
      <c r="Q47" s="25"/>
      <c r="R47" s="25"/>
      <c r="S47" s="25">
        <f t="shared" si="10"/>
        <v>0</v>
      </c>
      <c r="T47" s="25"/>
      <c r="U47" s="25"/>
      <c r="V47" s="25">
        <f t="shared" si="4"/>
        <v>0</v>
      </c>
      <c r="W47" s="25"/>
      <c r="X47" s="25">
        <f t="shared" si="5"/>
        <v>0</v>
      </c>
      <c r="Y47" s="201"/>
      <c r="Z47" s="49" t="str">
        <f t="shared" si="13"/>
        <v/>
      </c>
      <c r="AA47" s="25"/>
    </row>
    <row r="48" spans="1:27" s="48" customFormat="1" outlineLevel="1" x14ac:dyDescent="0.3">
      <c r="A48" s="47"/>
      <c r="B48" s="64" t="s">
        <v>68</v>
      </c>
      <c r="C48" s="65"/>
      <c r="D48" s="60"/>
      <c r="E48" s="61"/>
      <c r="F48" s="62"/>
      <c r="G48" s="63"/>
      <c r="H48" s="65"/>
      <c r="I48" s="65">
        <f>SUM(I16:I46)</f>
        <v>1026229.8901200001</v>
      </c>
      <c r="J48" s="66">
        <f>I48</f>
        <v>1026229.8901200001</v>
      </c>
      <c r="K48" s="357">
        <f>IF(H48&gt;0,#REF!,0)</f>
        <v>0</v>
      </c>
      <c r="L48" s="357">
        <f t="shared" si="12"/>
        <v>0</v>
      </c>
      <c r="N48" s="25"/>
      <c r="O48" s="25"/>
      <c r="P48" s="25">
        <f t="shared" si="8"/>
        <v>0</v>
      </c>
      <c r="Q48" s="25"/>
      <c r="R48" s="25"/>
      <c r="S48" s="25">
        <f t="shared" si="10"/>
        <v>0</v>
      </c>
      <c r="T48" s="25"/>
      <c r="U48" s="25"/>
      <c r="V48" s="25">
        <f t="shared" si="4"/>
        <v>0</v>
      </c>
      <c r="W48" s="25"/>
      <c r="X48" s="25">
        <f t="shared" si="5"/>
        <v>0</v>
      </c>
      <c r="Z48" s="201"/>
      <c r="AA48" s="25"/>
    </row>
    <row r="49" spans="1:27" s="48" customFormat="1" outlineLevel="1" x14ac:dyDescent="0.3">
      <c r="A49" s="47"/>
      <c r="B49" s="64" t="s">
        <v>69</v>
      </c>
      <c r="C49" s="65"/>
      <c r="D49" s="60"/>
      <c r="E49" s="61"/>
      <c r="F49" s="62"/>
      <c r="G49" s="63"/>
      <c r="H49" s="65"/>
      <c r="I49" s="62"/>
      <c r="J49" s="66">
        <f>H49</f>
        <v>0</v>
      </c>
      <c r="K49" s="357">
        <f t="shared" si="11"/>
        <v>0</v>
      </c>
      <c r="L49" s="357">
        <f t="shared" si="12"/>
        <v>0</v>
      </c>
      <c r="N49" s="25"/>
      <c r="O49" s="25"/>
      <c r="P49" s="25">
        <f t="shared" si="8"/>
        <v>0</v>
      </c>
      <c r="Q49" s="25"/>
      <c r="R49" s="25"/>
      <c r="S49" s="25">
        <f t="shared" si="10"/>
        <v>0</v>
      </c>
      <c r="T49" s="25"/>
      <c r="U49" s="25"/>
      <c r="V49" s="25">
        <f t="shared" si="4"/>
        <v>0</v>
      </c>
      <c r="W49" s="25"/>
      <c r="X49" s="25">
        <f t="shared" si="5"/>
        <v>0</v>
      </c>
      <c r="Y49" s="201"/>
      <c r="Z49" s="49" t="str">
        <f t="shared" si="13"/>
        <v/>
      </c>
      <c r="AA49" s="25"/>
    </row>
    <row r="50" spans="1:27" s="48" customFormat="1" outlineLevel="1" x14ac:dyDescent="0.3">
      <c r="A50" s="47"/>
      <c r="B50" s="64" t="s">
        <v>70</v>
      </c>
      <c r="C50" s="65"/>
      <c r="D50" s="60"/>
      <c r="E50" s="61"/>
      <c r="F50" s="62"/>
      <c r="G50" s="63"/>
      <c r="H50" s="65"/>
      <c r="I50" s="62"/>
      <c r="J50" s="66">
        <f>H50</f>
        <v>0</v>
      </c>
      <c r="K50" s="357">
        <f t="shared" si="11"/>
        <v>0</v>
      </c>
      <c r="L50" s="357">
        <f t="shared" si="12"/>
        <v>0</v>
      </c>
      <c r="N50" s="25"/>
      <c r="O50" s="25"/>
      <c r="P50" s="25">
        <f t="shared" si="8"/>
        <v>0</v>
      </c>
      <c r="Q50" s="25"/>
      <c r="R50" s="25"/>
      <c r="S50" s="25">
        <f t="shared" si="10"/>
        <v>0</v>
      </c>
      <c r="T50" s="25"/>
      <c r="U50" s="25"/>
      <c r="V50" s="25">
        <f t="shared" si="4"/>
        <v>0</v>
      </c>
      <c r="W50" s="25"/>
      <c r="X50" s="25">
        <f t="shared" si="5"/>
        <v>0</v>
      </c>
      <c r="Y50" s="201"/>
      <c r="Z50" s="49" t="str">
        <f t="shared" si="13"/>
        <v/>
      </c>
      <c r="AA50" s="25"/>
    </row>
    <row r="51" spans="1:27" s="48" customFormat="1" ht="31.2" x14ac:dyDescent="0.3">
      <c r="A51" s="67" t="s">
        <v>832</v>
      </c>
      <c r="B51" s="68" t="s">
        <v>71</v>
      </c>
      <c r="C51" s="211"/>
      <c r="D51" s="69"/>
      <c r="E51" s="69"/>
      <c r="F51" s="69"/>
      <c r="G51" s="70"/>
      <c r="H51" s="69">
        <f>H47+H49+H50</f>
        <v>677458.08799999999</v>
      </c>
      <c r="I51" s="69">
        <f>I48</f>
        <v>1026229.8901200001</v>
      </c>
      <c r="J51" s="69">
        <f>J47+J48</f>
        <v>1703687.9781200001</v>
      </c>
      <c r="K51" s="357">
        <f t="shared" si="11"/>
        <v>0</v>
      </c>
      <c r="L51" s="357">
        <f t="shared" si="12"/>
        <v>0</v>
      </c>
      <c r="N51" s="49"/>
      <c r="O51" s="49"/>
      <c r="P51" s="49">
        <f>SUM(P16:P50)</f>
        <v>118150</v>
      </c>
      <c r="Q51" s="49"/>
      <c r="R51" s="49">
        <f>I48-I51</f>
        <v>0</v>
      </c>
      <c r="S51" s="49">
        <f>SUM(S16:S50)</f>
        <v>103874</v>
      </c>
      <c r="T51" s="49"/>
      <c r="U51" s="49"/>
      <c r="V51" s="49">
        <f>SUM(V16:V50)</f>
        <v>804729.15500000003</v>
      </c>
      <c r="W51" s="49"/>
      <c r="X51" s="49">
        <f>SUM(X16:X50)</f>
        <v>0</v>
      </c>
      <c r="Y51" s="201"/>
      <c r="Z51" s="49"/>
      <c r="AA51" s="48">
        <f>SUM(AA16:AA50)</f>
        <v>676934.82312000007</v>
      </c>
    </row>
    <row r="52" spans="1:27" s="48" customFormat="1" x14ac:dyDescent="0.3">
      <c r="A52" s="71"/>
      <c r="B52" s="72" t="s">
        <v>72</v>
      </c>
      <c r="C52" s="161"/>
      <c r="D52" s="39"/>
      <c r="E52" s="28"/>
      <c r="F52" s="28"/>
      <c r="G52" s="50"/>
      <c r="H52" s="28"/>
      <c r="I52" s="28"/>
      <c r="J52" s="28">
        <f>ROUND(J51/1.18*0.18,2)</f>
        <v>259884.61</v>
      </c>
      <c r="K52" s="357">
        <f t="shared" si="11"/>
        <v>0</v>
      </c>
      <c r="L52" s="357">
        <f t="shared" si="12"/>
        <v>0</v>
      </c>
      <c r="N52" s="49"/>
      <c r="O52" s="49"/>
      <c r="P52" s="49"/>
      <c r="Q52" s="49"/>
      <c r="R52" s="49"/>
      <c r="S52" s="49"/>
      <c r="T52" s="49"/>
      <c r="U52" s="49"/>
      <c r="V52" s="49"/>
      <c r="W52" s="49"/>
      <c r="X52" s="49"/>
      <c r="Y52" s="201"/>
      <c r="Z52" s="49" t="str">
        <f t="shared" si="13"/>
        <v/>
      </c>
    </row>
    <row r="53" spans="1:27" ht="18.75" customHeight="1" x14ac:dyDescent="0.3">
      <c r="A53" s="21"/>
      <c r="B53" s="341" t="s">
        <v>73</v>
      </c>
      <c r="C53" s="341"/>
      <c r="D53" s="341"/>
      <c r="E53" s="341"/>
      <c r="F53" s="341"/>
      <c r="G53" s="341"/>
      <c r="H53" s="23"/>
      <c r="I53" s="23"/>
      <c r="J53" s="24"/>
      <c r="K53" s="357">
        <f t="shared" si="11"/>
        <v>0</v>
      </c>
      <c r="L53" s="357">
        <f t="shared" si="12"/>
        <v>0</v>
      </c>
      <c r="N53" s="73"/>
      <c r="O53" s="73"/>
      <c r="P53" s="74"/>
      <c r="Q53" s="73"/>
      <c r="R53" s="73"/>
      <c r="S53" s="74"/>
      <c r="T53" s="73"/>
      <c r="U53" s="73"/>
      <c r="V53" s="74"/>
      <c r="W53" s="73"/>
      <c r="X53" s="74"/>
      <c r="Z53" s="49" t="str">
        <f t="shared" si="13"/>
        <v/>
      </c>
    </row>
    <row r="54" spans="1:27" ht="20.25" customHeight="1" outlineLevel="2" x14ac:dyDescent="0.3">
      <c r="A54" s="26" t="s">
        <v>74</v>
      </c>
      <c r="B54" s="27" t="s">
        <v>75</v>
      </c>
      <c r="C54" s="161"/>
      <c r="D54" s="28" t="s">
        <v>25</v>
      </c>
      <c r="E54" s="28">
        <v>1.2225599999999999</v>
      </c>
      <c r="F54" s="28">
        <v>1600</v>
      </c>
      <c r="G54" s="30"/>
      <c r="H54" s="29">
        <f>F54*E54</f>
        <v>1956.0959999999998</v>
      </c>
      <c r="I54" s="29"/>
      <c r="J54" s="30">
        <f>H54+I54</f>
        <v>1956.0959999999998</v>
      </c>
      <c r="K54" s="357">
        <f t="shared" si="11"/>
        <v>0</v>
      </c>
      <c r="L54" s="357">
        <f t="shared" si="12"/>
        <v>0</v>
      </c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Z54" s="49"/>
    </row>
    <row r="55" spans="1:27" ht="31.2" outlineLevel="2" x14ac:dyDescent="0.3">
      <c r="A55" s="34"/>
      <c r="B55" s="30" t="s">
        <v>76</v>
      </c>
      <c r="C55" s="28"/>
      <c r="D55" s="29" t="s">
        <v>22</v>
      </c>
      <c r="E55" s="75">
        <f>E54*394</f>
        <v>481.68863999999996</v>
      </c>
      <c r="F55" s="29"/>
      <c r="G55" s="30">
        <v>10.75</v>
      </c>
      <c r="H55" s="29">
        <f>F55*E55</f>
        <v>0</v>
      </c>
      <c r="I55" s="29">
        <f>G55*E55</f>
        <v>5178.1528799999996</v>
      </c>
      <c r="J55" s="30">
        <f>H55+I55</f>
        <v>5178.1528799999996</v>
      </c>
      <c r="K55" s="357">
        <f t="shared" si="11"/>
        <v>0</v>
      </c>
      <c r="L55" s="357">
        <f t="shared" si="12"/>
        <v>0</v>
      </c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Z55" s="49"/>
    </row>
    <row r="56" spans="1:27" outlineLevel="2" x14ac:dyDescent="0.3">
      <c r="A56" s="34"/>
      <c r="B56" s="30" t="s">
        <v>77</v>
      </c>
      <c r="C56" s="28"/>
      <c r="D56" s="29" t="s">
        <v>25</v>
      </c>
      <c r="E56" s="75">
        <v>0.28000000000000003</v>
      </c>
      <c r="F56" s="29"/>
      <c r="G56" s="30">
        <v>3200</v>
      </c>
      <c r="H56" s="29"/>
      <c r="I56" s="29">
        <f t="shared" ref="I56:I100" si="15">G56*E56</f>
        <v>896.00000000000011</v>
      </c>
      <c r="J56" s="30">
        <f>H56+I56</f>
        <v>896.00000000000011</v>
      </c>
      <c r="K56" s="357">
        <f t="shared" si="11"/>
        <v>0</v>
      </c>
      <c r="L56" s="357">
        <f t="shared" si="12"/>
        <v>0</v>
      </c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Z56" s="49"/>
    </row>
    <row r="57" spans="1:27" ht="31.2" outlineLevel="2" x14ac:dyDescent="0.3">
      <c r="A57" s="26" t="s">
        <v>78</v>
      </c>
      <c r="B57" s="27" t="s">
        <v>79</v>
      </c>
      <c r="C57" s="161"/>
      <c r="D57" s="28" t="s">
        <v>25</v>
      </c>
      <c r="E57" s="28">
        <f>4.83*0.6*0.2</f>
        <v>0.5796</v>
      </c>
      <c r="F57" s="28">
        <v>500</v>
      </c>
      <c r="G57" s="30"/>
      <c r="H57" s="29">
        <f>ROUND(F57*E57,2)</f>
        <v>289.8</v>
      </c>
      <c r="I57" s="29">
        <f t="shared" si="15"/>
        <v>0</v>
      </c>
      <c r="J57" s="30">
        <f t="shared" ref="J57:J65" si="16">H57+I57</f>
        <v>289.8</v>
      </c>
      <c r="K57" s="357">
        <f t="shared" si="11"/>
        <v>0</v>
      </c>
      <c r="L57" s="357">
        <f t="shared" si="12"/>
        <v>0</v>
      </c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Z57" s="49"/>
    </row>
    <row r="58" spans="1:27" outlineLevel="2" x14ac:dyDescent="0.3">
      <c r="A58" s="34"/>
      <c r="B58" s="35" t="s">
        <v>26</v>
      </c>
      <c r="C58" s="161"/>
      <c r="D58" s="28" t="s">
        <v>25</v>
      </c>
      <c r="E58" s="29">
        <f>E57*1.1</f>
        <v>0.63756000000000002</v>
      </c>
      <c r="F58" s="29"/>
      <c r="G58" s="30">
        <v>320</v>
      </c>
      <c r="H58" s="29"/>
      <c r="I58" s="29">
        <f t="shared" si="15"/>
        <v>204.01920000000001</v>
      </c>
      <c r="J58" s="30">
        <f t="shared" si="16"/>
        <v>204.01920000000001</v>
      </c>
      <c r="K58" s="357">
        <f t="shared" si="11"/>
        <v>0</v>
      </c>
      <c r="L58" s="357">
        <f t="shared" si="12"/>
        <v>0</v>
      </c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Z58" s="49"/>
    </row>
    <row r="59" spans="1:27" outlineLevel="2" x14ac:dyDescent="0.3">
      <c r="A59" s="26" t="s">
        <v>80</v>
      </c>
      <c r="B59" s="27" t="s">
        <v>81</v>
      </c>
      <c r="C59" s="161"/>
      <c r="D59" s="28" t="s">
        <v>22</v>
      </c>
      <c r="E59" s="28">
        <f>SUM(E60:E63)</f>
        <v>22</v>
      </c>
      <c r="F59" s="28">
        <v>270</v>
      </c>
      <c r="G59" s="30"/>
      <c r="H59" s="29">
        <f>ROUND(F59*E59,2)</f>
        <v>5940</v>
      </c>
      <c r="I59" s="29">
        <f t="shared" si="15"/>
        <v>0</v>
      </c>
      <c r="J59" s="76">
        <f t="shared" si="16"/>
        <v>5940</v>
      </c>
      <c r="K59" s="357">
        <f t="shared" si="11"/>
        <v>0</v>
      </c>
      <c r="L59" s="357">
        <f t="shared" si="12"/>
        <v>0</v>
      </c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Z59" s="49"/>
    </row>
    <row r="60" spans="1:27" outlineLevel="2" x14ac:dyDescent="0.3">
      <c r="A60" s="34"/>
      <c r="B60" s="35" t="s">
        <v>48</v>
      </c>
      <c r="C60" s="161"/>
      <c r="D60" s="29" t="s">
        <v>22</v>
      </c>
      <c r="E60" s="29">
        <v>6</v>
      </c>
      <c r="F60" s="28"/>
      <c r="G60" s="42">
        <v>1935.11</v>
      </c>
      <c r="H60" s="29"/>
      <c r="I60" s="29">
        <f t="shared" si="15"/>
        <v>11610.66</v>
      </c>
      <c r="J60" s="76">
        <f t="shared" si="16"/>
        <v>11610.66</v>
      </c>
      <c r="K60" s="357">
        <f t="shared" si="11"/>
        <v>0</v>
      </c>
      <c r="L60" s="357">
        <f t="shared" si="12"/>
        <v>0</v>
      </c>
      <c r="M60" s="18" t="s">
        <v>49</v>
      </c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Z60" s="49"/>
    </row>
    <row r="61" spans="1:27" outlineLevel="2" x14ac:dyDescent="0.3">
      <c r="A61" s="34"/>
      <c r="B61" s="35" t="s">
        <v>50</v>
      </c>
      <c r="C61" s="161"/>
      <c r="D61" s="29" t="s">
        <v>22</v>
      </c>
      <c r="E61" s="29">
        <v>5</v>
      </c>
      <c r="F61" s="28"/>
      <c r="G61" s="42">
        <v>944.39</v>
      </c>
      <c r="H61" s="29"/>
      <c r="I61" s="29">
        <f t="shared" si="15"/>
        <v>4721.95</v>
      </c>
      <c r="J61" s="76">
        <f t="shared" si="16"/>
        <v>4721.95</v>
      </c>
      <c r="K61" s="357">
        <f t="shared" si="11"/>
        <v>0</v>
      </c>
      <c r="L61" s="357">
        <f t="shared" si="12"/>
        <v>0</v>
      </c>
      <c r="M61" s="18" t="s">
        <v>49</v>
      </c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Z61" s="49"/>
    </row>
    <row r="62" spans="1:27" outlineLevel="2" x14ac:dyDescent="0.3">
      <c r="A62" s="34"/>
      <c r="B62" s="35" t="s">
        <v>51</v>
      </c>
      <c r="C62" s="161"/>
      <c r="D62" s="29" t="s">
        <v>22</v>
      </c>
      <c r="E62" s="29">
        <v>3</v>
      </c>
      <c r="F62" s="29"/>
      <c r="G62" s="42">
        <v>694.93</v>
      </c>
      <c r="H62" s="29"/>
      <c r="I62" s="29">
        <f t="shared" si="15"/>
        <v>2084.79</v>
      </c>
      <c r="J62" s="76">
        <f t="shared" si="16"/>
        <v>2084.79</v>
      </c>
      <c r="K62" s="357">
        <f t="shared" si="11"/>
        <v>0</v>
      </c>
      <c r="L62" s="357">
        <f t="shared" si="12"/>
        <v>0</v>
      </c>
      <c r="M62" s="18" t="s">
        <v>49</v>
      </c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Z62" s="49"/>
    </row>
    <row r="63" spans="1:27" outlineLevel="2" x14ac:dyDescent="0.3">
      <c r="A63" s="34"/>
      <c r="B63" s="35" t="s">
        <v>82</v>
      </c>
      <c r="C63" s="161"/>
      <c r="D63" s="29" t="s">
        <v>22</v>
      </c>
      <c r="E63" s="29">
        <v>8</v>
      </c>
      <c r="F63" s="29"/>
      <c r="G63" s="43">
        <v>900</v>
      </c>
      <c r="H63" s="29"/>
      <c r="I63" s="29">
        <f t="shared" si="15"/>
        <v>7200</v>
      </c>
      <c r="J63" s="76">
        <f t="shared" si="16"/>
        <v>7200</v>
      </c>
      <c r="K63" s="357">
        <f t="shared" si="11"/>
        <v>0</v>
      </c>
      <c r="L63" s="357">
        <f t="shared" si="12"/>
        <v>0</v>
      </c>
      <c r="M63" s="18" t="s">
        <v>49</v>
      </c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Z63" s="49"/>
    </row>
    <row r="64" spans="1:27" outlineLevel="2" x14ac:dyDescent="0.3">
      <c r="A64" s="34"/>
      <c r="B64" s="30" t="s">
        <v>53</v>
      </c>
      <c r="C64" s="28"/>
      <c r="D64" s="29" t="s">
        <v>25</v>
      </c>
      <c r="E64" s="29">
        <f>E59*0.05</f>
        <v>1.1000000000000001</v>
      </c>
      <c r="F64" s="29"/>
      <c r="G64" s="30">
        <v>3200</v>
      </c>
      <c r="H64" s="29"/>
      <c r="I64" s="29">
        <f t="shared" si="15"/>
        <v>3520.0000000000005</v>
      </c>
      <c r="J64" s="76">
        <f t="shared" si="16"/>
        <v>3520.0000000000005</v>
      </c>
      <c r="K64" s="357">
        <f t="shared" si="11"/>
        <v>0</v>
      </c>
      <c r="L64" s="357">
        <f t="shared" si="12"/>
        <v>0</v>
      </c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Z64" s="49"/>
    </row>
    <row r="65" spans="1:26" outlineLevel="2" x14ac:dyDescent="0.3">
      <c r="A65" s="34"/>
      <c r="B65" s="30" t="s">
        <v>32</v>
      </c>
      <c r="C65" s="28"/>
      <c r="D65" s="29" t="s">
        <v>25</v>
      </c>
      <c r="E65" s="29">
        <f>0.2*1.02</f>
        <v>0.20400000000000001</v>
      </c>
      <c r="F65" s="29"/>
      <c r="G65" s="30">
        <v>4600</v>
      </c>
      <c r="H65" s="29"/>
      <c r="I65" s="29">
        <f t="shared" si="15"/>
        <v>938.40000000000009</v>
      </c>
      <c r="J65" s="30">
        <f t="shared" si="16"/>
        <v>938.40000000000009</v>
      </c>
      <c r="K65" s="357">
        <f t="shared" si="11"/>
        <v>0</v>
      </c>
      <c r="L65" s="357">
        <f t="shared" si="12"/>
        <v>0</v>
      </c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Z65" s="49"/>
    </row>
    <row r="66" spans="1:26" outlineLevel="2" x14ac:dyDescent="0.3">
      <c r="A66" s="26" t="s">
        <v>83</v>
      </c>
      <c r="B66" s="39" t="s">
        <v>84</v>
      </c>
      <c r="C66" s="28"/>
      <c r="D66" s="28" t="s">
        <v>25</v>
      </c>
      <c r="E66" s="40">
        <f>4.44*0.4*0.02+4.44*0.4*0.03</f>
        <v>8.8800000000000018E-2</v>
      </c>
      <c r="F66" s="40">
        <v>250</v>
      </c>
      <c r="G66" s="41"/>
      <c r="H66" s="77">
        <f>F66*E66</f>
        <v>22.200000000000003</v>
      </c>
      <c r="I66" s="29">
        <f t="shared" si="15"/>
        <v>0</v>
      </c>
      <c r="J66" s="78">
        <f>I66+H66</f>
        <v>22.200000000000003</v>
      </c>
      <c r="K66" s="357">
        <f t="shared" si="11"/>
        <v>0</v>
      </c>
      <c r="L66" s="357">
        <f t="shared" si="12"/>
        <v>0</v>
      </c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Z66" s="49"/>
    </row>
    <row r="67" spans="1:26" outlineLevel="2" x14ac:dyDescent="0.3">
      <c r="A67" s="34"/>
      <c r="B67" s="35" t="s">
        <v>85</v>
      </c>
      <c r="C67" s="161"/>
      <c r="D67" s="29" t="s">
        <v>25</v>
      </c>
      <c r="E67" s="29">
        <f>ROUND(E66*1.015,2)</f>
        <v>0.09</v>
      </c>
      <c r="F67" s="29"/>
      <c r="G67" s="30">
        <v>3200</v>
      </c>
      <c r="H67" s="29"/>
      <c r="I67" s="29">
        <f t="shared" si="15"/>
        <v>288</v>
      </c>
      <c r="J67" s="76">
        <f>H67+I67</f>
        <v>288</v>
      </c>
      <c r="K67" s="357">
        <f t="shared" si="11"/>
        <v>0</v>
      </c>
      <c r="L67" s="357">
        <f t="shared" si="12"/>
        <v>0</v>
      </c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Z67" s="49"/>
    </row>
    <row r="68" spans="1:26" outlineLevel="2" x14ac:dyDescent="0.3">
      <c r="A68" s="26" t="s">
        <v>86</v>
      </c>
      <c r="B68" s="39" t="s">
        <v>37</v>
      </c>
      <c r="C68" s="28"/>
      <c r="D68" s="28" t="s">
        <v>38</v>
      </c>
      <c r="E68" s="32">
        <f>9.68*2.1</f>
        <v>20.327999999999999</v>
      </c>
      <c r="F68" s="28">
        <v>90</v>
      </c>
      <c r="G68" s="30"/>
      <c r="H68" s="29">
        <f>ROUND(F68*E68,2)</f>
        <v>1829.52</v>
      </c>
      <c r="I68" s="29">
        <f t="shared" si="15"/>
        <v>0</v>
      </c>
      <c r="J68" s="76">
        <f>H68+I68</f>
        <v>1829.52</v>
      </c>
      <c r="K68" s="357">
        <f t="shared" si="11"/>
        <v>0</v>
      </c>
      <c r="L68" s="357">
        <f t="shared" si="12"/>
        <v>0</v>
      </c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Z68" s="49"/>
    </row>
    <row r="69" spans="1:26" outlineLevel="2" x14ac:dyDescent="0.3">
      <c r="A69" s="34"/>
      <c r="B69" s="30" t="s">
        <v>39</v>
      </c>
      <c r="C69" s="28"/>
      <c r="D69" s="29" t="s">
        <v>40</v>
      </c>
      <c r="E69" s="29">
        <f>2.5*E68</f>
        <v>50.82</v>
      </c>
      <c r="F69" s="29"/>
      <c r="G69" s="30">
        <v>55</v>
      </c>
      <c r="H69" s="29"/>
      <c r="I69" s="29">
        <f t="shared" si="15"/>
        <v>2795.1</v>
      </c>
      <c r="J69" s="76">
        <f>H69+I69</f>
        <v>2795.1</v>
      </c>
      <c r="K69" s="357">
        <f t="shared" si="11"/>
        <v>0</v>
      </c>
      <c r="L69" s="357">
        <f t="shared" si="12"/>
        <v>0</v>
      </c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Z69" s="49"/>
    </row>
    <row r="70" spans="1:26" outlineLevel="2" x14ac:dyDescent="0.3">
      <c r="A70" s="34"/>
      <c r="B70" s="30" t="s">
        <v>41</v>
      </c>
      <c r="C70" s="28"/>
      <c r="D70" s="29" t="s">
        <v>42</v>
      </c>
      <c r="E70" s="29">
        <f>0.35*E68</f>
        <v>7.1147999999999989</v>
      </c>
      <c r="F70" s="29"/>
      <c r="G70" s="30">
        <v>44</v>
      </c>
      <c r="H70" s="29"/>
      <c r="I70" s="29">
        <f t="shared" si="15"/>
        <v>313.05119999999994</v>
      </c>
      <c r="J70" s="76">
        <f>H70+I70</f>
        <v>313.05119999999994</v>
      </c>
      <c r="K70" s="357">
        <f t="shared" si="11"/>
        <v>0</v>
      </c>
      <c r="L70" s="357">
        <f t="shared" si="12"/>
        <v>0</v>
      </c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Z70" s="49"/>
    </row>
    <row r="71" spans="1:26" outlineLevel="2" x14ac:dyDescent="0.3">
      <c r="A71" s="26" t="s">
        <v>87</v>
      </c>
      <c r="B71" s="79" t="s">
        <v>88</v>
      </c>
      <c r="C71" s="28"/>
      <c r="D71" s="28" t="s">
        <v>22</v>
      </c>
      <c r="E71" s="80">
        <f>E72+E73</f>
        <v>59</v>
      </c>
      <c r="F71" s="28"/>
      <c r="G71" s="30"/>
      <c r="H71" s="29">
        <f>ROUND(F71*E71,2)</f>
        <v>0</v>
      </c>
      <c r="I71" s="29">
        <f t="shared" si="15"/>
        <v>0</v>
      </c>
      <c r="J71" s="30">
        <f t="shared" ref="J71:J83" si="17">H71+I71</f>
        <v>0</v>
      </c>
      <c r="K71" s="357">
        <f t="shared" si="11"/>
        <v>0</v>
      </c>
      <c r="L71" s="357">
        <f t="shared" si="12"/>
        <v>0</v>
      </c>
      <c r="N71" s="81"/>
      <c r="O71" s="81"/>
      <c r="P71" s="81"/>
      <c r="Q71" s="81"/>
      <c r="R71" s="81"/>
      <c r="S71" s="81"/>
      <c r="T71" s="81"/>
      <c r="U71" s="81"/>
      <c r="V71" s="81"/>
      <c r="W71" s="81"/>
      <c r="X71" s="81"/>
      <c r="Z71" s="49"/>
    </row>
    <row r="72" spans="1:26" outlineLevel="2" x14ac:dyDescent="0.3">
      <c r="A72" s="34"/>
      <c r="B72" s="35" t="s">
        <v>89</v>
      </c>
      <c r="C72" s="161"/>
      <c r="D72" s="29" t="s">
        <v>22</v>
      </c>
      <c r="E72" s="75">
        <v>5</v>
      </c>
      <c r="F72" s="29"/>
      <c r="G72" s="30">
        <v>203</v>
      </c>
      <c r="H72" s="29"/>
      <c r="I72" s="29">
        <f t="shared" si="15"/>
        <v>1015</v>
      </c>
      <c r="J72" s="30">
        <f t="shared" si="17"/>
        <v>1015</v>
      </c>
      <c r="K72" s="357">
        <f t="shared" si="11"/>
        <v>0</v>
      </c>
      <c r="L72" s="357">
        <f t="shared" si="12"/>
        <v>0</v>
      </c>
      <c r="N72" s="81"/>
      <c r="O72" s="81"/>
      <c r="P72" s="81"/>
      <c r="Q72" s="81"/>
      <c r="R72" s="81"/>
      <c r="S72" s="81"/>
      <c r="T72" s="81"/>
      <c r="U72" s="81"/>
      <c r="V72" s="81"/>
      <c r="W72" s="81"/>
      <c r="X72" s="81"/>
      <c r="Z72" s="49"/>
    </row>
    <row r="73" spans="1:26" outlineLevel="2" x14ac:dyDescent="0.3">
      <c r="A73" s="34"/>
      <c r="B73" s="35" t="s">
        <v>90</v>
      </c>
      <c r="C73" s="161"/>
      <c r="D73" s="29" t="s">
        <v>22</v>
      </c>
      <c r="E73" s="75">
        <v>54</v>
      </c>
      <c r="F73" s="29"/>
      <c r="G73" s="30">
        <v>386</v>
      </c>
      <c r="H73" s="29"/>
      <c r="I73" s="29">
        <f t="shared" si="15"/>
        <v>20844</v>
      </c>
      <c r="J73" s="30">
        <f t="shared" si="17"/>
        <v>20844</v>
      </c>
      <c r="K73" s="357">
        <f t="shared" si="11"/>
        <v>0</v>
      </c>
      <c r="L73" s="357">
        <f t="shared" si="12"/>
        <v>0</v>
      </c>
      <c r="N73" s="81"/>
      <c r="O73" s="81"/>
      <c r="P73" s="81"/>
      <c r="Q73" s="81"/>
      <c r="R73" s="81"/>
      <c r="S73" s="81"/>
      <c r="T73" s="81"/>
      <c r="U73" s="81"/>
      <c r="V73" s="81"/>
      <c r="W73" s="81"/>
      <c r="X73" s="81"/>
      <c r="Z73" s="49"/>
    </row>
    <row r="74" spans="1:26" outlineLevel="2" x14ac:dyDescent="0.3">
      <c r="A74" s="34"/>
      <c r="B74" s="30" t="s">
        <v>53</v>
      </c>
      <c r="C74" s="28"/>
      <c r="D74" s="29" t="s">
        <v>25</v>
      </c>
      <c r="E74" s="75">
        <f>ROUND(0.23*E71,2)</f>
        <v>13.57</v>
      </c>
      <c r="F74" s="29"/>
      <c r="G74" s="30">
        <v>2600</v>
      </c>
      <c r="H74" s="29"/>
      <c r="I74" s="29">
        <f t="shared" si="15"/>
        <v>35282</v>
      </c>
      <c r="J74" s="30">
        <f t="shared" si="17"/>
        <v>35282</v>
      </c>
      <c r="K74" s="357">
        <f t="shared" si="11"/>
        <v>0</v>
      </c>
      <c r="L74" s="357">
        <f t="shared" si="12"/>
        <v>0</v>
      </c>
      <c r="N74" s="81"/>
      <c r="O74" s="81"/>
      <c r="P74" s="81"/>
      <c r="Q74" s="81"/>
      <c r="R74" s="81"/>
      <c r="S74" s="81"/>
      <c r="T74" s="81"/>
      <c r="U74" s="81"/>
      <c r="V74" s="81"/>
      <c r="W74" s="81"/>
      <c r="X74" s="81"/>
      <c r="Z74" s="49"/>
    </row>
    <row r="75" spans="1:26" outlineLevel="2" x14ac:dyDescent="0.3">
      <c r="A75" s="26" t="s">
        <v>91</v>
      </c>
      <c r="B75" s="82" t="s">
        <v>92</v>
      </c>
      <c r="C75" s="83"/>
      <c r="D75" s="83" t="s">
        <v>22</v>
      </c>
      <c r="E75" s="84">
        <v>3</v>
      </c>
      <c r="F75" s="28">
        <v>1000</v>
      </c>
      <c r="G75" s="52"/>
      <c r="H75" s="29">
        <f>ROUND(F75*E75,2)</f>
        <v>3000</v>
      </c>
      <c r="I75" s="29">
        <f t="shared" si="15"/>
        <v>0</v>
      </c>
      <c r="J75" s="30">
        <f t="shared" si="17"/>
        <v>3000</v>
      </c>
      <c r="K75" s="357">
        <f t="shared" si="11"/>
        <v>0</v>
      </c>
      <c r="L75" s="357">
        <f t="shared" si="12"/>
        <v>0</v>
      </c>
      <c r="N75" s="81"/>
      <c r="O75" s="81"/>
      <c r="P75" s="81"/>
      <c r="Q75" s="81"/>
      <c r="R75" s="81"/>
      <c r="S75" s="81"/>
      <c r="T75" s="81"/>
      <c r="U75" s="81"/>
      <c r="V75" s="81"/>
      <c r="W75" s="81"/>
      <c r="X75" s="81"/>
      <c r="Z75" s="49"/>
    </row>
    <row r="76" spans="1:26" outlineLevel="2" x14ac:dyDescent="0.3">
      <c r="A76" s="34"/>
      <c r="B76" s="30" t="s">
        <v>93</v>
      </c>
      <c r="C76" s="28"/>
      <c r="D76" s="29" t="s">
        <v>22</v>
      </c>
      <c r="E76" s="75">
        <v>18</v>
      </c>
      <c r="F76" s="29"/>
      <c r="G76" s="30">
        <v>1040</v>
      </c>
      <c r="H76" s="29"/>
      <c r="I76" s="29">
        <f t="shared" si="15"/>
        <v>18720</v>
      </c>
      <c r="J76" s="30">
        <f t="shared" si="17"/>
        <v>18720</v>
      </c>
      <c r="K76" s="357">
        <f t="shared" si="11"/>
        <v>0</v>
      </c>
      <c r="L76" s="357">
        <f t="shared" si="12"/>
        <v>0</v>
      </c>
      <c r="N76" s="81"/>
      <c r="O76" s="81"/>
      <c r="P76" s="81"/>
      <c r="Q76" s="81"/>
      <c r="R76" s="81"/>
      <c r="S76" s="81"/>
      <c r="T76" s="81"/>
      <c r="U76" s="81"/>
      <c r="V76" s="81"/>
      <c r="W76" s="81"/>
      <c r="X76" s="81"/>
      <c r="Z76" s="49"/>
    </row>
    <row r="77" spans="1:26" outlineLevel="2" x14ac:dyDescent="0.3">
      <c r="A77" s="34"/>
      <c r="B77" s="30" t="s">
        <v>94</v>
      </c>
      <c r="C77" s="28"/>
      <c r="D77" s="29" t="s">
        <v>22</v>
      </c>
      <c r="E77" s="75">
        <v>3</v>
      </c>
      <c r="F77" s="29"/>
      <c r="G77" s="30">
        <v>1040</v>
      </c>
      <c r="H77" s="29"/>
      <c r="I77" s="29">
        <f t="shared" si="15"/>
        <v>3120</v>
      </c>
      <c r="J77" s="30">
        <f t="shared" si="17"/>
        <v>3120</v>
      </c>
      <c r="K77" s="357">
        <f t="shared" si="11"/>
        <v>0</v>
      </c>
      <c r="L77" s="357">
        <f t="shared" si="12"/>
        <v>0</v>
      </c>
      <c r="N77" s="81"/>
      <c r="O77" s="81"/>
      <c r="P77" s="81"/>
      <c r="Q77" s="81"/>
      <c r="R77" s="81"/>
      <c r="S77" s="81"/>
      <c r="T77" s="81"/>
      <c r="U77" s="81"/>
      <c r="V77" s="81"/>
      <c r="W77" s="81"/>
      <c r="X77" s="81"/>
      <c r="Z77" s="49"/>
    </row>
    <row r="78" spans="1:26" outlineLevel="2" x14ac:dyDescent="0.3">
      <c r="A78" s="34"/>
      <c r="B78" s="30" t="s">
        <v>95</v>
      </c>
      <c r="C78" s="28"/>
      <c r="D78" s="29" t="s">
        <v>96</v>
      </c>
      <c r="E78" s="75">
        <v>18</v>
      </c>
      <c r="F78" s="29"/>
      <c r="G78" s="30">
        <v>300</v>
      </c>
      <c r="H78" s="29"/>
      <c r="I78" s="29">
        <f t="shared" si="15"/>
        <v>5400</v>
      </c>
      <c r="J78" s="30">
        <f t="shared" si="17"/>
        <v>5400</v>
      </c>
      <c r="K78" s="357">
        <f t="shared" si="11"/>
        <v>0</v>
      </c>
      <c r="L78" s="357">
        <f t="shared" si="12"/>
        <v>0</v>
      </c>
      <c r="N78" s="81"/>
      <c r="O78" s="81"/>
      <c r="P78" s="81"/>
      <c r="Q78" s="81"/>
      <c r="R78" s="81"/>
      <c r="S78" s="81"/>
      <c r="T78" s="81"/>
      <c r="U78" s="81"/>
      <c r="V78" s="81"/>
      <c r="W78" s="81"/>
      <c r="X78" s="81"/>
      <c r="Z78" s="49"/>
    </row>
    <row r="79" spans="1:26" outlineLevel="2" x14ac:dyDescent="0.3">
      <c r="A79" s="34"/>
      <c r="B79" s="30" t="s">
        <v>97</v>
      </c>
      <c r="C79" s="28"/>
      <c r="D79" s="29" t="s">
        <v>40</v>
      </c>
      <c r="E79" s="75">
        <v>210</v>
      </c>
      <c r="F79" s="29"/>
      <c r="G79" s="30">
        <v>40</v>
      </c>
      <c r="H79" s="29"/>
      <c r="I79" s="29">
        <f t="shared" si="15"/>
        <v>8400</v>
      </c>
      <c r="J79" s="30">
        <f t="shared" si="17"/>
        <v>8400</v>
      </c>
      <c r="K79" s="357">
        <f t="shared" si="11"/>
        <v>0</v>
      </c>
      <c r="L79" s="357">
        <f t="shared" si="12"/>
        <v>0</v>
      </c>
      <c r="N79" s="81"/>
      <c r="O79" s="81"/>
      <c r="P79" s="81"/>
      <c r="Q79" s="81"/>
      <c r="R79" s="81"/>
      <c r="S79" s="81"/>
      <c r="T79" s="81"/>
      <c r="U79" s="81"/>
      <c r="V79" s="81"/>
      <c r="W79" s="81"/>
      <c r="X79" s="81"/>
      <c r="Z79" s="49"/>
    </row>
    <row r="80" spans="1:26" outlineLevel="2" x14ac:dyDescent="0.3">
      <c r="A80" s="34"/>
      <c r="B80" s="30" t="s">
        <v>98</v>
      </c>
      <c r="C80" s="28"/>
      <c r="D80" s="29" t="s">
        <v>40</v>
      </c>
      <c r="E80" s="75">
        <v>210</v>
      </c>
      <c r="F80" s="29"/>
      <c r="G80" s="30">
        <v>40</v>
      </c>
      <c r="H80" s="29"/>
      <c r="I80" s="29">
        <f t="shared" si="15"/>
        <v>8400</v>
      </c>
      <c r="J80" s="30">
        <f t="shared" si="17"/>
        <v>8400</v>
      </c>
      <c r="K80" s="357">
        <f t="shared" si="11"/>
        <v>0</v>
      </c>
      <c r="L80" s="357">
        <f t="shared" si="12"/>
        <v>0</v>
      </c>
      <c r="N80" s="81"/>
      <c r="O80" s="81"/>
      <c r="P80" s="81"/>
      <c r="Q80" s="81"/>
      <c r="R80" s="81"/>
      <c r="S80" s="81"/>
      <c r="T80" s="81"/>
      <c r="U80" s="81"/>
      <c r="V80" s="81"/>
      <c r="W80" s="81"/>
      <c r="X80" s="81"/>
      <c r="Z80" s="49"/>
    </row>
    <row r="81" spans="1:26" outlineLevel="2" x14ac:dyDescent="0.3">
      <c r="A81" s="34"/>
      <c r="B81" s="30" t="s">
        <v>99</v>
      </c>
      <c r="C81" s="28"/>
      <c r="D81" s="29" t="s">
        <v>40</v>
      </c>
      <c r="E81" s="75">
        <v>15</v>
      </c>
      <c r="F81" s="29"/>
      <c r="G81" s="30">
        <v>36</v>
      </c>
      <c r="H81" s="29"/>
      <c r="I81" s="29">
        <f t="shared" si="15"/>
        <v>540</v>
      </c>
      <c r="J81" s="30">
        <f t="shared" si="17"/>
        <v>540</v>
      </c>
      <c r="K81" s="357">
        <f t="shared" si="11"/>
        <v>0</v>
      </c>
      <c r="L81" s="357">
        <f t="shared" si="12"/>
        <v>0</v>
      </c>
      <c r="N81" s="81"/>
      <c r="O81" s="81"/>
      <c r="P81" s="81"/>
      <c r="Q81" s="81"/>
      <c r="R81" s="81"/>
      <c r="S81" s="81"/>
      <c r="T81" s="81"/>
      <c r="U81" s="81"/>
      <c r="V81" s="81"/>
      <c r="W81" s="81"/>
      <c r="X81" s="81"/>
      <c r="Z81" s="49"/>
    </row>
    <row r="82" spans="1:26" outlineLevel="2" x14ac:dyDescent="0.3">
      <c r="A82" s="34"/>
      <c r="B82" s="30" t="s">
        <v>100</v>
      </c>
      <c r="C82" s="28"/>
      <c r="D82" s="29" t="s">
        <v>40</v>
      </c>
      <c r="E82" s="75">
        <v>30</v>
      </c>
      <c r="F82" s="29"/>
      <c r="G82" s="30">
        <v>33</v>
      </c>
      <c r="H82" s="29"/>
      <c r="I82" s="29">
        <f t="shared" si="15"/>
        <v>990</v>
      </c>
      <c r="J82" s="30">
        <f t="shared" si="17"/>
        <v>990</v>
      </c>
      <c r="K82" s="357">
        <f t="shared" si="11"/>
        <v>0</v>
      </c>
      <c r="L82" s="357">
        <f t="shared" si="12"/>
        <v>0</v>
      </c>
      <c r="N82" s="81"/>
      <c r="O82" s="81"/>
      <c r="P82" s="81"/>
      <c r="Q82" s="81"/>
      <c r="R82" s="81"/>
      <c r="S82" s="81"/>
      <c r="T82" s="81"/>
      <c r="U82" s="81"/>
      <c r="V82" s="81"/>
      <c r="W82" s="81"/>
      <c r="X82" s="81"/>
      <c r="Z82" s="49"/>
    </row>
    <row r="83" spans="1:26" outlineLevel="2" x14ac:dyDescent="0.3">
      <c r="A83" s="34"/>
      <c r="B83" s="30" t="s">
        <v>101</v>
      </c>
      <c r="C83" s="28"/>
      <c r="D83" s="29" t="s">
        <v>40</v>
      </c>
      <c r="E83" s="75">
        <v>48</v>
      </c>
      <c r="F83" s="29"/>
      <c r="G83" s="30">
        <v>33</v>
      </c>
      <c r="H83" s="29"/>
      <c r="I83" s="29">
        <f t="shared" si="15"/>
        <v>1584</v>
      </c>
      <c r="J83" s="30">
        <f t="shared" si="17"/>
        <v>1584</v>
      </c>
      <c r="K83" s="357">
        <f t="shared" si="11"/>
        <v>0</v>
      </c>
      <c r="L83" s="357">
        <f t="shared" si="12"/>
        <v>0</v>
      </c>
      <c r="N83" s="81"/>
      <c r="O83" s="81"/>
      <c r="P83" s="81"/>
      <c r="Q83" s="81"/>
      <c r="R83" s="81"/>
      <c r="S83" s="81"/>
      <c r="T83" s="81"/>
      <c r="U83" s="81"/>
      <c r="V83" s="81"/>
      <c r="W83" s="81"/>
      <c r="X83" s="81"/>
      <c r="Z83" s="49"/>
    </row>
    <row r="84" spans="1:26" outlineLevel="2" x14ac:dyDescent="0.3">
      <c r="A84" s="26" t="s">
        <v>102</v>
      </c>
      <c r="B84" s="53" t="s">
        <v>103</v>
      </c>
      <c r="C84" s="83"/>
      <c r="D84" s="45" t="s">
        <v>38</v>
      </c>
      <c r="E84" s="29">
        <f>SUM(E78:E83)*27/1000</f>
        <v>14.337</v>
      </c>
      <c r="F84" s="56">
        <v>100</v>
      </c>
      <c r="G84" s="85"/>
      <c r="H84" s="29">
        <f>E84*F84</f>
        <v>1433.7</v>
      </c>
      <c r="I84" s="29">
        <f t="shared" si="15"/>
        <v>0</v>
      </c>
      <c r="J84" s="30">
        <f>H84</f>
        <v>1433.7</v>
      </c>
      <c r="K84" s="357">
        <f t="shared" ref="K84:K147" si="18">IF(H84&gt;0,Z84,0)</f>
        <v>0</v>
      </c>
      <c r="L84" s="357">
        <f t="shared" ref="L84:L147" si="19">IF(I84&gt;0,Z84,0)</f>
        <v>0</v>
      </c>
      <c r="N84" s="81"/>
      <c r="O84" s="81"/>
      <c r="P84" s="81"/>
      <c r="Q84" s="81"/>
      <c r="R84" s="81"/>
      <c r="S84" s="81"/>
      <c r="T84" s="81"/>
      <c r="U84" s="81"/>
      <c r="V84" s="81"/>
      <c r="W84" s="81"/>
      <c r="X84" s="81"/>
      <c r="Z84" s="49"/>
    </row>
    <row r="85" spans="1:26" outlineLevel="2" x14ac:dyDescent="0.3">
      <c r="A85" s="34"/>
      <c r="B85" s="86" t="s">
        <v>104</v>
      </c>
      <c r="C85" s="212"/>
      <c r="D85" s="45" t="s">
        <v>40</v>
      </c>
      <c r="E85" s="29">
        <f>E84*0.2</f>
        <v>2.8673999999999999</v>
      </c>
      <c r="F85" s="56"/>
      <c r="G85" s="85">
        <v>85</v>
      </c>
      <c r="H85" s="29"/>
      <c r="I85" s="29">
        <f t="shared" si="15"/>
        <v>243.72899999999998</v>
      </c>
      <c r="J85" s="30">
        <f>I85</f>
        <v>243.72899999999998</v>
      </c>
      <c r="K85" s="357">
        <f t="shared" si="18"/>
        <v>0</v>
      </c>
      <c r="L85" s="357">
        <f t="shared" si="19"/>
        <v>0</v>
      </c>
      <c r="N85" s="81"/>
      <c r="O85" s="81"/>
      <c r="P85" s="81"/>
      <c r="Q85" s="81"/>
      <c r="R85" s="81"/>
      <c r="S85" s="81"/>
      <c r="T85" s="81"/>
      <c r="U85" s="81"/>
      <c r="V85" s="81"/>
      <c r="W85" s="81"/>
      <c r="X85" s="81"/>
      <c r="Z85" s="49"/>
    </row>
    <row r="86" spans="1:26" outlineLevel="2" x14ac:dyDescent="0.3">
      <c r="A86" s="34"/>
      <c r="B86" s="86" t="s">
        <v>105</v>
      </c>
      <c r="C86" s="212"/>
      <c r="D86" s="45" t="s">
        <v>40</v>
      </c>
      <c r="E86" s="29">
        <f>E84*0.3</f>
        <v>4.3010999999999999</v>
      </c>
      <c r="F86" s="56"/>
      <c r="G86" s="85">
        <v>115</v>
      </c>
      <c r="H86" s="29"/>
      <c r="I86" s="29">
        <f t="shared" si="15"/>
        <v>494.62649999999996</v>
      </c>
      <c r="J86" s="30">
        <f>I86</f>
        <v>494.62649999999996</v>
      </c>
      <c r="K86" s="357">
        <f t="shared" si="18"/>
        <v>0</v>
      </c>
      <c r="L86" s="357">
        <f t="shared" si="19"/>
        <v>0</v>
      </c>
      <c r="N86" s="81"/>
      <c r="O86" s="81"/>
      <c r="P86" s="81"/>
      <c r="Q86" s="81"/>
      <c r="R86" s="81"/>
      <c r="S86" s="81"/>
      <c r="T86" s="81"/>
      <c r="U86" s="81"/>
      <c r="V86" s="81"/>
      <c r="W86" s="81"/>
      <c r="X86" s="81"/>
      <c r="Z86" s="49"/>
    </row>
    <row r="87" spans="1:26" outlineLevel="2" x14ac:dyDescent="0.3">
      <c r="A87" s="26" t="s">
        <v>106</v>
      </c>
      <c r="B87" s="87" t="s">
        <v>107</v>
      </c>
      <c r="C87" s="212"/>
      <c r="D87" s="83" t="s">
        <v>22</v>
      </c>
      <c r="E87" s="84">
        <v>92</v>
      </c>
      <c r="F87" s="84">
        <v>350</v>
      </c>
      <c r="G87" s="52"/>
      <c r="H87" s="29">
        <f>F87*E87</f>
        <v>32200</v>
      </c>
      <c r="I87" s="29">
        <f t="shared" si="15"/>
        <v>0</v>
      </c>
      <c r="J87" s="30">
        <f>H87+I87</f>
        <v>32200</v>
      </c>
      <c r="K87" s="357">
        <f t="shared" si="18"/>
        <v>0</v>
      </c>
      <c r="L87" s="357">
        <f t="shared" si="19"/>
        <v>0</v>
      </c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Z87" s="49"/>
    </row>
    <row r="88" spans="1:26" outlineLevel="2" x14ac:dyDescent="0.3">
      <c r="A88" s="34"/>
      <c r="B88" s="86" t="s">
        <v>108</v>
      </c>
      <c r="C88" s="212"/>
      <c r="D88" s="29" t="s">
        <v>22</v>
      </c>
      <c r="E88" s="29">
        <v>18</v>
      </c>
      <c r="F88" s="28"/>
      <c r="G88" s="43">
        <v>12796</v>
      </c>
      <c r="H88" s="29"/>
      <c r="I88" s="29">
        <f t="shared" si="15"/>
        <v>230328</v>
      </c>
      <c r="J88" s="30">
        <v>230328</v>
      </c>
      <c r="K88" s="357">
        <f t="shared" si="18"/>
        <v>0</v>
      </c>
      <c r="L88" s="357">
        <f t="shared" si="19"/>
        <v>0</v>
      </c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Z88" s="49"/>
    </row>
    <row r="89" spans="1:26" outlineLevel="2" x14ac:dyDescent="0.3">
      <c r="A89" s="34"/>
      <c r="B89" s="86" t="s">
        <v>109</v>
      </c>
      <c r="C89" s="212"/>
      <c r="D89" s="29" t="s">
        <v>22</v>
      </c>
      <c r="E89" s="29">
        <v>12</v>
      </c>
      <c r="F89" s="28"/>
      <c r="G89" s="43">
        <v>14406</v>
      </c>
      <c r="H89" s="29"/>
      <c r="I89" s="29">
        <f t="shared" si="15"/>
        <v>172872</v>
      </c>
      <c r="J89" s="30">
        <v>172872</v>
      </c>
      <c r="K89" s="357">
        <f t="shared" si="18"/>
        <v>0</v>
      </c>
      <c r="L89" s="357">
        <f t="shared" si="19"/>
        <v>0</v>
      </c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Z89" s="49"/>
    </row>
    <row r="90" spans="1:26" outlineLevel="2" x14ac:dyDescent="0.3">
      <c r="A90" s="34"/>
      <c r="B90" s="86" t="s">
        <v>110</v>
      </c>
      <c r="C90" s="212"/>
      <c r="D90" s="29" t="s">
        <v>22</v>
      </c>
      <c r="E90" s="29">
        <v>32</v>
      </c>
      <c r="F90" s="28"/>
      <c r="G90" s="42">
        <v>8000</v>
      </c>
      <c r="H90" s="29"/>
      <c r="I90" s="29">
        <f t="shared" si="15"/>
        <v>256000</v>
      </c>
      <c r="J90" s="30">
        <v>256000</v>
      </c>
      <c r="K90" s="357">
        <f t="shared" si="18"/>
        <v>0</v>
      </c>
      <c r="L90" s="357">
        <f t="shared" si="19"/>
        <v>0</v>
      </c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Z90" s="49"/>
    </row>
    <row r="91" spans="1:26" outlineLevel="2" x14ac:dyDescent="0.3">
      <c r="A91" s="34"/>
      <c r="B91" s="86" t="s">
        <v>111</v>
      </c>
      <c r="C91" s="212"/>
      <c r="D91" s="29" t="s">
        <v>22</v>
      </c>
      <c r="E91" s="29">
        <v>8</v>
      </c>
      <c r="F91" s="28"/>
      <c r="G91" s="42">
        <v>11987</v>
      </c>
      <c r="H91" s="29"/>
      <c r="I91" s="29">
        <f t="shared" si="15"/>
        <v>95896</v>
      </c>
      <c r="J91" s="30">
        <v>95896</v>
      </c>
      <c r="K91" s="357">
        <f t="shared" si="18"/>
        <v>0</v>
      </c>
      <c r="L91" s="357">
        <f t="shared" si="19"/>
        <v>0</v>
      </c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Z91" s="49"/>
    </row>
    <row r="92" spans="1:26" outlineLevel="2" x14ac:dyDescent="0.3">
      <c r="A92" s="34"/>
      <c r="B92" s="86" t="s">
        <v>112</v>
      </c>
      <c r="C92" s="212"/>
      <c r="D92" s="29" t="s">
        <v>22</v>
      </c>
      <c r="E92" s="29">
        <v>6</v>
      </c>
      <c r="F92" s="28"/>
      <c r="G92" s="43">
        <v>5621</v>
      </c>
      <c r="H92" s="29"/>
      <c r="I92" s="29">
        <f t="shared" si="15"/>
        <v>33726</v>
      </c>
      <c r="J92" s="30">
        <v>33726</v>
      </c>
      <c r="K92" s="357">
        <f t="shared" si="18"/>
        <v>0</v>
      </c>
      <c r="L92" s="357">
        <f t="shared" si="19"/>
        <v>0</v>
      </c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Z92" s="49"/>
    </row>
    <row r="93" spans="1:26" outlineLevel="2" x14ac:dyDescent="0.3">
      <c r="A93" s="34"/>
      <c r="B93" s="86" t="s">
        <v>113</v>
      </c>
      <c r="C93" s="212"/>
      <c r="D93" s="29" t="s">
        <v>22</v>
      </c>
      <c r="E93" s="29">
        <v>3</v>
      </c>
      <c r="F93" s="28"/>
      <c r="G93" s="43">
        <v>4222</v>
      </c>
      <c r="H93" s="29"/>
      <c r="I93" s="29">
        <f t="shared" si="15"/>
        <v>12666</v>
      </c>
      <c r="J93" s="30">
        <v>12666</v>
      </c>
      <c r="K93" s="357">
        <f t="shared" si="18"/>
        <v>0</v>
      </c>
      <c r="L93" s="357">
        <f t="shared" si="19"/>
        <v>0</v>
      </c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Z93" s="49"/>
    </row>
    <row r="94" spans="1:26" outlineLevel="2" x14ac:dyDescent="0.3">
      <c r="A94" s="34"/>
      <c r="B94" s="86" t="s">
        <v>114</v>
      </c>
      <c r="C94" s="212"/>
      <c r="D94" s="29" t="s">
        <v>22</v>
      </c>
      <c r="E94" s="29">
        <v>13</v>
      </c>
      <c r="F94" s="28"/>
      <c r="G94" s="42">
        <v>18060</v>
      </c>
      <c r="H94" s="29"/>
      <c r="I94" s="29">
        <f t="shared" si="15"/>
        <v>234780</v>
      </c>
      <c r="J94" s="30">
        <v>234780</v>
      </c>
      <c r="K94" s="357">
        <f t="shared" si="18"/>
        <v>0</v>
      </c>
      <c r="L94" s="357">
        <f t="shared" si="19"/>
        <v>0</v>
      </c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Z94" s="49"/>
    </row>
    <row r="95" spans="1:26" outlineLevel="2" x14ac:dyDescent="0.3">
      <c r="A95" s="34"/>
      <c r="B95" s="86" t="s">
        <v>115</v>
      </c>
      <c r="C95" s="212"/>
      <c r="D95" s="29" t="s">
        <v>40</v>
      </c>
      <c r="E95" s="29">
        <v>173.51999999999998</v>
      </c>
      <c r="F95" s="28"/>
      <c r="G95" s="85">
        <v>40</v>
      </c>
      <c r="H95" s="29"/>
      <c r="I95" s="29">
        <f t="shared" si="15"/>
        <v>6940.7999999999993</v>
      </c>
      <c r="J95" s="30">
        <v>6940.8</v>
      </c>
      <c r="K95" s="357">
        <f t="shared" si="18"/>
        <v>0</v>
      </c>
      <c r="L95" s="357">
        <f t="shared" si="19"/>
        <v>0</v>
      </c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Z95" s="49"/>
    </row>
    <row r="96" spans="1:26" outlineLevel="2" x14ac:dyDescent="0.3">
      <c r="A96" s="34"/>
      <c r="B96" s="86" t="s">
        <v>116</v>
      </c>
      <c r="C96" s="212"/>
      <c r="D96" s="29" t="s">
        <v>34</v>
      </c>
      <c r="E96" s="29">
        <v>5.7060177573166719E-2</v>
      </c>
      <c r="F96" s="28"/>
      <c r="G96" s="85">
        <v>71500</v>
      </c>
      <c r="H96" s="29"/>
      <c r="I96" s="29">
        <f t="shared" si="15"/>
        <v>4079.8026964814203</v>
      </c>
      <c r="J96" s="30">
        <v>4079.8</v>
      </c>
      <c r="K96" s="357">
        <f t="shared" si="18"/>
        <v>0</v>
      </c>
      <c r="L96" s="357">
        <f t="shared" si="19"/>
        <v>0</v>
      </c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Z96" s="49"/>
    </row>
    <row r="97" spans="1:26" outlineLevel="2" x14ac:dyDescent="0.3">
      <c r="A97" s="26" t="s">
        <v>117</v>
      </c>
      <c r="B97" s="53" t="s">
        <v>118</v>
      </c>
      <c r="C97" s="210"/>
      <c r="D97" s="54" t="s">
        <v>25</v>
      </c>
      <c r="E97" s="83">
        <v>3.5</v>
      </c>
      <c r="F97" s="56">
        <v>800</v>
      </c>
      <c r="G97" s="57"/>
      <c r="H97" s="29">
        <f>ROUND(F97*E97,2)</f>
        <v>2800</v>
      </c>
      <c r="I97" s="29">
        <f t="shared" si="15"/>
        <v>0</v>
      </c>
      <c r="J97" s="30">
        <f>H97+I97</f>
        <v>2800</v>
      </c>
      <c r="K97" s="357">
        <f t="shared" si="18"/>
        <v>0</v>
      </c>
      <c r="L97" s="357">
        <f t="shared" si="19"/>
        <v>0</v>
      </c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Z97" s="49"/>
    </row>
    <row r="98" spans="1:26" outlineLevel="2" x14ac:dyDescent="0.3">
      <c r="A98" s="34"/>
      <c r="B98" s="86" t="s">
        <v>119</v>
      </c>
      <c r="C98" s="212"/>
      <c r="D98" s="45" t="s">
        <v>40</v>
      </c>
      <c r="E98" s="46">
        <v>384.28</v>
      </c>
      <c r="F98" s="29"/>
      <c r="G98" s="52">
        <v>34</v>
      </c>
      <c r="H98" s="28"/>
      <c r="I98" s="29">
        <f t="shared" si="15"/>
        <v>13065.519999999999</v>
      </c>
      <c r="J98" s="30">
        <f>H98+I98</f>
        <v>13065.519999999999</v>
      </c>
      <c r="K98" s="357">
        <f t="shared" si="18"/>
        <v>0</v>
      </c>
      <c r="L98" s="357">
        <f t="shared" si="19"/>
        <v>0</v>
      </c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Z98" s="49"/>
    </row>
    <row r="99" spans="1:26" outlineLevel="2" x14ac:dyDescent="0.3">
      <c r="A99" s="34"/>
      <c r="B99" s="86" t="s">
        <v>120</v>
      </c>
      <c r="C99" s="212"/>
      <c r="D99" s="45" t="s">
        <v>40</v>
      </c>
      <c r="E99" s="46">
        <v>6.88</v>
      </c>
      <c r="F99" s="29"/>
      <c r="G99" s="52">
        <v>42</v>
      </c>
      <c r="H99" s="28"/>
      <c r="I99" s="29">
        <f t="shared" si="15"/>
        <v>288.95999999999998</v>
      </c>
      <c r="J99" s="30">
        <f>H99+I99</f>
        <v>288.95999999999998</v>
      </c>
      <c r="K99" s="357">
        <f t="shared" si="18"/>
        <v>0</v>
      </c>
      <c r="L99" s="357">
        <f t="shared" si="19"/>
        <v>0</v>
      </c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Z99" s="49"/>
    </row>
    <row r="100" spans="1:26" outlineLevel="2" x14ac:dyDescent="0.3">
      <c r="A100" s="34"/>
      <c r="B100" s="86" t="s">
        <v>121</v>
      </c>
      <c r="C100" s="212"/>
      <c r="D100" s="45" t="s">
        <v>25</v>
      </c>
      <c r="E100" s="46">
        <v>3.5524999999999998</v>
      </c>
      <c r="F100" s="29"/>
      <c r="G100" s="30">
        <v>4400</v>
      </c>
      <c r="H100" s="28"/>
      <c r="I100" s="29">
        <f t="shared" si="15"/>
        <v>15630.999999999998</v>
      </c>
      <c r="J100" s="30">
        <f>H100+I100</f>
        <v>15630.999999999998</v>
      </c>
      <c r="K100" s="357">
        <f t="shared" si="18"/>
        <v>0</v>
      </c>
      <c r="L100" s="357">
        <f t="shared" si="19"/>
        <v>0</v>
      </c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Z100" s="49"/>
    </row>
    <row r="101" spans="1:26" outlineLevel="1" x14ac:dyDescent="0.3">
      <c r="A101" s="34"/>
      <c r="B101" s="30"/>
      <c r="C101" s="28"/>
      <c r="D101" s="29"/>
      <c r="E101" s="29"/>
      <c r="F101" s="29"/>
      <c r="G101" s="30"/>
      <c r="H101" s="29"/>
      <c r="I101" s="29"/>
      <c r="J101" s="30"/>
      <c r="K101" s="357">
        <f t="shared" si="18"/>
        <v>0</v>
      </c>
      <c r="L101" s="357">
        <f t="shared" si="19"/>
        <v>0</v>
      </c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Z101" s="49"/>
    </row>
    <row r="102" spans="1:26" s="31" customFormat="1" outlineLevel="1" x14ac:dyDescent="0.3">
      <c r="A102" s="88" t="s">
        <v>91</v>
      </c>
      <c r="B102" s="79" t="s">
        <v>122</v>
      </c>
      <c r="C102" s="28"/>
      <c r="D102" s="28" t="s">
        <v>38</v>
      </c>
      <c r="E102" s="28">
        <v>0</v>
      </c>
      <c r="F102" s="28">
        <v>100</v>
      </c>
      <c r="G102" s="30"/>
      <c r="H102" s="29">
        <f>ROUND(F102*E102,2)</f>
        <v>0</v>
      </c>
      <c r="I102" s="29"/>
      <c r="J102" s="30">
        <f t="shared" ref="J102:J107" si="20">H102+I102</f>
        <v>0</v>
      </c>
      <c r="K102" s="357">
        <f t="shared" si="18"/>
        <v>0</v>
      </c>
      <c r="L102" s="357">
        <f t="shared" si="19"/>
        <v>0</v>
      </c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200"/>
      <c r="Z102" s="49"/>
    </row>
    <row r="103" spans="1:26" ht="31.2" outlineLevel="1" x14ac:dyDescent="0.3">
      <c r="A103" s="34"/>
      <c r="B103" s="30" t="s">
        <v>123</v>
      </c>
      <c r="C103" s="28"/>
      <c r="D103" s="29" t="s">
        <v>25</v>
      </c>
      <c r="E103" s="29">
        <f>ROUND(E102*0.1*1.03,2)</f>
        <v>0</v>
      </c>
      <c r="F103" s="29"/>
      <c r="G103" s="30">
        <v>4100</v>
      </c>
      <c r="H103" s="29"/>
      <c r="I103" s="29">
        <f>ROUND(E103*G103,2)</f>
        <v>0</v>
      </c>
      <c r="J103" s="30">
        <f t="shared" si="20"/>
        <v>0</v>
      </c>
      <c r="K103" s="357">
        <f t="shared" si="18"/>
        <v>0</v>
      </c>
      <c r="L103" s="357">
        <f t="shared" si="19"/>
        <v>0</v>
      </c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Z103" s="49"/>
    </row>
    <row r="104" spans="1:26" s="48" customFormat="1" ht="36" customHeight="1" outlineLevel="1" x14ac:dyDescent="0.3">
      <c r="A104" s="88" t="s">
        <v>102</v>
      </c>
      <c r="B104" s="27" t="s">
        <v>124</v>
      </c>
      <c r="C104" s="161"/>
      <c r="D104" s="28" t="s">
        <v>38</v>
      </c>
      <c r="E104" s="28">
        <v>0</v>
      </c>
      <c r="F104" s="28">
        <v>150</v>
      </c>
      <c r="G104" s="30"/>
      <c r="H104" s="29">
        <f>ROUND(F104*E104,2)</f>
        <v>0</v>
      </c>
      <c r="I104" s="29"/>
      <c r="J104" s="30">
        <f t="shared" si="20"/>
        <v>0</v>
      </c>
      <c r="K104" s="357">
        <f t="shared" si="18"/>
        <v>0</v>
      </c>
      <c r="L104" s="357">
        <f t="shared" si="19"/>
        <v>0</v>
      </c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201"/>
      <c r="Z104" s="49"/>
    </row>
    <row r="105" spans="1:26" outlineLevel="1" x14ac:dyDescent="0.3">
      <c r="A105" s="34"/>
      <c r="B105" s="30" t="s">
        <v>125</v>
      </c>
      <c r="C105" s="28"/>
      <c r="D105" s="29" t="s">
        <v>40</v>
      </c>
      <c r="E105" s="29">
        <f>2.5*E104</f>
        <v>0</v>
      </c>
      <c r="F105" s="29"/>
      <c r="G105" s="30">
        <v>55</v>
      </c>
      <c r="H105" s="29"/>
      <c r="I105" s="29">
        <f>ROUND(E105*G105,2)</f>
        <v>0</v>
      </c>
      <c r="J105" s="30">
        <f t="shared" si="20"/>
        <v>0</v>
      </c>
      <c r="K105" s="357">
        <f t="shared" si="18"/>
        <v>0</v>
      </c>
      <c r="L105" s="357">
        <f t="shared" si="19"/>
        <v>0</v>
      </c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Z105" s="49"/>
    </row>
    <row r="106" spans="1:26" outlineLevel="1" x14ac:dyDescent="0.3">
      <c r="A106" s="34"/>
      <c r="B106" s="30" t="s">
        <v>126</v>
      </c>
      <c r="C106" s="28"/>
      <c r="D106" s="29" t="s">
        <v>42</v>
      </c>
      <c r="E106" s="29">
        <f>0.35*E104</f>
        <v>0</v>
      </c>
      <c r="F106" s="29"/>
      <c r="G106" s="30">
        <v>44</v>
      </c>
      <c r="H106" s="29"/>
      <c r="I106" s="29">
        <f>ROUND(E106*G106,2)</f>
        <v>0</v>
      </c>
      <c r="J106" s="30">
        <f t="shared" si="20"/>
        <v>0</v>
      </c>
      <c r="K106" s="357">
        <f t="shared" si="18"/>
        <v>0</v>
      </c>
      <c r="L106" s="357">
        <f t="shared" si="19"/>
        <v>0</v>
      </c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Z106" s="49"/>
    </row>
    <row r="107" spans="1:26" s="48" customFormat="1" outlineLevel="1" x14ac:dyDescent="0.3">
      <c r="A107" s="47"/>
      <c r="B107" s="59" t="s">
        <v>65</v>
      </c>
      <c r="C107" s="65"/>
      <c r="D107" s="60" t="s">
        <v>66</v>
      </c>
      <c r="E107" s="61">
        <v>33</v>
      </c>
      <c r="F107" s="62">
        <v>1100</v>
      </c>
      <c r="G107" s="63"/>
      <c r="H107" s="29">
        <f>ROUND(F107*E107,2)</f>
        <v>36300</v>
      </c>
      <c r="I107" s="29"/>
      <c r="J107" s="30">
        <f t="shared" si="20"/>
        <v>36300</v>
      </c>
      <c r="K107" s="357">
        <f t="shared" si="18"/>
        <v>0</v>
      </c>
      <c r="L107" s="357">
        <f t="shared" si="19"/>
        <v>0</v>
      </c>
      <c r="N107" s="49"/>
      <c r="O107" s="49"/>
      <c r="P107" s="49"/>
      <c r="Q107" s="49"/>
      <c r="R107" s="49"/>
      <c r="S107" s="49"/>
      <c r="T107" s="49"/>
      <c r="U107" s="49"/>
      <c r="V107" s="49"/>
      <c r="W107" s="49"/>
      <c r="X107" s="49"/>
      <c r="Y107" s="201"/>
      <c r="Z107" s="49"/>
    </row>
    <row r="108" spans="1:26" s="48" customFormat="1" outlineLevel="1" x14ac:dyDescent="0.3">
      <c r="A108" s="47"/>
      <c r="B108" s="64" t="s">
        <v>67</v>
      </c>
      <c r="C108" s="65"/>
      <c r="D108" s="60"/>
      <c r="E108" s="61"/>
      <c r="F108" s="62"/>
      <c r="G108" s="63"/>
      <c r="H108" s="65">
        <f>SUM(H54:H107)</f>
        <v>85771.315999999992</v>
      </c>
      <c r="I108" s="62"/>
      <c r="J108" s="66">
        <f>H108</f>
        <v>85771.315999999992</v>
      </c>
      <c r="K108" s="357">
        <f t="shared" si="18"/>
        <v>0</v>
      </c>
      <c r="L108" s="357">
        <f t="shared" si="19"/>
        <v>0</v>
      </c>
      <c r="N108" s="49"/>
      <c r="O108" s="49"/>
      <c r="P108" s="49"/>
      <c r="Q108" s="49"/>
      <c r="R108" s="49"/>
      <c r="S108" s="49"/>
      <c r="T108" s="49"/>
      <c r="U108" s="49"/>
      <c r="V108" s="49"/>
      <c r="W108" s="49"/>
      <c r="X108" s="49"/>
      <c r="Y108" s="201"/>
      <c r="Z108" s="49"/>
    </row>
    <row r="109" spans="1:26" s="48" customFormat="1" outlineLevel="1" x14ac:dyDescent="0.3">
      <c r="A109" s="47"/>
      <c r="B109" s="64" t="s">
        <v>68</v>
      </c>
      <c r="C109" s="65"/>
      <c r="D109" s="60"/>
      <c r="E109" s="61"/>
      <c r="F109" s="62"/>
      <c r="G109" s="63"/>
      <c r="H109" s="65"/>
      <c r="I109" s="65">
        <f>SUM(I54:I106)</f>
        <v>1221057.5614764814</v>
      </c>
      <c r="J109" s="66">
        <f>I109</f>
        <v>1221057.5614764814</v>
      </c>
      <c r="K109" s="357">
        <f t="shared" si="18"/>
        <v>0</v>
      </c>
      <c r="L109" s="357">
        <f t="shared" si="19"/>
        <v>0</v>
      </c>
      <c r="N109" s="49"/>
      <c r="O109" s="49"/>
      <c r="P109" s="49"/>
      <c r="Q109" s="49"/>
      <c r="R109" s="49"/>
      <c r="S109" s="49"/>
      <c r="T109" s="49"/>
      <c r="U109" s="49"/>
      <c r="V109" s="49"/>
      <c r="W109" s="49"/>
      <c r="X109" s="49"/>
      <c r="Y109" s="201"/>
      <c r="Z109" s="49"/>
    </row>
    <row r="110" spans="1:26" s="48" customFormat="1" outlineLevel="1" x14ac:dyDescent="0.3">
      <c r="A110" s="47"/>
      <c r="B110" s="64" t="s">
        <v>69</v>
      </c>
      <c r="C110" s="65"/>
      <c r="D110" s="60"/>
      <c r="E110" s="61"/>
      <c r="F110" s="62"/>
      <c r="G110" s="63"/>
      <c r="H110" s="65"/>
      <c r="I110" s="62"/>
      <c r="J110" s="66">
        <f>H110</f>
        <v>0</v>
      </c>
      <c r="K110" s="357">
        <f t="shared" si="18"/>
        <v>0</v>
      </c>
      <c r="L110" s="357">
        <f t="shared" si="19"/>
        <v>0</v>
      </c>
      <c r="N110" s="49"/>
      <c r="O110" s="49"/>
      <c r="P110" s="49"/>
      <c r="Q110" s="49"/>
      <c r="R110" s="49"/>
      <c r="S110" s="49"/>
      <c r="T110" s="49"/>
      <c r="U110" s="49"/>
      <c r="V110" s="49"/>
      <c r="W110" s="49"/>
      <c r="X110" s="49"/>
      <c r="Y110" s="201"/>
      <c r="Z110" s="49"/>
    </row>
    <row r="111" spans="1:26" s="48" customFormat="1" outlineLevel="1" x14ac:dyDescent="0.3">
      <c r="A111" s="47"/>
      <c r="B111" s="64" t="s">
        <v>70</v>
      </c>
      <c r="C111" s="65"/>
      <c r="D111" s="60"/>
      <c r="E111" s="61"/>
      <c r="F111" s="62"/>
      <c r="G111" s="63"/>
      <c r="H111" s="65"/>
      <c r="I111" s="62"/>
      <c r="J111" s="66">
        <f>H111</f>
        <v>0</v>
      </c>
      <c r="K111" s="357">
        <f t="shared" si="18"/>
        <v>0</v>
      </c>
      <c r="L111" s="357">
        <f t="shared" si="19"/>
        <v>0</v>
      </c>
      <c r="N111" s="49"/>
      <c r="O111" s="49"/>
      <c r="P111" s="49"/>
      <c r="Q111" s="49"/>
      <c r="R111" s="49"/>
      <c r="S111" s="49"/>
      <c r="T111" s="49"/>
      <c r="U111" s="49"/>
      <c r="V111" s="49"/>
      <c r="W111" s="49"/>
      <c r="X111" s="49"/>
      <c r="Y111" s="201"/>
      <c r="Z111" s="49"/>
    </row>
    <row r="112" spans="1:26" s="48" customFormat="1" ht="31.2" x14ac:dyDescent="0.3">
      <c r="A112" s="67" t="s">
        <v>832</v>
      </c>
      <c r="B112" s="68" t="s">
        <v>127</v>
      </c>
      <c r="C112" s="211"/>
      <c r="D112" s="69"/>
      <c r="E112" s="69"/>
      <c r="F112" s="69"/>
      <c r="G112" s="70"/>
      <c r="H112" s="69">
        <f>H108+H110+H111</f>
        <v>85771.315999999992</v>
      </c>
      <c r="I112" s="69">
        <f>I109</f>
        <v>1221057.5614764814</v>
      </c>
      <c r="J112" s="69">
        <f>J109+J110+J111+J108</f>
        <v>1306828.8774764813</v>
      </c>
      <c r="K112" s="357">
        <f t="shared" si="18"/>
        <v>0</v>
      </c>
      <c r="L112" s="357">
        <f t="shared" si="19"/>
        <v>0</v>
      </c>
      <c r="Y112" s="201"/>
      <c r="Z112" s="49"/>
    </row>
    <row r="113" spans="1:259" s="36" customFormat="1" ht="18.600000000000001" customHeight="1" x14ac:dyDescent="0.25">
      <c r="A113" s="89"/>
      <c r="B113" s="72" t="s">
        <v>72</v>
      </c>
      <c r="C113" s="161"/>
      <c r="D113" s="39"/>
      <c r="E113" s="28"/>
      <c r="F113" s="28"/>
      <c r="G113" s="50"/>
      <c r="H113" s="28"/>
      <c r="I113" s="28"/>
      <c r="J113" s="28">
        <f>ROUND(J112/1.18*0.18,2)</f>
        <v>199346.78</v>
      </c>
      <c r="K113" s="357">
        <f t="shared" si="18"/>
        <v>0</v>
      </c>
      <c r="L113" s="357">
        <f t="shared" si="19"/>
        <v>0</v>
      </c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200"/>
      <c r="Z113" s="49"/>
      <c r="AA113" s="18"/>
      <c r="AB113" s="18"/>
      <c r="AC113" s="18"/>
      <c r="AD113" s="18"/>
      <c r="AE113" s="18"/>
      <c r="AF113" s="18"/>
      <c r="AG113" s="18"/>
      <c r="AH113" s="18"/>
      <c r="AI113" s="18"/>
      <c r="AJ113" s="18"/>
      <c r="AK113" s="18"/>
      <c r="AL113" s="18"/>
      <c r="AM113" s="18"/>
      <c r="AN113" s="18"/>
      <c r="AO113" s="18"/>
      <c r="AP113" s="18"/>
      <c r="AQ113" s="18"/>
      <c r="AR113" s="18"/>
      <c r="AS113" s="18"/>
      <c r="AT113" s="18"/>
      <c r="AU113" s="18"/>
      <c r="AV113" s="18"/>
      <c r="AW113" s="18"/>
      <c r="AX113" s="18"/>
      <c r="AY113" s="18"/>
      <c r="AZ113" s="18"/>
      <c r="BA113" s="18"/>
      <c r="BB113" s="18"/>
      <c r="BC113" s="18"/>
      <c r="BD113" s="18"/>
      <c r="BE113" s="18"/>
      <c r="BF113" s="18"/>
      <c r="BG113" s="18"/>
      <c r="BH113" s="18"/>
      <c r="BI113" s="18"/>
      <c r="BJ113" s="18"/>
      <c r="BK113" s="18"/>
      <c r="BL113" s="18"/>
      <c r="BM113" s="18"/>
      <c r="BN113" s="18"/>
      <c r="BO113" s="18"/>
      <c r="BP113" s="18"/>
      <c r="BQ113" s="18"/>
      <c r="BR113" s="18"/>
      <c r="BS113" s="18"/>
      <c r="BT113" s="18"/>
      <c r="BU113" s="18"/>
      <c r="BV113" s="18"/>
      <c r="BW113" s="18"/>
      <c r="BX113" s="18"/>
      <c r="BY113" s="18"/>
      <c r="BZ113" s="18"/>
      <c r="CA113" s="18"/>
      <c r="CB113" s="18"/>
      <c r="CC113" s="18"/>
      <c r="CD113" s="18"/>
      <c r="CE113" s="18"/>
      <c r="CF113" s="18"/>
      <c r="CG113" s="18"/>
      <c r="CH113" s="18"/>
      <c r="CI113" s="18"/>
      <c r="CJ113" s="18"/>
      <c r="CK113" s="18"/>
      <c r="CL113" s="18"/>
      <c r="CM113" s="18"/>
      <c r="CN113" s="18"/>
      <c r="CO113" s="18"/>
      <c r="CP113" s="18"/>
      <c r="CQ113" s="18"/>
      <c r="CR113" s="18"/>
      <c r="CS113" s="18"/>
      <c r="CT113" s="18"/>
      <c r="CU113" s="18"/>
      <c r="CV113" s="18"/>
      <c r="CW113" s="18"/>
      <c r="CX113" s="18"/>
      <c r="CY113" s="18"/>
      <c r="CZ113" s="18"/>
      <c r="DA113" s="18"/>
      <c r="DB113" s="18"/>
      <c r="DC113" s="18"/>
      <c r="DD113" s="18"/>
      <c r="DE113" s="18"/>
      <c r="DF113" s="18"/>
      <c r="DG113" s="18"/>
      <c r="DH113" s="18"/>
      <c r="DI113" s="18"/>
      <c r="DJ113" s="18"/>
      <c r="DK113" s="18"/>
      <c r="DL113" s="18"/>
      <c r="DM113" s="18"/>
      <c r="DN113" s="18"/>
      <c r="DO113" s="18"/>
      <c r="DP113" s="18"/>
      <c r="DQ113" s="18"/>
      <c r="DR113" s="18"/>
      <c r="DS113" s="18"/>
      <c r="DT113" s="18"/>
      <c r="DU113" s="18"/>
      <c r="DV113" s="18"/>
      <c r="DW113" s="18"/>
      <c r="DX113" s="18"/>
      <c r="DY113" s="18"/>
      <c r="DZ113" s="18"/>
      <c r="EA113" s="18"/>
      <c r="EB113" s="18"/>
      <c r="EC113" s="18"/>
      <c r="ED113" s="18"/>
      <c r="EE113" s="18"/>
      <c r="EF113" s="18"/>
      <c r="EG113" s="18"/>
      <c r="EH113" s="18"/>
      <c r="EI113" s="18"/>
      <c r="EJ113" s="18"/>
      <c r="EK113" s="18"/>
      <c r="EL113" s="18"/>
      <c r="EM113" s="18"/>
      <c r="EN113" s="18"/>
      <c r="EO113" s="18"/>
      <c r="EP113" s="18"/>
      <c r="EQ113" s="18"/>
      <c r="ER113" s="18"/>
      <c r="ES113" s="18"/>
      <c r="ET113" s="18"/>
      <c r="EU113" s="18"/>
      <c r="EV113" s="18"/>
      <c r="EW113" s="18"/>
      <c r="EX113" s="18"/>
      <c r="EY113" s="18"/>
      <c r="EZ113" s="18"/>
      <c r="FA113" s="18"/>
      <c r="FB113" s="18"/>
      <c r="FC113" s="18"/>
      <c r="FD113" s="18"/>
      <c r="FE113" s="18"/>
      <c r="FF113" s="18"/>
      <c r="FG113" s="18"/>
      <c r="FH113" s="18"/>
      <c r="FI113" s="18"/>
      <c r="FJ113" s="18"/>
      <c r="FK113" s="18"/>
      <c r="FL113" s="18"/>
      <c r="FM113" s="18"/>
      <c r="FN113" s="18"/>
      <c r="FO113" s="18"/>
      <c r="FP113" s="18"/>
      <c r="FQ113" s="18"/>
      <c r="FR113" s="18"/>
      <c r="FS113" s="18"/>
      <c r="FT113" s="18"/>
      <c r="FU113" s="18"/>
      <c r="FV113" s="18"/>
      <c r="FW113" s="18"/>
      <c r="FX113" s="18"/>
      <c r="FY113" s="18"/>
      <c r="FZ113" s="18"/>
      <c r="GA113" s="18"/>
      <c r="GB113" s="18"/>
      <c r="GC113" s="18"/>
      <c r="GD113" s="18"/>
      <c r="GE113" s="18"/>
      <c r="GF113" s="18"/>
      <c r="GG113" s="18"/>
      <c r="GH113" s="18"/>
      <c r="GI113" s="18"/>
      <c r="GJ113" s="18"/>
      <c r="GK113" s="18"/>
      <c r="GL113" s="18"/>
      <c r="GM113" s="18"/>
      <c r="GN113" s="18"/>
      <c r="GO113" s="18"/>
      <c r="GP113" s="18"/>
      <c r="GQ113" s="18"/>
      <c r="GR113" s="18"/>
      <c r="GS113" s="18"/>
      <c r="GT113" s="18"/>
      <c r="GU113" s="18"/>
      <c r="GV113" s="18"/>
      <c r="GW113" s="18"/>
      <c r="GX113" s="18"/>
      <c r="GY113" s="18"/>
      <c r="GZ113" s="18"/>
      <c r="HA113" s="18"/>
      <c r="HB113" s="18"/>
      <c r="HC113" s="18"/>
      <c r="HD113" s="18"/>
      <c r="HE113" s="18"/>
      <c r="HF113" s="18"/>
      <c r="HG113" s="18"/>
      <c r="HH113" s="18"/>
      <c r="HI113" s="18"/>
      <c r="HJ113" s="18"/>
      <c r="HK113" s="18"/>
      <c r="HL113" s="18"/>
      <c r="HM113" s="18"/>
      <c r="HN113" s="18"/>
      <c r="HO113" s="18"/>
      <c r="HP113" s="18"/>
      <c r="HQ113" s="18"/>
      <c r="HR113" s="18"/>
      <c r="HS113" s="18"/>
      <c r="HT113" s="18"/>
      <c r="HU113" s="18"/>
      <c r="HV113" s="18"/>
      <c r="HW113" s="18"/>
      <c r="HX113" s="18"/>
      <c r="HY113" s="18"/>
      <c r="HZ113" s="18"/>
      <c r="IA113" s="18"/>
      <c r="IB113" s="18"/>
      <c r="IC113" s="18"/>
      <c r="ID113" s="18"/>
      <c r="IE113" s="18"/>
      <c r="IF113" s="18"/>
      <c r="IG113" s="18"/>
      <c r="IH113" s="18"/>
      <c r="II113" s="18"/>
      <c r="IJ113" s="18"/>
      <c r="IK113" s="18"/>
      <c r="IL113" s="18"/>
      <c r="IM113" s="18"/>
      <c r="IN113" s="18"/>
      <c r="IO113" s="18"/>
      <c r="IP113" s="18"/>
      <c r="IQ113" s="18"/>
      <c r="IR113" s="18"/>
      <c r="IS113" s="18"/>
      <c r="IT113" s="18"/>
      <c r="IU113" s="18"/>
      <c r="IV113" s="18"/>
      <c r="IW113" s="18"/>
      <c r="IX113" s="18"/>
      <c r="IY113" s="18"/>
    </row>
    <row r="114" spans="1:259" ht="18.75" customHeight="1" x14ac:dyDescent="0.3">
      <c r="A114" s="21"/>
      <c r="B114" s="90" t="s">
        <v>128</v>
      </c>
      <c r="C114" s="213"/>
      <c r="D114" s="23"/>
      <c r="E114" s="23"/>
      <c r="F114" s="23"/>
      <c r="G114" s="22"/>
      <c r="H114" s="23"/>
      <c r="I114" s="23"/>
      <c r="J114" s="24"/>
      <c r="K114" s="357">
        <f t="shared" si="18"/>
        <v>0</v>
      </c>
      <c r="L114" s="357">
        <f t="shared" si="19"/>
        <v>0</v>
      </c>
      <c r="Z114" s="49"/>
    </row>
    <row r="115" spans="1:259" ht="33.75" customHeight="1" x14ac:dyDescent="0.3">
      <c r="A115" s="26" t="s">
        <v>129</v>
      </c>
      <c r="B115" s="27" t="s">
        <v>130</v>
      </c>
      <c r="C115" s="161"/>
      <c r="D115" s="28" t="s">
        <v>25</v>
      </c>
      <c r="E115" s="28">
        <v>0</v>
      </c>
      <c r="F115" s="28">
        <v>1500</v>
      </c>
      <c r="G115" s="30"/>
      <c r="H115" s="29">
        <f>ROUND(F115*E115,2)</f>
        <v>0</v>
      </c>
      <c r="I115" s="29"/>
      <c r="J115" s="30">
        <f>H115+I115</f>
        <v>0</v>
      </c>
      <c r="K115" s="357">
        <f t="shared" si="18"/>
        <v>0</v>
      </c>
      <c r="L115" s="357">
        <f t="shared" si="19"/>
        <v>0</v>
      </c>
      <c r="M115" s="28"/>
      <c r="N115" s="28"/>
      <c r="O115" s="32"/>
      <c r="Q115" s="28"/>
      <c r="R115" s="32"/>
      <c r="T115" s="28"/>
      <c r="U115" s="32"/>
      <c r="W115" s="28"/>
      <c r="Z115" s="49"/>
    </row>
    <row r="116" spans="1:259" ht="18" customHeight="1" x14ac:dyDescent="0.3">
      <c r="A116" s="86"/>
      <c r="B116" s="30" t="s">
        <v>131</v>
      </c>
      <c r="C116" s="28"/>
      <c r="D116" s="29" t="s">
        <v>25</v>
      </c>
      <c r="E116" s="75">
        <f>E115*1.05</f>
        <v>0</v>
      </c>
      <c r="F116" s="29"/>
      <c r="G116" s="30">
        <v>11.7</v>
      </c>
      <c r="H116" s="29"/>
      <c r="I116" s="29">
        <f>ROUND(E116*G116,2)</f>
        <v>0</v>
      </c>
      <c r="J116" s="30">
        <f>H116+I116</f>
        <v>0</v>
      </c>
      <c r="K116" s="357">
        <f t="shared" si="18"/>
        <v>0</v>
      </c>
      <c r="L116" s="357">
        <f t="shared" si="19"/>
        <v>0</v>
      </c>
      <c r="Z116" s="49"/>
    </row>
    <row r="117" spans="1:259" ht="18.75" customHeight="1" x14ac:dyDescent="0.3">
      <c r="A117" s="86"/>
      <c r="B117" s="30" t="s">
        <v>132</v>
      </c>
      <c r="C117" s="28"/>
      <c r="D117" s="29" t="s">
        <v>25</v>
      </c>
      <c r="E117" s="75">
        <f>ROUND(0.23*E115,2)</f>
        <v>0</v>
      </c>
      <c r="F117" s="29"/>
      <c r="G117" s="30">
        <v>2700</v>
      </c>
      <c r="H117" s="29"/>
      <c r="I117" s="29">
        <f>ROUND(E117*G117,2)</f>
        <v>0</v>
      </c>
      <c r="J117" s="30">
        <f>H117+I117</f>
        <v>0</v>
      </c>
      <c r="K117" s="357">
        <f t="shared" si="18"/>
        <v>0</v>
      </c>
      <c r="L117" s="357">
        <f t="shared" si="19"/>
        <v>0</v>
      </c>
      <c r="Z117" s="49"/>
    </row>
    <row r="118" spans="1:259" ht="17.25" customHeight="1" outlineLevel="1" x14ac:dyDescent="0.3">
      <c r="A118" s="34"/>
      <c r="B118" s="86" t="s">
        <v>133</v>
      </c>
      <c r="C118" s="212"/>
      <c r="D118" s="29" t="s">
        <v>34</v>
      </c>
      <c r="E118" s="29">
        <v>0</v>
      </c>
      <c r="F118" s="28"/>
      <c r="G118" s="30">
        <v>42000</v>
      </c>
      <c r="H118" s="29"/>
      <c r="I118" s="29">
        <f>ROUND(E118*G118,2)</f>
        <v>0</v>
      </c>
      <c r="J118" s="30">
        <f t="shared" ref="J118:J169" si="21">H118+I118</f>
        <v>0</v>
      </c>
      <c r="K118" s="357">
        <f t="shared" si="18"/>
        <v>0</v>
      </c>
      <c r="L118" s="357">
        <f t="shared" si="19"/>
        <v>0</v>
      </c>
      <c r="N118" s="91"/>
      <c r="O118" s="91"/>
      <c r="Q118" s="91"/>
      <c r="R118" s="91"/>
      <c r="T118" s="91"/>
      <c r="U118" s="91"/>
      <c r="W118" s="91"/>
      <c r="Z118" s="49"/>
    </row>
    <row r="119" spans="1:259" ht="17.25" customHeight="1" outlineLevel="1" x14ac:dyDescent="0.3">
      <c r="A119" s="34"/>
      <c r="B119" s="86" t="s">
        <v>134</v>
      </c>
      <c r="C119" s="212"/>
      <c r="D119" s="29" t="s">
        <v>34</v>
      </c>
      <c r="E119" s="29">
        <v>0</v>
      </c>
      <c r="F119" s="28"/>
      <c r="G119" s="30">
        <v>42000</v>
      </c>
      <c r="H119" s="29"/>
      <c r="I119" s="29">
        <f>ROUND(E119*G119,2)</f>
        <v>0</v>
      </c>
      <c r="J119" s="30">
        <f t="shared" si="21"/>
        <v>0</v>
      </c>
      <c r="K119" s="357">
        <f t="shared" si="18"/>
        <v>0</v>
      </c>
      <c r="L119" s="357">
        <f t="shared" si="19"/>
        <v>0</v>
      </c>
      <c r="N119" s="91"/>
      <c r="O119" s="91"/>
      <c r="Q119" s="91"/>
      <c r="R119" s="91"/>
      <c r="T119" s="91"/>
      <c r="U119" s="91"/>
      <c r="W119" s="91"/>
      <c r="Z119" s="49"/>
    </row>
    <row r="120" spans="1:259" ht="17.25" customHeight="1" outlineLevel="1" x14ac:dyDescent="0.3">
      <c r="A120" s="34"/>
      <c r="B120" s="86" t="s">
        <v>135</v>
      </c>
      <c r="C120" s="212"/>
      <c r="D120" s="29" t="s">
        <v>34</v>
      </c>
      <c r="E120" s="29">
        <v>0</v>
      </c>
      <c r="F120" s="28"/>
      <c r="G120" s="30">
        <v>42000</v>
      </c>
      <c r="H120" s="29"/>
      <c r="I120" s="29">
        <f>ROUND(E120*G120,2)</f>
        <v>0</v>
      </c>
      <c r="J120" s="30">
        <f t="shared" si="21"/>
        <v>0</v>
      </c>
      <c r="K120" s="357">
        <f t="shared" si="18"/>
        <v>0</v>
      </c>
      <c r="L120" s="357">
        <f t="shared" si="19"/>
        <v>0</v>
      </c>
      <c r="N120" s="91"/>
      <c r="O120" s="91"/>
      <c r="Q120" s="91"/>
      <c r="R120" s="91"/>
      <c r="T120" s="91"/>
      <c r="U120" s="91"/>
      <c r="W120" s="91"/>
      <c r="Z120" s="49"/>
    </row>
    <row r="121" spans="1:259" ht="21.75" customHeight="1" outlineLevel="2" x14ac:dyDescent="0.3">
      <c r="A121" s="26" t="s">
        <v>129</v>
      </c>
      <c r="B121" s="27" t="s">
        <v>136</v>
      </c>
      <c r="C121" s="161"/>
      <c r="D121" s="92" t="s">
        <v>25</v>
      </c>
      <c r="E121" s="28">
        <v>860</v>
      </c>
      <c r="F121" s="28">
        <v>1450</v>
      </c>
      <c r="G121" s="30"/>
      <c r="H121" s="29">
        <f>F121*E121</f>
        <v>1247000</v>
      </c>
      <c r="I121" s="29"/>
      <c r="J121" s="30">
        <f>H121+I121</f>
        <v>1247000</v>
      </c>
      <c r="K121" s="357">
        <f t="shared" si="18"/>
        <v>0</v>
      </c>
      <c r="L121" s="357">
        <f t="shared" si="19"/>
        <v>0</v>
      </c>
      <c r="N121" s="91"/>
      <c r="O121" s="91"/>
      <c r="Q121" s="91"/>
      <c r="R121" s="91"/>
      <c r="T121" s="91"/>
      <c r="U121" s="91"/>
      <c r="W121" s="91"/>
      <c r="Z121" s="49"/>
    </row>
    <row r="122" spans="1:259" ht="17.25" customHeight="1" outlineLevel="2" x14ac:dyDescent="0.3">
      <c r="A122" s="34"/>
      <c r="B122" s="30" t="s">
        <v>137</v>
      </c>
      <c r="C122" s="28"/>
      <c r="D122" s="29" t="s">
        <v>22</v>
      </c>
      <c r="E122" s="29">
        <f>E121*306</f>
        <v>263160</v>
      </c>
      <c r="F122" s="29"/>
      <c r="G122" s="42">
        <v>9.1999999999999993</v>
      </c>
      <c r="H122" s="29">
        <f t="shared" ref="H122:H174" si="22">F122*E122</f>
        <v>0</v>
      </c>
      <c r="I122" s="29">
        <f>G122*E122</f>
        <v>2421072</v>
      </c>
      <c r="J122" s="30">
        <f>H122+I122</f>
        <v>2421072</v>
      </c>
      <c r="K122" s="357">
        <f t="shared" si="18"/>
        <v>0</v>
      </c>
      <c r="L122" s="357">
        <f t="shared" si="19"/>
        <v>0</v>
      </c>
      <c r="N122" s="91"/>
      <c r="O122" s="91"/>
      <c r="Q122" s="91"/>
      <c r="R122" s="91"/>
      <c r="T122" s="91"/>
      <c r="U122" s="91"/>
      <c r="W122" s="91"/>
      <c r="Z122" s="49"/>
    </row>
    <row r="123" spans="1:259" ht="17.25" customHeight="1" outlineLevel="2" x14ac:dyDescent="0.3">
      <c r="A123" s="34"/>
      <c r="B123" s="30" t="s">
        <v>138</v>
      </c>
      <c r="C123" s="28"/>
      <c r="D123" s="29" t="s">
        <v>25</v>
      </c>
      <c r="E123" s="29">
        <f>E121/4</f>
        <v>215</v>
      </c>
      <c r="F123" s="29"/>
      <c r="G123" s="30">
        <v>3200</v>
      </c>
      <c r="H123" s="29">
        <f t="shared" si="22"/>
        <v>0</v>
      </c>
      <c r="I123" s="29">
        <f t="shared" ref="I123:I174" si="23">G123*E123</f>
        <v>688000</v>
      </c>
      <c r="J123" s="30">
        <f>H123+I123</f>
        <v>688000</v>
      </c>
      <c r="K123" s="357">
        <f t="shared" si="18"/>
        <v>0</v>
      </c>
      <c r="L123" s="357">
        <f t="shared" si="19"/>
        <v>0</v>
      </c>
      <c r="N123" s="91"/>
      <c r="O123" s="91"/>
      <c r="Q123" s="91"/>
      <c r="R123" s="91"/>
      <c r="T123" s="91"/>
      <c r="U123" s="91"/>
      <c r="W123" s="91"/>
      <c r="Z123" s="49"/>
    </row>
    <row r="124" spans="1:259" ht="17.25" customHeight="1" outlineLevel="2" x14ac:dyDescent="0.3">
      <c r="A124" s="34"/>
      <c r="B124" s="30" t="s">
        <v>139</v>
      </c>
      <c r="C124" s="28"/>
      <c r="D124" s="29" t="s">
        <v>34</v>
      </c>
      <c r="E124" s="29">
        <v>4.5</v>
      </c>
      <c r="F124" s="29"/>
      <c r="G124" s="30">
        <v>62000</v>
      </c>
      <c r="H124" s="29">
        <f t="shared" si="22"/>
        <v>0</v>
      </c>
      <c r="I124" s="29">
        <f t="shared" si="23"/>
        <v>279000</v>
      </c>
      <c r="J124" s="30">
        <f>H124+I124</f>
        <v>279000</v>
      </c>
      <c r="K124" s="357">
        <f t="shared" si="18"/>
        <v>0</v>
      </c>
      <c r="L124" s="357">
        <f t="shared" si="19"/>
        <v>0</v>
      </c>
      <c r="N124" s="91"/>
      <c r="O124" s="91"/>
      <c r="Q124" s="91"/>
      <c r="R124" s="91"/>
      <c r="T124" s="91"/>
      <c r="U124" s="91"/>
      <c r="W124" s="91"/>
      <c r="Z124" s="49"/>
    </row>
    <row r="125" spans="1:259" ht="15.75" customHeight="1" outlineLevel="2" x14ac:dyDescent="0.3">
      <c r="A125" s="26" t="s">
        <v>140</v>
      </c>
      <c r="B125" s="27" t="s">
        <v>141</v>
      </c>
      <c r="C125" s="161"/>
      <c r="D125" s="92" t="s">
        <v>25</v>
      </c>
      <c r="E125" s="28">
        <v>63.869441999999992</v>
      </c>
      <c r="F125" s="28">
        <f>F121</f>
        <v>1450</v>
      </c>
      <c r="G125" s="30"/>
      <c r="H125" s="29">
        <f t="shared" si="22"/>
        <v>92610.690899999987</v>
      </c>
      <c r="I125" s="29">
        <f t="shared" si="23"/>
        <v>0</v>
      </c>
      <c r="J125" s="30">
        <f t="shared" si="21"/>
        <v>92610.690899999987</v>
      </c>
      <c r="K125" s="357">
        <f t="shared" si="18"/>
        <v>0</v>
      </c>
      <c r="L125" s="357">
        <f t="shared" si="19"/>
        <v>0</v>
      </c>
      <c r="N125" s="91"/>
      <c r="O125" s="91"/>
      <c r="Q125" s="91"/>
      <c r="R125" s="91"/>
      <c r="T125" s="91"/>
      <c r="U125" s="91"/>
      <c r="W125" s="91"/>
      <c r="Z125" s="49"/>
    </row>
    <row r="126" spans="1:259" ht="33.75" customHeight="1" outlineLevel="2" x14ac:dyDescent="0.3">
      <c r="A126" s="34"/>
      <c r="B126" s="30" t="s">
        <v>142</v>
      </c>
      <c r="C126" s="28"/>
      <c r="D126" s="29" t="s">
        <v>22</v>
      </c>
      <c r="E126" s="29">
        <f>E125*394</f>
        <v>25164.560147999997</v>
      </c>
      <c r="F126" s="29"/>
      <c r="G126" s="30">
        <v>10.75</v>
      </c>
      <c r="H126" s="29">
        <f t="shared" si="22"/>
        <v>0</v>
      </c>
      <c r="I126" s="29">
        <f t="shared" si="23"/>
        <v>270519.02159099997</v>
      </c>
      <c r="J126" s="30">
        <f t="shared" si="21"/>
        <v>270519.02159099997</v>
      </c>
      <c r="K126" s="357">
        <f t="shared" si="18"/>
        <v>0</v>
      </c>
      <c r="L126" s="357">
        <f t="shared" si="19"/>
        <v>0</v>
      </c>
      <c r="N126" s="91"/>
      <c r="O126" s="91"/>
      <c r="Q126" s="91"/>
      <c r="R126" s="91"/>
      <c r="T126" s="91"/>
      <c r="U126" s="91"/>
      <c r="W126" s="91"/>
      <c r="Z126" s="49"/>
    </row>
    <row r="127" spans="1:259" ht="15" customHeight="1" outlineLevel="2" x14ac:dyDescent="0.3">
      <c r="A127" s="34"/>
      <c r="B127" s="30" t="s">
        <v>138</v>
      </c>
      <c r="C127" s="28"/>
      <c r="D127" s="29" t="s">
        <v>25</v>
      </c>
      <c r="E127" s="29">
        <f>ROUND(0.23*E125,2)</f>
        <v>14.69</v>
      </c>
      <c r="F127" s="29"/>
      <c r="G127" s="30">
        <v>3200</v>
      </c>
      <c r="H127" s="29">
        <f t="shared" si="22"/>
        <v>0</v>
      </c>
      <c r="I127" s="29">
        <f t="shared" si="23"/>
        <v>47008</v>
      </c>
      <c r="J127" s="30">
        <f t="shared" si="21"/>
        <v>47008</v>
      </c>
      <c r="K127" s="357">
        <f t="shared" si="18"/>
        <v>0</v>
      </c>
      <c r="L127" s="357">
        <f t="shared" si="19"/>
        <v>0</v>
      </c>
      <c r="N127" s="91"/>
      <c r="O127" s="91"/>
      <c r="Q127" s="91"/>
      <c r="R127" s="91"/>
      <c r="T127" s="91"/>
      <c r="U127" s="91"/>
      <c r="W127" s="91"/>
      <c r="Z127" s="49"/>
    </row>
    <row r="128" spans="1:259" ht="16.5" customHeight="1" outlineLevel="2" x14ac:dyDescent="0.3">
      <c r="A128" s="34"/>
      <c r="B128" s="30" t="s">
        <v>143</v>
      </c>
      <c r="C128" s="28"/>
      <c r="D128" s="29" t="s">
        <v>25</v>
      </c>
      <c r="E128" s="29">
        <v>0</v>
      </c>
      <c r="F128" s="29"/>
      <c r="G128" s="30">
        <v>3196</v>
      </c>
      <c r="H128" s="29">
        <f t="shared" si="22"/>
        <v>0</v>
      </c>
      <c r="I128" s="29">
        <f t="shared" si="23"/>
        <v>0</v>
      </c>
      <c r="J128" s="30">
        <f t="shared" si="21"/>
        <v>0</v>
      </c>
      <c r="K128" s="357">
        <f t="shared" si="18"/>
        <v>0</v>
      </c>
      <c r="L128" s="357">
        <f t="shared" si="19"/>
        <v>0</v>
      </c>
      <c r="N128" s="91"/>
      <c r="O128" s="91"/>
      <c r="Q128" s="91"/>
      <c r="R128" s="91"/>
      <c r="T128" s="91"/>
      <c r="U128" s="91"/>
      <c r="W128" s="91"/>
      <c r="Z128" s="49"/>
    </row>
    <row r="129" spans="1:26" ht="15" customHeight="1" outlineLevel="2" x14ac:dyDescent="0.3">
      <c r="A129" s="26" t="s">
        <v>144</v>
      </c>
      <c r="B129" s="27" t="s">
        <v>145</v>
      </c>
      <c r="C129" s="161"/>
      <c r="D129" s="92" t="s">
        <v>25</v>
      </c>
      <c r="E129" s="28">
        <v>0</v>
      </c>
      <c r="F129" s="28">
        <v>1500</v>
      </c>
      <c r="G129" s="30"/>
      <c r="H129" s="29">
        <f t="shared" si="22"/>
        <v>0</v>
      </c>
      <c r="I129" s="29">
        <f t="shared" si="23"/>
        <v>0</v>
      </c>
      <c r="J129" s="30">
        <f t="shared" si="21"/>
        <v>0</v>
      </c>
      <c r="K129" s="357">
        <f t="shared" si="18"/>
        <v>0</v>
      </c>
      <c r="L129" s="357">
        <f t="shared" si="19"/>
        <v>0</v>
      </c>
      <c r="N129" s="91"/>
      <c r="O129" s="91"/>
      <c r="Q129" s="91"/>
      <c r="R129" s="91"/>
      <c r="T129" s="91"/>
      <c r="U129" s="91"/>
      <c r="W129" s="91"/>
      <c r="Z129" s="49"/>
    </row>
    <row r="130" spans="1:26" ht="15" customHeight="1" outlineLevel="2" x14ac:dyDescent="0.3">
      <c r="A130" s="34"/>
      <c r="B130" s="30" t="s">
        <v>137</v>
      </c>
      <c r="C130" s="28"/>
      <c r="D130" s="29" t="s">
        <v>22</v>
      </c>
      <c r="E130" s="29">
        <f>E129*400</f>
        <v>0</v>
      </c>
      <c r="F130" s="29"/>
      <c r="G130" s="30">
        <v>11.7</v>
      </c>
      <c r="H130" s="29">
        <f t="shared" si="22"/>
        <v>0</v>
      </c>
      <c r="I130" s="29">
        <f t="shared" si="23"/>
        <v>0</v>
      </c>
      <c r="J130" s="30">
        <f t="shared" si="21"/>
        <v>0</v>
      </c>
      <c r="K130" s="357">
        <f t="shared" si="18"/>
        <v>0</v>
      </c>
      <c r="L130" s="357">
        <f t="shared" si="19"/>
        <v>0</v>
      </c>
      <c r="N130" s="91"/>
      <c r="O130" s="91"/>
      <c r="Q130" s="91"/>
      <c r="R130" s="91"/>
      <c r="T130" s="91"/>
      <c r="U130" s="91"/>
      <c r="W130" s="91"/>
      <c r="Z130" s="49"/>
    </row>
    <row r="131" spans="1:26" ht="15" customHeight="1" outlineLevel="2" x14ac:dyDescent="0.3">
      <c r="A131" s="34"/>
      <c r="B131" s="30" t="s">
        <v>146</v>
      </c>
      <c r="C131" s="28"/>
      <c r="D131" s="29" t="s">
        <v>25</v>
      </c>
      <c r="E131" s="29">
        <f>ROUND(0.23*E129,2)</f>
        <v>0</v>
      </c>
      <c r="F131" s="29"/>
      <c r="G131" s="30">
        <v>2700</v>
      </c>
      <c r="H131" s="29">
        <f t="shared" si="22"/>
        <v>0</v>
      </c>
      <c r="I131" s="29">
        <f t="shared" si="23"/>
        <v>0</v>
      </c>
      <c r="J131" s="30">
        <f t="shared" si="21"/>
        <v>0</v>
      </c>
      <c r="K131" s="357">
        <f t="shared" si="18"/>
        <v>0</v>
      </c>
      <c r="L131" s="357">
        <f t="shared" si="19"/>
        <v>0</v>
      </c>
      <c r="N131" s="91"/>
      <c r="O131" s="91"/>
      <c r="Q131" s="91"/>
      <c r="R131" s="91"/>
      <c r="T131" s="91"/>
      <c r="U131" s="91"/>
      <c r="W131" s="91"/>
      <c r="Z131" s="49"/>
    </row>
    <row r="132" spans="1:26" ht="18.899999999999999" customHeight="1" outlineLevel="2" x14ac:dyDescent="0.3">
      <c r="A132" s="26" t="s">
        <v>147</v>
      </c>
      <c r="B132" s="27" t="s">
        <v>148</v>
      </c>
      <c r="C132" s="161"/>
      <c r="D132" s="92" t="s">
        <v>25</v>
      </c>
      <c r="E132" s="28">
        <v>0</v>
      </c>
      <c r="F132" s="28">
        <v>1500</v>
      </c>
      <c r="G132" s="30"/>
      <c r="H132" s="29">
        <f t="shared" si="22"/>
        <v>0</v>
      </c>
      <c r="I132" s="29">
        <f t="shared" si="23"/>
        <v>0</v>
      </c>
      <c r="J132" s="30">
        <f t="shared" si="21"/>
        <v>0</v>
      </c>
      <c r="K132" s="357">
        <f t="shared" si="18"/>
        <v>0</v>
      </c>
      <c r="L132" s="357">
        <f t="shared" si="19"/>
        <v>0</v>
      </c>
      <c r="N132" s="91"/>
      <c r="O132" s="91"/>
      <c r="Q132" s="91"/>
      <c r="R132" s="91"/>
      <c r="T132" s="91"/>
      <c r="U132" s="91"/>
      <c r="W132" s="91"/>
      <c r="Z132" s="49"/>
    </row>
    <row r="133" spans="1:26" ht="15.75" customHeight="1" outlineLevel="2" x14ac:dyDescent="0.3">
      <c r="A133" s="34"/>
      <c r="B133" s="30" t="s">
        <v>137</v>
      </c>
      <c r="C133" s="28"/>
      <c r="D133" s="29" t="s">
        <v>22</v>
      </c>
      <c r="E133" s="29">
        <f>E132*400</f>
        <v>0</v>
      </c>
      <c r="F133" s="29"/>
      <c r="G133" s="30">
        <v>11.7</v>
      </c>
      <c r="H133" s="29">
        <f t="shared" si="22"/>
        <v>0</v>
      </c>
      <c r="I133" s="29">
        <f t="shared" si="23"/>
        <v>0</v>
      </c>
      <c r="J133" s="30">
        <f t="shared" si="21"/>
        <v>0</v>
      </c>
      <c r="K133" s="357">
        <f t="shared" si="18"/>
        <v>0</v>
      </c>
      <c r="L133" s="357">
        <f t="shared" si="19"/>
        <v>0</v>
      </c>
      <c r="N133" s="91"/>
      <c r="O133" s="91"/>
      <c r="Q133" s="91"/>
      <c r="R133" s="91"/>
      <c r="T133" s="91"/>
      <c r="U133" s="91"/>
      <c r="W133" s="91"/>
      <c r="Z133" s="49"/>
    </row>
    <row r="134" spans="1:26" ht="15" customHeight="1" outlineLevel="2" x14ac:dyDescent="0.3">
      <c r="A134" s="34"/>
      <c r="B134" s="30" t="s">
        <v>146</v>
      </c>
      <c r="C134" s="28"/>
      <c r="D134" s="29" t="s">
        <v>25</v>
      </c>
      <c r="E134" s="29">
        <f>ROUND(0.23*E132,2)</f>
        <v>0</v>
      </c>
      <c r="F134" s="29"/>
      <c r="G134" s="30">
        <v>2700</v>
      </c>
      <c r="H134" s="29">
        <f t="shared" si="22"/>
        <v>0</v>
      </c>
      <c r="I134" s="29">
        <f t="shared" si="23"/>
        <v>0</v>
      </c>
      <c r="J134" s="30">
        <f t="shared" si="21"/>
        <v>0</v>
      </c>
      <c r="K134" s="357">
        <f t="shared" si="18"/>
        <v>0</v>
      </c>
      <c r="L134" s="357">
        <f t="shared" si="19"/>
        <v>0</v>
      </c>
      <c r="N134" s="91"/>
      <c r="O134" s="91"/>
      <c r="Q134" s="91"/>
      <c r="R134" s="91"/>
      <c r="T134" s="91"/>
      <c r="U134" s="91"/>
      <c r="W134" s="91"/>
      <c r="Z134" s="49"/>
    </row>
    <row r="135" spans="1:26" outlineLevel="2" x14ac:dyDescent="0.3">
      <c r="A135" s="26" t="s">
        <v>149</v>
      </c>
      <c r="B135" s="27" t="s">
        <v>150</v>
      </c>
      <c r="C135" s="161"/>
      <c r="D135" s="92" t="s">
        <v>25</v>
      </c>
      <c r="E135" s="28">
        <f>'[1]41'!D135</f>
        <v>26.009097999999984</v>
      </c>
      <c r="F135" s="28">
        <f>F125</f>
        <v>1450</v>
      </c>
      <c r="G135" s="30"/>
      <c r="H135" s="29">
        <f t="shared" si="22"/>
        <v>37713.192099999978</v>
      </c>
      <c r="I135" s="29">
        <f t="shared" si="23"/>
        <v>0</v>
      </c>
      <c r="J135" s="30">
        <f t="shared" si="21"/>
        <v>37713.192099999978</v>
      </c>
      <c r="K135" s="357">
        <f t="shared" si="18"/>
        <v>0</v>
      </c>
      <c r="L135" s="357">
        <f t="shared" si="19"/>
        <v>0</v>
      </c>
      <c r="N135" s="25"/>
      <c r="O135" s="25"/>
      <c r="P135" s="44"/>
      <c r="Q135" s="25"/>
      <c r="R135" s="25"/>
      <c r="S135" s="44"/>
      <c r="T135" s="25"/>
      <c r="U135" s="25"/>
      <c r="V135" s="44"/>
      <c r="W135" s="25"/>
      <c r="X135" s="44"/>
      <c r="Z135" s="49"/>
    </row>
    <row r="136" spans="1:26" s="25" customFormat="1" ht="31.2" outlineLevel="2" x14ac:dyDescent="0.3">
      <c r="A136" s="34"/>
      <c r="B136" s="30" t="s">
        <v>151</v>
      </c>
      <c r="C136" s="28"/>
      <c r="D136" s="29" t="s">
        <v>22</v>
      </c>
      <c r="E136" s="29">
        <f>E135*394</f>
        <v>10247.584611999993</v>
      </c>
      <c r="F136" s="29"/>
      <c r="G136" s="30">
        <v>10.75</v>
      </c>
      <c r="H136" s="29">
        <f t="shared" si="22"/>
        <v>0</v>
      </c>
      <c r="I136" s="29">
        <f t="shared" si="23"/>
        <v>110161.53457899993</v>
      </c>
      <c r="J136" s="30">
        <f t="shared" si="21"/>
        <v>110161.53457899993</v>
      </c>
      <c r="K136" s="357">
        <f t="shared" si="18"/>
        <v>0</v>
      </c>
      <c r="L136" s="357">
        <f t="shared" si="19"/>
        <v>0</v>
      </c>
      <c r="Y136" s="201"/>
      <c r="Z136" s="49"/>
    </row>
    <row r="137" spans="1:26" s="31" customFormat="1" outlineLevel="2" x14ac:dyDescent="0.3">
      <c r="A137" s="93"/>
      <c r="B137" s="30" t="s">
        <v>152</v>
      </c>
      <c r="C137" s="28"/>
      <c r="D137" s="29" t="s">
        <v>25</v>
      </c>
      <c r="E137" s="29">
        <f>ROUND(0.23*E135,2)</f>
        <v>5.98</v>
      </c>
      <c r="F137" s="29"/>
      <c r="G137" s="30">
        <v>3200</v>
      </c>
      <c r="H137" s="29">
        <f t="shared" si="22"/>
        <v>0</v>
      </c>
      <c r="I137" s="29">
        <f t="shared" si="23"/>
        <v>19136</v>
      </c>
      <c r="J137" s="30">
        <f t="shared" si="21"/>
        <v>19136</v>
      </c>
      <c r="K137" s="357">
        <f t="shared" si="18"/>
        <v>0</v>
      </c>
      <c r="L137" s="357">
        <f t="shared" si="19"/>
        <v>0</v>
      </c>
      <c r="Y137" s="200"/>
      <c r="Z137" s="49"/>
    </row>
    <row r="138" spans="1:26" s="31" customFormat="1" outlineLevel="2" x14ac:dyDescent="0.3">
      <c r="A138" s="37"/>
      <c r="B138" s="30" t="s">
        <v>143</v>
      </c>
      <c r="C138" s="28"/>
      <c r="D138" s="29" t="s">
        <v>25</v>
      </c>
      <c r="E138" s="29">
        <f>'[1]41'!D138</f>
        <v>27.08639999999999</v>
      </c>
      <c r="F138" s="29"/>
      <c r="G138" s="42">
        <v>3800</v>
      </c>
      <c r="H138" s="29">
        <f t="shared" si="22"/>
        <v>0</v>
      </c>
      <c r="I138" s="29">
        <f t="shared" si="23"/>
        <v>102928.31999999996</v>
      </c>
      <c r="J138" s="30">
        <f t="shared" si="21"/>
        <v>102928.31999999996</v>
      </c>
      <c r="K138" s="357">
        <f t="shared" si="18"/>
        <v>0</v>
      </c>
      <c r="L138" s="357">
        <f t="shared" si="19"/>
        <v>0</v>
      </c>
      <c r="Y138" s="200"/>
      <c r="Z138" s="49"/>
    </row>
    <row r="139" spans="1:26" s="31" customFormat="1" outlineLevel="2" x14ac:dyDescent="0.3">
      <c r="A139" s="26" t="s">
        <v>153</v>
      </c>
      <c r="B139" s="79" t="s">
        <v>88</v>
      </c>
      <c r="C139" s="28"/>
      <c r="D139" s="28" t="s">
        <v>22</v>
      </c>
      <c r="E139" s="80">
        <f>SUM(E140:E150)</f>
        <v>314</v>
      </c>
      <c r="F139" s="28"/>
      <c r="G139" s="30"/>
      <c r="H139" s="29">
        <f t="shared" si="22"/>
        <v>0</v>
      </c>
      <c r="I139" s="29">
        <f t="shared" si="23"/>
        <v>0</v>
      </c>
      <c r="J139" s="30">
        <f t="shared" si="21"/>
        <v>0</v>
      </c>
      <c r="K139" s="357">
        <f t="shared" si="18"/>
        <v>0</v>
      </c>
      <c r="L139" s="357">
        <f t="shared" si="19"/>
        <v>0</v>
      </c>
      <c r="Y139" s="200"/>
      <c r="Z139" s="49"/>
    </row>
    <row r="140" spans="1:26" s="31" customFormat="1" outlineLevel="2" x14ac:dyDescent="0.3">
      <c r="A140" s="37"/>
      <c r="B140" s="35" t="s">
        <v>154</v>
      </c>
      <c r="C140" s="161"/>
      <c r="D140" s="29" t="s">
        <v>22</v>
      </c>
      <c r="E140" s="75">
        <v>75</v>
      </c>
      <c r="F140" s="29"/>
      <c r="G140" s="30">
        <v>2147</v>
      </c>
      <c r="H140" s="29">
        <f t="shared" si="22"/>
        <v>0</v>
      </c>
      <c r="I140" s="29">
        <f t="shared" si="23"/>
        <v>161025</v>
      </c>
      <c r="J140" s="30">
        <f t="shared" si="21"/>
        <v>161025</v>
      </c>
      <c r="K140" s="357">
        <f t="shared" si="18"/>
        <v>0</v>
      </c>
      <c r="L140" s="357">
        <f t="shared" si="19"/>
        <v>0</v>
      </c>
      <c r="Y140" s="200"/>
      <c r="Z140" s="49"/>
    </row>
    <row r="141" spans="1:26" s="31" customFormat="1" outlineLevel="2" x14ac:dyDescent="0.3">
      <c r="A141" s="37"/>
      <c r="B141" s="35" t="s">
        <v>155</v>
      </c>
      <c r="C141" s="161"/>
      <c r="D141" s="29" t="s">
        <v>22</v>
      </c>
      <c r="E141" s="75">
        <v>0</v>
      </c>
      <c r="F141" s="29"/>
      <c r="G141" s="30">
        <v>1415</v>
      </c>
      <c r="H141" s="29">
        <f t="shared" si="22"/>
        <v>0</v>
      </c>
      <c r="I141" s="29">
        <f t="shared" si="23"/>
        <v>0</v>
      </c>
      <c r="J141" s="30">
        <f t="shared" si="21"/>
        <v>0</v>
      </c>
      <c r="K141" s="357">
        <f t="shared" si="18"/>
        <v>0</v>
      </c>
      <c r="L141" s="357">
        <f t="shared" si="19"/>
        <v>0</v>
      </c>
      <c r="Y141" s="200"/>
      <c r="Z141" s="49"/>
    </row>
    <row r="142" spans="1:26" s="31" customFormat="1" outlineLevel="2" x14ac:dyDescent="0.3">
      <c r="A142" s="37"/>
      <c r="B142" s="35" t="s">
        <v>156</v>
      </c>
      <c r="C142" s="161"/>
      <c r="D142" s="29" t="s">
        <v>22</v>
      </c>
      <c r="E142" s="75">
        <v>18</v>
      </c>
      <c r="F142" s="29"/>
      <c r="G142" s="30">
        <v>2500</v>
      </c>
      <c r="H142" s="29">
        <f t="shared" si="22"/>
        <v>0</v>
      </c>
      <c r="I142" s="29">
        <f t="shared" si="23"/>
        <v>45000</v>
      </c>
      <c r="J142" s="30">
        <f t="shared" si="21"/>
        <v>45000</v>
      </c>
      <c r="K142" s="357">
        <f t="shared" si="18"/>
        <v>0</v>
      </c>
      <c r="L142" s="357">
        <f t="shared" si="19"/>
        <v>0</v>
      </c>
      <c r="Y142" s="200"/>
      <c r="Z142" s="49"/>
    </row>
    <row r="143" spans="1:26" s="31" customFormat="1" outlineLevel="2" x14ac:dyDescent="0.3">
      <c r="A143" s="37"/>
      <c r="B143" s="30" t="s">
        <v>157</v>
      </c>
      <c r="C143" s="28"/>
      <c r="D143" s="29" t="s">
        <v>22</v>
      </c>
      <c r="E143" s="46">
        <v>139</v>
      </c>
      <c r="F143" s="29"/>
      <c r="G143" s="30">
        <v>495</v>
      </c>
      <c r="H143" s="29">
        <f t="shared" si="22"/>
        <v>0</v>
      </c>
      <c r="I143" s="29">
        <f t="shared" si="23"/>
        <v>68805</v>
      </c>
      <c r="J143" s="30">
        <f t="shared" si="21"/>
        <v>68805</v>
      </c>
      <c r="K143" s="357">
        <f t="shared" si="18"/>
        <v>0</v>
      </c>
      <c r="L143" s="357">
        <f t="shared" si="19"/>
        <v>0</v>
      </c>
      <c r="Y143" s="200"/>
      <c r="Z143" s="49"/>
    </row>
    <row r="144" spans="1:26" s="31" customFormat="1" outlineLevel="2" x14ac:dyDescent="0.3">
      <c r="A144" s="37"/>
      <c r="B144" s="30" t="s">
        <v>158</v>
      </c>
      <c r="C144" s="28"/>
      <c r="D144" s="29" t="s">
        <v>22</v>
      </c>
      <c r="E144" s="46">
        <v>2</v>
      </c>
      <c r="F144" s="29"/>
      <c r="G144" s="30">
        <v>280</v>
      </c>
      <c r="H144" s="29">
        <f t="shared" si="22"/>
        <v>0</v>
      </c>
      <c r="I144" s="29">
        <f t="shared" si="23"/>
        <v>560</v>
      </c>
      <c r="J144" s="30">
        <f t="shared" si="21"/>
        <v>560</v>
      </c>
      <c r="K144" s="357">
        <f t="shared" si="18"/>
        <v>0</v>
      </c>
      <c r="L144" s="357">
        <f t="shared" si="19"/>
        <v>0</v>
      </c>
      <c r="Y144" s="200"/>
      <c r="Z144" s="49"/>
    </row>
    <row r="145" spans="1:26" s="31" customFormat="1" outlineLevel="2" x14ac:dyDescent="0.3">
      <c r="A145" s="37"/>
      <c r="B145" s="30" t="s">
        <v>89</v>
      </c>
      <c r="C145" s="28"/>
      <c r="D145" s="29" t="s">
        <v>22</v>
      </c>
      <c r="E145" s="46">
        <v>6</v>
      </c>
      <c r="F145" s="29"/>
      <c r="G145" s="30">
        <v>177</v>
      </c>
      <c r="H145" s="29">
        <f t="shared" si="22"/>
        <v>0</v>
      </c>
      <c r="I145" s="29">
        <f t="shared" si="23"/>
        <v>1062</v>
      </c>
      <c r="J145" s="30">
        <f>H145+I145</f>
        <v>1062</v>
      </c>
      <c r="K145" s="357">
        <f t="shared" si="18"/>
        <v>0</v>
      </c>
      <c r="L145" s="357">
        <f t="shared" si="19"/>
        <v>0</v>
      </c>
      <c r="Y145" s="200"/>
      <c r="Z145" s="49"/>
    </row>
    <row r="146" spans="1:26" s="31" customFormat="1" outlineLevel="2" x14ac:dyDescent="0.3">
      <c r="A146" s="37"/>
      <c r="B146" s="30" t="s">
        <v>159</v>
      </c>
      <c r="C146" s="28"/>
      <c r="D146" s="29" t="s">
        <v>22</v>
      </c>
      <c r="E146" s="46">
        <v>17</v>
      </c>
      <c r="F146" s="29"/>
      <c r="G146" s="30">
        <v>310</v>
      </c>
      <c r="H146" s="29">
        <f t="shared" si="22"/>
        <v>0</v>
      </c>
      <c r="I146" s="29">
        <f t="shared" si="23"/>
        <v>5270</v>
      </c>
      <c r="J146" s="30">
        <f>H146+I146</f>
        <v>5270</v>
      </c>
      <c r="K146" s="357">
        <f t="shared" si="18"/>
        <v>0</v>
      </c>
      <c r="L146" s="357">
        <f t="shared" si="19"/>
        <v>0</v>
      </c>
      <c r="Y146" s="200"/>
      <c r="Z146" s="49"/>
    </row>
    <row r="147" spans="1:26" s="31" customFormat="1" outlineLevel="2" x14ac:dyDescent="0.3">
      <c r="A147" s="37"/>
      <c r="B147" s="94" t="s">
        <v>160</v>
      </c>
      <c r="C147" s="83"/>
      <c r="D147" s="29" t="s">
        <v>22</v>
      </c>
      <c r="E147" s="46">
        <v>0</v>
      </c>
      <c r="F147" s="29"/>
      <c r="G147" s="30">
        <v>631</v>
      </c>
      <c r="H147" s="29">
        <f t="shared" si="22"/>
        <v>0</v>
      </c>
      <c r="I147" s="29">
        <f t="shared" si="23"/>
        <v>0</v>
      </c>
      <c r="J147" s="30">
        <f t="shared" si="21"/>
        <v>0</v>
      </c>
      <c r="K147" s="357">
        <f t="shared" si="18"/>
        <v>0</v>
      </c>
      <c r="L147" s="357">
        <f t="shared" si="19"/>
        <v>0</v>
      </c>
      <c r="Y147" s="200"/>
      <c r="Z147" s="49"/>
    </row>
    <row r="148" spans="1:26" s="31" customFormat="1" outlineLevel="2" x14ac:dyDescent="0.3">
      <c r="A148" s="37"/>
      <c r="B148" s="94" t="s">
        <v>90</v>
      </c>
      <c r="C148" s="83"/>
      <c r="D148" s="29" t="s">
        <v>22</v>
      </c>
      <c r="E148" s="46">
        <v>21</v>
      </c>
      <c r="F148" s="29"/>
      <c r="G148" s="30">
        <v>386</v>
      </c>
      <c r="H148" s="29">
        <f t="shared" si="22"/>
        <v>0</v>
      </c>
      <c r="I148" s="29">
        <f t="shared" si="23"/>
        <v>8106</v>
      </c>
      <c r="J148" s="30">
        <f t="shared" si="21"/>
        <v>8106</v>
      </c>
      <c r="K148" s="357">
        <f t="shared" ref="K148:K211" si="24">IF(H148&gt;0,Z148,0)</f>
        <v>0</v>
      </c>
      <c r="L148" s="357">
        <f t="shared" ref="L148:L211" si="25">IF(I148&gt;0,Z148,0)</f>
        <v>0</v>
      </c>
      <c r="Y148" s="200"/>
      <c r="Z148" s="49"/>
    </row>
    <row r="149" spans="1:26" s="31" customFormat="1" outlineLevel="2" x14ac:dyDescent="0.3">
      <c r="A149" s="37"/>
      <c r="B149" s="94" t="s">
        <v>161</v>
      </c>
      <c r="C149" s="83"/>
      <c r="D149" s="29" t="s">
        <v>22</v>
      </c>
      <c r="E149" s="46">
        <v>6</v>
      </c>
      <c r="F149" s="29"/>
      <c r="G149" s="30">
        <v>2139</v>
      </c>
      <c r="H149" s="29">
        <f t="shared" si="22"/>
        <v>0</v>
      </c>
      <c r="I149" s="29">
        <f t="shared" si="23"/>
        <v>12834</v>
      </c>
      <c r="J149" s="30">
        <f t="shared" si="21"/>
        <v>12834</v>
      </c>
      <c r="K149" s="357">
        <f t="shared" si="24"/>
        <v>0</v>
      </c>
      <c r="L149" s="357">
        <f t="shared" si="25"/>
        <v>0</v>
      </c>
      <c r="Y149" s="200"/>
      <c r="Z149" s="49"/>
    </row>
    <row r="150" spans="1:26" s="31" customFormat="1" outlineLevel="2" x14ac:dyDescent="0.3">
      <c r="A150" s="37"/>
      <c r="B150" s="94" t="s">
        <v>162</v>
      </c>
      <c r="C150" s="83"/>
      <c r="D150" s="45" t="s">
        <v>22</v>
      </c>
      <c r="E150" s="46">
        <v>30</v>
      </c>
      <c r="F150" s="29"/>
      <c r="G150" s="30">
        <v>454</v>
      </c>
      <c r="H150" s="29">
        <f t="shared" si="22"/>
        <v>0</v>
      </c>
      <c r="I150" s="29">
        <f t="shared" si="23"/>
        <v>13620</v>
      </c>
      <c r="J150" s="30">
        <f t="shared" si="21"/>
        <v>13620</v>
      </c>
      <c r="K150" s="357">
        <f t="shared" si="24"/>
        <v>0</v>
      </c>
      <c r="L150" s="357">
        <f t="shared" si="25"/>
        <v>0</v>
      </c>
      <c r="Y150" s="200"/>
      <c r="Z150" s="49"/>
    </row>
    <row r="151" spans="1:26" s="31" customFormat="1" outlineLevel="2" x14ac:dyDescent="0.3">
      <c r="A151" s="37"/>
      <c r="B151" s="94" t="s">
        <v>163</v>
      </c>
      <c r="C151" s="83"/>
      <c r="D151" s="45" t="s">
        <v>40</v>
      </c>
      <c r="E151" s="46">
        <v>235.68</v>
      </c>
      <c r="F151" s="29"/>
      <c r="G151" s="52">
        <v>36</v>
      </c>
      <c r="H151" s="29">
        <f t="shared" si="22"/>
        <v>0</v>
      </c>
      <c r="I151" s="29">
        <f t="shared" si="23"/>
        <v>8484.48</v>
      </c>
      <c r="J151" s="30">
        <f t="shared" si="21"/>
        <v>8484.48</v>
      </c>
      <c r="K151" s="357">
        <f t="shared" si="24"/>
        <v>0</v>
      </c>
      <c r="L151" s="357">
        <f t="shared" si="25"/>
        <v>0</v>
      </c>
      <c r="Y151" s="200"/>
      <c r="Z151" s="49"/>
    </row>
    <row r="152" spans="1:26" s="31" customFormat="1" outlineLevel="2" x14ac:dyDescent="0.3">
      <c r="A152" s="37"/>
      <c r="B152" s="94" t="s">
        <v>164</v>
      </c>
      <c r="C152" s="83"/>
      <c r="D152" s="45" t="s">
        <v>40</v>
      </c>
      <c r="E152" s="46">
        <v>46.24</v>
      </c>
      <c r="F152" s="28"/>
      <c r="G152" s="52">
        <v>33</v>
      </c>
      <c r="H152" s="29">
        <f t="shared" si="22"/>
        <v>0</v>
      </c>
      <c r="I152" s="29">
        <f t="shared" si="23"/>
        <v>1525.92</v>
      </c>
      <c r="J152" s="30">
        <f>H152+I152</f>
        <v>1525.92</v>
      </c>
      <c r="K152" s="357">
        <f t="shared" si="24"/>
        <v>0</v>
      </c>
      <c r="L152" s="357">
        <f t="shared" si="25"/>
        <v>0</v>
      </c>
      <c r="N152" s="25"/>
      <c r="O152" s="25"/>
      <c r="Q152" s="25"/>
      <c r="R152" s="25"/>
      <c r="T152" s="25"/>
      <c r="U152" s="25"/>
      <c r="W152" s="25"/>
      <c r="Y152" s="200"/>
      <c r="Z152" s="49"/>
    </row>
    <row r="153" spans="1:26" s="31" customFormat="1" outlineLevel="2" x14ac:dyDescent="0.3">
      <c r="A153" s="37"/>
      <c r="B153" s="94" t="s">
        <v>165</v>
      </c>
      <c r="C153" s="83"/>
      <c r="D153" s="45" t="s">
        <v>40</v>
      </c>
      <c r="E153" s="46">
        <v>781.2299999999999</v>
      </c>
      <c r="F153" s="29"/>
      <c r="G153" s="52">
        <v>33</v>
      </c>
      <c r="H153" s="29">
        <f t="shared" si="22"/>
        <v>0</v>
      </c>
      <c r="I153" s="29">
        <f t="shared" si="23"/>
        <v>25780.589999999997</v>
      </c>
      <c r="J153" s="30">
        <f t="shared" si="21"/>
        <v>25780.589999999997</v>
      </c>
      <c r="K153" s="357">
        <f t="shared" si="24"/>
        <v>0</v>
      </c>
      <c r="L153" s="357">
        <f t="shared" si="25"/>
        <v>0</v>
      </c>
      <c r="N153" s="25"/>
      <c r="O153" s="25"/>
      <c r="Q153" s="25"/>
      <c r="R153" s="25"/>
      <c r="T153" s="25"/>
      <c r="U153" s="25"/>
      <c r="W153" s="25"/>
      <c r="Y153" s="200"/>
      <c r="Z153" s="49"/>
    </row>
    <row r="154" spans="1:26" s="31" customFormat="1" outlineLevel="2" x14ac:dyDescent="0.3">
      <c r="A154" s="26" t="s">
        <v>144</v>
      </c>
      <c r="B154" s="27" t="s">
        <v>166</v>
      </c>
      <c r="C154" s="161"/>
      <c r="D154" s="92" t="s">
        <v>25</v>
      </c>
      <c r="E154" s="28">
        <f>'[1]41'!D154</f>
        <v>78.400000000000006</v>
      </c>
      <c r="F154" s="28">
        <f>1500+1500*0.08</f>
        <v>1620</v>
      </c>
      <c r="G154" s="30"/>
      <c r="H154" s="29">
        <f t="shared" si="22"/>
        <v>127008.00000000001</v>
      </c>
      <c r="I154" s="29">
        <f t="shared" si="23"/>
        <v>0</v>
      </c>
      <c r="J154" s="30">
        <f t="shared" si="21"/>
        <v>127008.00000000001</v>
      </c>
      <c r="K154" s="357">
        <f t="shared" si="24"/>
        <v>0</v>
      </c>
      <c r="L154" s="357">
        <f t="shared" si="25"/>
        <v>0</v>
      </c>
      <c r="N154" s="25"/>
      <c r="O154" s="25"/>
      <c r="Q154" s="25"/>
      <c r="R154" s="25"/>
      <c r="T154" s="25"/>
      <c r="U154" s="25"/>
      <c r="W154" s="25"/>
      <c r="Y154" s="200"/>
      <c r="Z154" s="49"/>
    </row>
    <row r="155" spans="1:26" s="31" customFormat="1" outlineLevel="2" x14ac:dyDescent="0.3">
      <c r="A155" s="37"/>
      <c r="B155" s="30" t="s">
        <v>167</v>
      </c>
      <c r="C155" s="28"/>
      <c r="D155" s="29" t="s">
        <v>25</v>
      </c>
      <c r="E155" s="75">
        <f>E154*1.05</f>
        <v>82.320000000000007</v>
      </c>
      <c r="F155" s="29"/>
      <c r="G155" s="30">
        <v>3450</v>
      </c>
      <c r="H155" s="29">
        <f t="shared" si="22"/>
        <v>0</v>
      </c>
      <c r="I155" s="29">
        <f t="shared" si="23"/>
        <v>284004</v>
      </c>
      <c r="J155" s="30">
        <f t="shared" si="21"/>
        <v>284004</v>
      </c>
      <c r="K155" s="357">
        <f t="shared" si="24"/>
        <v>0</v>
      </c>
      <c r="L155" s="357">
        <f t="shared" si="25"/>
        <v>0</v>
      </c>
      <c r="N155" s="25"/>
      <c r="O155" s="25"/>
      <c r="Q155" s="25"/>
      <c r="R155" s="25"/>
      <c r="T155" s="25"/>
      <c r="U155" s="25"/>
      <c r="W155" s="25"/>
      <c r="Y155" s="200"/>
      <c r="Z155" s="49"/>
    </row>
    <row r="156" spans="1:26" s="31" customFormat="1" outlineLevel="2" x14ac:dyDescent="0.3">
      <c r="A156" s="37"/>
      <c r="B156" s="30" t="s">
        <v>146</v>
      </c>
      <c r="C156" s="28"/>
      <c r="D156" s="29" t="s">
        <v>25</v>
      </c>
      <c r="E156" s="29">
        <f>ROUND(0.23*E154,2)</f>
        <v>18.03</v>
      </c>
      <c r="F156" s="29"/>
      <c r="G156" s="30">
        <v>2500</v>
      </c>
      <c r="H156" s="29">
        <f t="shared" si="22"/>
        <v>0</v>
      </c>
      <c r="I156" s="29">
        <f t="shared" si="23"/>
        <v>45075</v>
      </c>
      <c r="J156" s="30">
        <f t="shared" si="21"/>
        <v>45075</v>
      </c>
      <c r="K156" s="357">
        <f t="shared" si="24"/>
        <v>0</v>
      </c>
      <c r="L156" s="357">
        <f t="shared" si="25"/>
        <v>0</v>
      </c>
      <c r="N156" s="25"/>
      <c r="O156" s="25"/>
      <c r="Q156" s="25"/>
      <c r="R156" s="25"/>
      <c r="T156" s="25"/>
      <c r="U156" s="25"/>
      <c r="W156" s="25"/>
      <c r="Y156" s="200"/>
      <c r="Z156" s="49"/>
    </row>
    <row r="157" spans="1:26" s="31" customFormat="1" ht="32.25" customHeight="1" outlineLevel="2" x14ac:dyDescent="0.3">
      <c r="A157" s="26" t="s">
        <v>147</v>
      </c>
      <c r="B157" s="27" t="s">
        <v>168</v>
      </c>
      <c r="C157" s="161"/>
      <c r="D157" s="95" t="s">
        <v>38</v>
      </c>
      <c r="E157" s="28">
        <v>580</v>
      </c>
      <c r="F157" s="28">
        <f>300+300*0.08</f>
        <v>324</v>
      </c>
      <c r="G157" s="30"/>
      <c r="H157" s="29">
        <f t="shared" si="22"/>
        <v>187920</v>
      </c>
      <c r="I157" s="29">
        <f t="shared" si="23"/>
        <v>0</v>
      </c>
      <c r="J157" s="30">
        <f t="shared" si="21"/>
        <v>187920</v>
      </c>
      <c r="K157" s="357">
        <f t="shared" si="24"/>
        <v>0</v>
      </c>
      <c r="L157" s="357">
        <f t="shared" si="25"/>
        <v>0</v>
      </c>
      <c r="N157" s="25"/>
      <c r="O157" s="25"/>
      <c r="Q157" s="25"/>
      <c r="R157" s="25"/>
      <c r="T157" s="25"/>
      <c r="U157" s="25"/>
      <c r="W157" s="25"/>
      <c r="Y157" s="200"/>
      <c r="Z157" s="49"/>
    </row>
    <row r="158" spans="1:26" s="31" customFormat="1" ht="31.2" outlineLevel="2" x14ac:dyDescent="0.3">
      <c r="A158" s="37"/>
      <c r="B158" s="30" t="s">
        <v>169</v>
      </c>
      <c r="C158" s="28"/>
      <c r="D158" s="29" t="s">
        <v>22</v>
      </c>
      <c r="E158" s="29">
        <f>E157*3</f>
        <v>1740</v>
      </c>
      <c r="F158" s="29"/>
      <c r="G158" s="42">
        <v>129</v>
      </c>
      <c r="H158" s="29">
        <f t="shared" si="22"/>
        <v>0</v>
      </c>
      <c r="I158" s="29">
        <f t="shared" si="23"/>
        <v>224460</v>
      </c>
      <c r="J158" s="30">
        <f t="shared" si="21"/>
        <v>224460</v>
      </c>
      <c r="K158" s="357">
        <f t="shared" si="24"/>
        <v>0</v>
      </c>
      <c r="L158" s="357">
        <f t="shared" si="25"/>
        <v>0</v>
      </c>
      <c r="N158" s="25"/>
      <c r="O158" s="25"/>
      <c r="Q158" s="25"/>
      <c r="R158" s="25"/>
      <c r="T158" s="25"/>
      <c r="U158" s="25"/>
      <c r="W158" s="25"/>
      <c r="Y158" s="200"/>
      <c r="Z158" s="49"/>
    </row>
    <row r="159" spans="1:26" s="31" customFormat="1" outlineLevel="2" x14ac:dyDescent="0.3">
      <c r="A159" s="37"/>
      <c r="B159" s="30" t="s">
        <v>170</v>
      </c>
      <c r="C159" s="28"/>
      <c r="D159" s="29" t="s">
        <v>22</v>
      </c>
      <c r="E159" s="29">
        <f>E157*0.75</f>
        <v>435</v>
      </c>
      <c r="F159" s="29"/>
      <c r="G159" s="30">
        <v>2.79</v>
      </c>
      <c r="H159" s="29">
        <f t="shared" si="22"/>
        <v>0</v>
      </c>
      <c r="I159" s="29">
        <f t="shared" si="23"/>
        <v>1213.6500000000001</v>
      </c>
      <c r="J159" s="30">
        <f t="shared" si="21"/>
        <v>1213.6500000000001</v>
      </c>
      <c r="K159" s="357">
        <f t="shared" si="24"/>
        <v>0</v>
      </c>
      <c r="L159" s="357">
        <f t="shared" si="25"/>
        <v>0</v>
      </c>
      <c r="N159" s="25"/>
      <c r="O159" s="25"/>
      <c r="Q159" s="25"/>
      <c r="R159" s="25"/>
      <c r="T159" s="25"/>
      <c r="U159" s="25"/>
      <c r="W159" s="25"/>
      <c r="Y159" s="200"/>
      <c r="Z159" s="49"/>
    </row>
    <row r="160" spans="1:26" s="31" customFormat="1" ht="15.75" customHeight="1" outlineLevel="2" x14ac:dyDescent="0.3">
      <c r="A160" s="37"/>
      <c r="B160" s="30" t="s">
        <v>171</v>
      </c>
      <c r="C160" s="28"/>
      <c r="D160" s="29" t="s">
        <v>172</v>
      </c>
      <c r="E160" s="29">
        <f>E157*0.026</f>
        <v>15.08</v>
      </c>
      <c r="F160" s="29"/>
      <c r="G160" s="30">
        <v>110</v>
      </c>
      <c r="H160" s="29">
        <f t="shared" si="22"/>
        <v>0</v>
      </c>
      <c r="I160" s="29">
        <f t="shared" si="23"/>
        <v>1658.8</v>
      </c>
      <c r="J160" s="30">
        <f t="shared" si="21"/>
        <v>1658.8</v>
      </c>
      <c r="K160" s="357">
        <f t="shared" si="24"/>
        <v>0</v>
      </c>
      <c r="L160" s="357">
        <f t="shared" si="25"/>
        <v>0</v>
      </c>
      <c r="N160" s="25"/>
      <c r="O160" s="25"/>
      <c r="Q160" s="25"/>
      <c r="R160" s="25"/>
      <c r="T160" s="25"/>
      <c r="U160" s="25"/>
      <c r="W160" s="25"/>
      <c r="Y160" s="200"/>
      <c r="Z160" s="49"/>
    </row>
    <row r="161" spans="1:26" s="31" customFormat="1" outlineLevel="2" x14ac:dyDescent="0.3">
      <c r="B161" s="30" t="s">
        <v>173</v>
      </c>
      <c r="C161" s="28"/>
      <c r="D161" s="29" t="s">
        <v>40</v>
      </c>
      <c r="E161" s="29">
        <f>E157*2</f>
        <v>1160</v>
      </c>
      <c r="F161" s="29"/>
      <c r="G161" s="30">
        <v>8.9700000000000006</v>
      </c>
      <c r="H161" s="29">
        <f t="shared" si="22"/>
        <v>0</v>
      </c>
      <c r="I161" s="29">
        <f t="shared" si="23"/>
        <v>10405.200000000001</v>
      </c>
      <c r="J161" s="30">
        <f t="shared" si="21"/>
        <v>10405.200000000001</v>
      </c>
      <c r="K161" s="357">
        <f t="shared" si="24"/>
        <v>0</v>
      </c>
      <c r="L161" s="357">
        <f t="shared" si="25"/>
        <v>0</v>
      </c>
      <c r="N161" s="25"/>
      <c r="O161" s="25"/>
      <c r="Q161" s="25"/>
      <c r="R161" s="25"/>
      <c r="T161" s="25"/>
      <c r="U161" s="25"/>
      <c r="W161" s="25"/>
      <c r="Y161" s="200"/>
      <c r="Z161" s="49"/>
    </row>
    <row r="162" spans="1:26" s="31" customFormat="1" outlineLevel="2" x14ac:dyDescent="0.3">
      <c r="A162" s="26" t="s">
        <v>174</v>
      </c>
      <c r="B162" s="27" t="s">
        <v>175</v>
      </c>
      <c r="C162" s="161"/>
      <c r="D162" s="95" t="s">
        <v>38</v>
      </c>
      <c r="E162" s="28">
        <v>377</v>
      </c>
      <c r="F162" s="28">
        <f>F157</f>
        <v>324</v>
      </c>
      <c r="G162" s="30"/>
      <c r="H162" s="29">
        <f t="shared" si="22"/>
        <v>122148</v>
      </c>
      <c r="I162" s="29">
        <f t="shared" si="23"/>
        <v>0</v>
      </c>
      <c r="J162" s="30">
        <f t="shared" si="21"/>
        <v>122148</v>
      </c>
      <c r="K162" s="357">
        <f t="shared" si="24"/>
        <v>0</v>
      </c>
      <c r="L162" s="357">
        <f t="shared" si="25"/>
        <v>0</v>
      </c>
      <c r="N162" s="25"/>
      <c r="O162" s="25"/>
      <c r="Q162" s="25"/>
      <c r="R162" s="25"/>
      <c r="T162" s="25"/>
      <c r="U162" s="25"/>
      <c r="W162" s="25"/>
      <c r="Y162" s="200"/>
      <c r="Z162" s="49"/>
    </row>
    <row r="163" spans="1:26" s="31" customFormat="1" outlineLevel="2" x14ac:dyDescent="0.3">
      <c r="A163" s="37"/>
      <c r="B163" s="30" t="s">
        <v>176</v>
      </c>
      <c r="C163" s="28"/>
      <c r="D163" s="29" t="s">
        <v>22</v>
      </c>
      <c r="E163" s="29">
        <f>E162*3</f>
        <v>1131</v>
      </c>
      <c r="F163" s="29"/>
      <c r="G163" s="42">
        <v>150</v>
      </c>
      <c r="H163" s="29">
        <f t="shared" si="22"/>
        <v>0</v>
      </c>
      <c r="I163" s="29">
        <f t="shared" si="23"/>
        <v>169650</v>
      </c>
      <c r="J163" s="30">
        <f t="shared" si="21"/>
        <v>169650</v>
      </c>
      <c r="K163" s="357">
        <f t="shared" si="24"/>
        <v>0</v>
      </c>
      <c r="L163" s="357">
        <f t="shared" si="25"/>
        <v>0</v>
      </c>
      <c r="N163" s="25"/>
      <c r="O163" s="25"/>
      <c r="Q163" s="25"/>
      <c r="R163" s="25"/>
      <c r="T163" s="25"/>
      <c r="U163" s="25"/>
      <c r="W163" s="25"/>
      <c r="Y163" s="200"/>
      <c r="Z163" s="49"/>
    </row>
    <row r="164" spans="1:26" s="31" customFormat="1" outlineLevel="2" x14ac:dyDescent="0.3">
      <c r="A164" s="37"/>
      <c r="B164" s="30" t="s">
        <v>170</v>
      </c>
      <c r="C164" s="28"/>
      <c r="D164" s="29" t="s">
        <v>22</v>
      </c>
      <c r="E164" s="29">
        <f>E162*0.75</f>
        <v>282.75</v>
      </c>
      <c r="F164" s="29"/>
      <c r="G164" s="30">
        <v>2.79</v>
      </c>
      <c r="H164" s="29">
        <f t="shared" si="22"/>
        <v>0</v>
      </c>
      <c r="I164" s="29">
        <f t="shared" si="23"/>
        <v>788.87250000000006</v>
      </c>
      <c r="J164" s="30">
        <f t="shared" si="21"/>
        <v>788.87250000000006</v>
      </c>
      <c r="K164" s="357">
        <f t="shared" si="24"/>
        <v>0</v>
      </c>
      <c r="L164" s="357">
        <f t="shared" si="25"/>
        <v>0</v>
      </c>
      <c r="N164" s="25"/>
      <c r="O164" s="25"/>
      <c r="Q164" s="25"/>
      <c r="R164" s="25"/>
      <c r="T164" s="25"/>
      <c r="U164" s="25"/>
      <c r="W164" s="25"/>
      <c r="Y164" s="200"/>
      <c r="Z164" s="49"/>
    </row>
    <row r="165" spans="1:26" s="31" customFormat="1" outlineLevel="2" x14ac:dyDescent="0.3">
      <c r="A165" s="37"/>
      <c r="B165" s="30" t="s">
        <v>171</v>
      </c>
      <c r="C165" s="28"/>
      <c r="D165" s="29" t="s">
        <v>172</v>
      </c>
      <c r="E165" s="29">
        <f>E162*0.026</f>
        <v>9.8019999999999996</v>
      </c>
      <c r="F165" s="29"/>
      <c r="G165" s="30">
        <v>110</v>
      </c>
      <c r="H165" s="29">
        <f t="shared" si="22"/>
        <v>0</v>
      </c>
      <c r="I165" s="29">
        <f t="shared" si="23"/>
        <v>1078.22</v>
      </c>
      <c r="J165" s="30">
        <f t="shared" si="21"/>
        <v>1078.22</v>
      </c>
      <c r="K165" s="357">
        <f t="shared" si="24"/>
        <v>0</v>
      </c>
      <c r="L165" s="357">
        <f t="shared" si="25"/>
        <v>0</v>
      </c>
      <c r="N165" s="25"/>
      <c r="O165" s="25"/>
      <c r="Q165" s="25"/>
      <c r="R165" s="25"/>
      <c r="T165" s="25"/>
      <c r="U165" s="25"/>
      <c r="W165" s="25"/>
      <c r="Y165" s="200"/>
      <c r="Z165" s="49"/>
    </row>
    <row r="166" spans="1:26" s="31" customFormat="1" outlineLevel="2" x14ac:dyDescent="0.3">
      <c r="A166" s="37"/>
      <c r="B166" s="30" t="s">
        <v>173</v>
      </c>
      <c r="C166" s="28"/>
      <c r="D166" s="29" t="s">
        <v>40</v>
      </c>
      <c r="E166" s="29">
        <f>E162*2</f>
        <v>754</v>
      </c>
      <c r="F166" s="29"/>
      <c r="G166" s="30">
        <v>8.9700000000000006</v>
      </c>
      <c r="H166" s="29">
        <f t="shared" si="22"/>
        <v>0</v>
      </c>
      <c r="I166" s="29">
        <f t="shared" si="23"/>
        <v>6763.38</v>
      </c>
      <c r="J166" s="30">
        <f t="shared" si="21"/>
        <v>6763.38</v>
      </c>
      <c r="K166" s="357">
        <f t="shared" si="24"/>
        <v>0</v>
      </c>
      <c r="L166" s="357">
        <f t="shared" si="25"/>
        <v>0</v>
      </c>
      <c r="N166" s="25"/>
      <c r="O166" s="25"/>
      <c r="Q166" s="25"/>
      <c r="R166" s="25"/>
      <c r="T166" s="25"/>
      <c r="U166" s="25"/>
      <c r="W166" s="25"/>
      <c r="Y166" s="200"/>
      <c r="Z166" s="49"/>
    </row>
    <row r="167" spans="1:26" s="31" customFormat="1" outlineLevel="2" x14ac:dyDescent="0.3">
      <c r="A167" s="26" t="s">
        <v>177</v>
      </c>
      <c r="B167" s="27" t="s">
        <v>178</v>
      </c>
      <c r="C167" s="161"/>
      <c r="D167" s="92" t="s">
        <v>25</v>
      </c>
      <c r="E167" s="28">
        <f>'[1]41'!D167</f>
        <v>2.58</v>
      </c>
      <c r="F167" s="28">
        <f>F154</f>
        <v>1620</v>
      </c>
      <c r="G167" s="30"/>
      <c r="H167" s="29">
        <f t="shared" si="22"/>
        <v>4179.6000000000004</v>
      </c>
      <c r="I167" s="29">
        <f t="shared" si="23"/>
        <v>0</v>
      </c>
      <c r="J167" s="30">
        <f t="shared" si="21"/>
        <v>4179.6000000000004</v>
      </c>
      <c r="K167" s="357">
        <f t="shared" si="24"/>
        <v>0</v>
      </c>
      <c r="L167" s="357">
        <f t="shared" si="25"/>
        <v>0</v>
      </c>
      <c r="N167" s="25"/>
      <c r="O167" s="25"/>
      <c r="Q167" s="25"/>
      <c r="R167" s="25"/>
      <c r="T167" s="25"/>
      <c r="U167" s="25"/>
      <c r="W167" s="25"/>
      <c r="Y167" s="200"/>
      <c r="Z167" s="49"/>
    </row>
    <row r="168" spans="1:26" s="31" customFormat="1" outlineLevel="2" x14ac:dyDescent="0.3">
      <c r="A168" s="37"/>
      <c r="B168" s="30" t="s">
        <v>167</v>
      </c>
      <c r="C168" s="28"/>
      <c r="D168" s="29" t="s">
        <v>25</v>
      </c>
      <c r="E168" s="75">
        <f>E167*1.05</f>
        <v>2.7090000000000001</v>
      </c>
      <c r="F168" s="29"/>
      <c r="G168" s="30">
        <v>3450</v>
      </c>
      <c r="H168" s="29">
        <f t="shared" si="22"/>
        <v>0</v>
      </c>
      <c r="I168" s="29">
        <f t="shared" si="23"/>
        <v>9346.0500000000011</v>
      </c>
      <c r="J168" s="30">
        <f t="shared" si="21"/>
        <v>9346.0500000000011</v>
      </c>
      <c r="K168" s="357">
        <f t="shared" si="24"/>
        <v>0</v>
      </c>
      <c r="L168" s="357">
        <f t="shared" si="25"/>
        <v>0</v>
      </c>
      <c r="N168" s="25"/>
      <c r="O168" s="25"/>
      <c r="Q168" s="25"/>
      <c r="R168" s="25"/>
      <c r="T168" s="25"/>
      <c r="U168" s="25"/>
      <c r="W168" s="25"/>
      <c r="Y168" s="200"/>
      <c r="Z168" s="49"/>
    </row>
    <row r="169" spans="1:26" s="31" customFormat="1" outlineLevel="2" x14ac:dyDescent="0.3">
      <c r="A169" s="37"/>
      <c r="B169" s="30" t="s">
        <v>146</v>
      </c>
      <c r="C169" s="28"/>
      <c r="D169" s="29" t="s">
        <v>25</v>
      </c>
      <c r="E169" s="29">
        <f>ROUND(0.23*E167,2)</f>
        <v>0.59</v>
      </c>
      <c r="F169" s="29"/>
      <c r="G169" s="30">
        <v>2500</v>
      </c>
      <c r="H169" s="29">
        <f t="shared" si="22"/>
        <v>0</v>
      </c>
      <c r="I169" s="29">
        <f t="shared" si="23"/>
        <v>1475</v>
      </c>
      <c r="J169" s="30">
        <f t="shared" si="21"/>
        <v>1475</v>
      </c>
      <c r="K169" s="357">
        <f t="shared" si="24"/>
        <v>0</v>
      </c>
      <c r="L169" s="357">
        <f t="shared" si="25"/>
        <v>0</v>
      </c>
      <c r="N169" s="25"/>
      <c r="O169" s="25"/>
      <c r="Q169" s="25"/>
      <c r="R169" s="25"/>
      <c r="T169" s="25"/>
      <c r="U169" s="25"/>
      <c r="W169" s="25"/>
      <c r="Y169" s="200"/>
      <c r="Z169" s="49"/>
    </row>
    <row r="170" spans="1:26" s="31" customFormat="1" outlineLevel="1" x14ac:dyDescent="0.3">
      <c r="A170" s="89" t="s">
        <v>179</v>
      </c>
      <c r="B170" s="53" t="s">
        <v>180</v>
      </c>
      <c r="C170" s="83"/>
      <c r="D170" s="83" t="s">
        <v>34</v>
      </c>
      <c r="E170" s="84">
        <v>0</v>
      </c>
      <c r="F170" s="28">
        <v>15000</v>
      </c>
      <c r="G170" s="50"/>
      <c r="H170" s="29">
        <f t="shared" si="22"/>
        <v>0</v>
      </c>
      <c r="I170" s="29">
        <f t="shared" si="23"/>
        <v>0</v>
      </c>
      <c r="J170" s="30">
        <f>H170+I170</f>
        <v>0</v>
      </c>
      <c r="K170" s="357">
        <f t="shared" si="24"/>
        <v>0</v>
      </c>
      <c r="L170" s="357">
        <f t="shared" si="25"/>
        <v>0</v>
      </c>
      <c r="Y170" s="200"/>
      <c r="Z170" s="49"/>
    </row>
    <row r="171" spans="1:26" s="31" customFormat="1" outlineLevel="1" x14ac:dyDescent="0.3">
      <c r="A171" s="96"/>
      <c r="B171" s="94" t="s">
        <v>181</v>
      </c>
      <c r="C171" s="83"/>
      <c r="D171" s="45" t="s">
        <v>34</v>
      </c>
      <c r="E171" s="46">
        <v>0</v>
      </c>
      <c r="F171" s="28"/>
      <c r="G171" s="30">
        <v>32000</v>
      </c>
      <c r="H171" s="29">
        <f t="shared" si="22"/>
        <v>0</v>
      </c>
      <c r="I171" s="29">
        <f t="shared" si="23"/>
        <v>0</v>
      </c>
      <c r="J171" s="30">
        <f>H171+I171</f>
        <v>0</v>
      </c>
      <c r="K171" s="357">
        <f t="shared" si="24"/>
        <v>0</v>
      </c>
      <c r="L171" s="357">
        <f t="shared" si="25"/>
        <v>0</v>
      </c>
      <c r="Y171" s="200"/>
      <c r="Z171" s="49"/>
    </row>
    <row r="172" spans="1:26" s="31" customFormat="1" outlineLevel="1" x14ac:dyDescent="0.3">
      <c r="A172" s="96"/>
      <c r="B172" s="94" t="s">
        <v>182</v>
      </c>
      <c r="C172" s="83"/>
      <c r="D172" s="45" t="s">
        <v>34</v>
      </c>
      <c r="E172" s="46">
        <v>0</v>
      </c>
      <c r="F172" s="28"/>
      <c r="G172" s="30">
        <v>32000</v>
      </c>
      <c r="H172" s="29">
        <f t="shared" si="22"/>
        <v>0</v>
      </c>
      <c r="I172" s="29">
        <f t="shared" si="23"/>
        <v>0</v>
      </c>
      <c r="J172" s="30">
        <f>H172+I172</f>
        <v>0</v>
      </c>
      <c r="K172" s="357">
        <f t="shared" si="24"/>
        <v>0</v>
      </c>
      <c r="L172" s="357">
        <f t="shared" si="25"/>
        <v>0</v>
      </c>
      <c r="Y172" s="200"/>
      <c r="Z172" s="49"/>
    </row>
    <row r="173" spans="1:26" s="31" customFormat="1" outlineLevel="1" x14ac:dyDescent="0.3">
      <c r="A173" s="96"/>
      <c r="B173" s="94" t="s">
        <v>183</v>
      </c>
      <c r="C173" s="83"/>
      <c r="D173" s="45" t="s">
        <v>34</v>
      </c>
      <c r="E173" s="46">
        <v>0</v>
      </c>
      <c r="F173" s="28"/>
      <c r="G173" s="30">
        <v>32000</v>
      </c>
      <c r="H173" s="29">
        <f t="shared" si="22"/>
        <v>0</v>
      </c>
      <c r="I173" s="29">
        <f t="shared" si="23"/>
        <v>0</v>
      </c>
      <c r="J173" s="30">
        <f>H173+I173</f>
        <v>0</v>
      </c>
      <c r="K173" s="357">
        <f t="shared" si="24"/>
        <v>0</v>
      </c>
      <c r="L173" s="357">
        <f t="shared" si="25"/>
        <v>0</v>
      </c>
      <c r="Y173" s="200"/>
      <c r="Z173" s="49"/>
    </row>
    <row r="174" spans="1:26" s="48" customFormat="1" outlineLevel="1" x14ac:dyDescent="0.3">
      <c r="A174" s="47"/>
      <c r="B174" s="59" t="s">
        <v>65</v>
      </c>
      <c r="C174" s="65"/>
      <c r="D174" s="60" t="s">
        <v>66</v>
      </c>
      <c r="E174" s="61">
        <f>'[1]41'!D174</f>
        <v>576</v>
      </c>
      <c r="F174" s="62">
        <v>1150</v>
      </c>
      <c r="G174" s="63"/>
      <c r="H174" s="29">
        <f t="shared" si="22"/>
        <v>662400</v>
      </c>
      <c r="I174" s="29">
        <f t="shared" si="23"/>
        <v>0</v>
      </c>
      <c r="J174" s="30">
        <f>H174+I174</f>
        <v>662400</v>
      </c>
      <c r="K174" s="357">
        <f t="shared" si="24"/>
        <v>0</v>
      </c>
      <c r="L174" s="357">
        <f t="shared" si="25"/>
        <v>0</v>
      </c>
      <c r="N174" s="49"/>
      <c r="O174" s="49"/>
      <c r="P174" s="49"/>
      <c r="Q174" s="49"/>
      <c r="R174" s="49"/>
      <c r="S174" s="49"/>
      <c r="T174" s="49"/>
      <c r="U174" s="49"/>
      <c r="V174" s="49"/>
      <c r="W174" s="49"/>
      <c r="X174" s="49"/>
      <c r="Y174" s="201"/>
      <c r="Z174" s="49"/>
    </row>
    <row r="175" spans="1:26" s="48" customFormat="1" outlineLevel="1" x14ac:dyDescent="0.3">
      <c r="A175" s="47"/>
      <c r="B175" s="64" t="s">
        <v>67</v>
      </c>
      <c r="C175" s="65"/>
      <c r="D175" s="60"/>
      <c r="E175" s="61"/>
      <c r="F175" s="62"/>
      <c r="G175" s="63"/>
      <c r="H175" s="65">
        <f>SUM(H120:H174)</f>
        <v>2480979.483</v>
      </c>
      <c r="I175" s="62"/>
      <c r="J175" s="66">
        <f>H175</f>
        <v>2480979.483</v>
      </c>
      <c r="K175" s="357">
        <f t="shared" si="24"/>
        <v>0</v>
      </c>
      <c r="L175" s="357">
        <f t="shared" si="25"/>
        <v>0</v>
      </c>
      <c r="N175" s="49"/>
      <c r="O175" s="49"/>
      <c r="P175" s="49"/>
      <c r="Q175" s="49"/>
      <c r="R175" s="49"/>
      <c r="S175" s="49"/>
      <c r="T175" s="49"/>
      <c r="U175" s="49"/>
      <c r="V175" s="49"/>
      <c r="W175" s="49"/>
      <c r="X175" s="49"/>
      <c r="Y175" s="201"/>
      <c r="Z175" s="49"/>
    </row>
    <row r="176" spans="1:26" s="48" customFormat="1" outlineLevel="1" x14ac:dyDescent="0.3">
      <c r="A176" s="47"/>
      <c r="B176" s="64" t="s">
        <v>68</v>
      </c>
      <c r="C176" s="65"/>
      <c r="D176" s="60"/>
      <c r="E176" s="61"/>
      <c r="F176" s="62"/>
      <c r="G176" s="63"/>
      <c r="H176" s="65"/>
      <c r="I176" s="65">
        <f>SUM(I120:I173)</f>
        <v>5045816.0386699997</v>
      </c>
      <c r="J176" s="66">
        <f>I176</f>
        <v>5045816.0386699997</v>
      </c>
      <c r="K176" s="357">
        <f t="shared" si="24"/>
        <v>0</v>
      </c>
      <c r="L176" s="357">
        <f t="shared" si="25"/>
        <v>0</v>
      </c>
      <c r="N176" s="49"/>
      <c r="O176" s="49"/>
      <c r="P176" s="49"/>
      <c r="Q176" s="49"/>
      <c r="R176" s="49"/>
      <c r="S176" s="49"/>
      <c r="T176" s="49"/>
      <c r="U176" s="49"/>
      <c r="V176" s="49"/>
      <c r="W176" s="49"/>
      <c r="X176" s="49"/>
      <c r="Y176" s="201"/>
      <c r="Z176" s="49"/>
    </row>
    <row r="177" spans="1:26" s="48" customFormat="1" outlineLevel="1" x14ac:dyDescent="0.3">
      <c r="A177" s="47"/>
      <c r="B177" s="64" t="s">
        <v>69</v>
      </c>
      <c r="C177" s="65"/>
      <c r="D177" s="60"/>
      <c r="E177" s="61"/>
      <c r="F177" s="62"/>
      <c r="G177" s="63"/>
      <c r="H177" s="65"/>
      <c r="I177" s="62"/>
      <c r="J177" s="66">
        <f>H177</f>
        <v>0</v>
      </c>
      <c r="K177" s="357">
        <f t="shared" si="24"/>
        <v>0</v>
      </c>
      <c r="L177" s="357">
        <f t="shared" si="25"/>
        <v>0</v>
      </c>
      <c r="N177" s="49"/>
      <c r="O177" s="49"/>
      <c r="P177" s="49"/>
      <c r="Q177" s="49"/>
      <c r="R177" s="49"/>
      <c r="S177" s="49"/>
      <c r="T177" s="49"/>
      <c r="U177" s="49"/>
      <c r="V177" s="49"/>
      <c r="W177" s="49"/>
      <c r="X177" s="49"/>
      <c r="Y177" s="201"/>
      <c r="Z177" s="49"/>
    </row>
    <row r="178" spans="1:26" s="48" customFormat="1" outlineLevel="1" x14ac:dyDescent="0.3">
      <c r="A178" s="47"/>
      <c r="B178" s="64" t="s">
        <v>70</v>
      </c>
      <c r="C178" s="65"/>
      <c r="D178" s="60"/>
      <c r="E178" s="61"/>
      <c r="F178" s="62"/>
      <c r="G178" s="63"/>
      <c r="H178" s="65"/>
      <c r="I178" s="62"/>
      <c r="J178" s="66">
        <f>H178</f>
        <v>0</v>
      </c>
      <c r="K178" s="357">
        <f t="shared" si="24"/>
        <v>0</v>
      </c>
      <c r="L178" s="357">
        <f t="shared" si="25"/>
        <v>0</v>
      </c>
      <c r="N178" s="49"/>
      <c r="O178" s="49"/>
      <c r="P178" s="49"/>
      <c r="Q178" s="49"/>
      <c r="R178" s="49"/>
      <c r="S178" s="49"/>
      <c r="T178" s="49"/>
      <c r="U178" s="49"/>
      <c r="V178" s="49"/>
      <c r="W178" s="49"/>
      <c r="X178" s="49"/>
      <c r="Y178" s="201"/>
      <c r="Z178" s="49"/>
    </row>
    <row r="179" spans="1:26" ht="24" customHeight="1" x14ac:dyDescent="0.3">
      <c r="A179" s="97" t="s">
        <v>832</v>
      </c>
      <c r="B179" s="98" t="s">
        <v>184</v>
      </c>
      <c r="C179" s="214"/>
      <c r="D179" s="99"/>
      <c r="E179" s="99"/>
      <c r="F179" s="99"/>
      <c r="G179" s="100"/>
      <c r="H179" s="99">
        <f>H175+H177+H178</f>
        <v>2480979.483</v>
      </c>
      <c r="I179" s="99">
        <f>I176</f>
        <v>5045816.0386699997</v>
      </c>
      <c r="J179" s="101">
        <f>J175+J176+J177+J178</f>
        <v>7526795.5216699997</v>
      </c>
      <c r="K179" s="357">
        <f t="shared" si="24"/>
        <v>0</v>
      </c>
      <c r="L179" s="357">
        <f t="shared" si="25"/>
        <v>0</v>
      </c>
      <c r="M179" s="31"/>
      <c r="N179" s="74"/>
      <c r="O179" s="74"/>
      <c r="Q179" s="74"/>
      <c r="R179" s="74"/>
      <c r="T179" s="74"/>
      <c r="U179" s="74"/>
      <c r="W179" s="74"/>
      <c r="Z179" s="49"/>
    </row>
    <row r="180" spans="1:26" s="25" customFormat="1" ht="15.6" customHeight="1" x14ac:dyDescent="0.3">
      <c r="A180" s="102"/>
      <c r="B180" s="72" t="s">
        <v>72</v>
      </c>
      <c r="C180" s="161"/>
      <c r="D180" s="39"/>
      <c r="E180" s="28"/>
      <c r="F180" s="28"/>
      <c r="G180" s="50"/>
      <c r="H180" s="28"/>
      <c r="I180" s="28"/>
      <c r="J180" s="28">
        <f>ROUND(J179/1.18*0.18,2)</f>
        <v>1148155.25</v>
      </c>
      <c r="K180" s="357">
        <f t="shared" si="24"/>
        <v>0</v>
      </c>
      <c r="L180" s="357">
        <f t="shared" si="25"/>
        <v>0</v>
      </c>
      <c r="Y180" s="201"/>
      <c r="Z180" s="49"/>
    </row>
    <row r="181" spans="1:26" s="25" customFormat="1" ht="21" customHeight="1" x14ac:dyDescent="0.3">
      <c r="A181" s="103"/>
      <c r="B181" s="90" t="s">
        <v>185</v>
      </c>
      <c r="C181" s="213"/>
      <c r="D181" s="23"/>
      <c r="E181" s="23"/>
      <c r="F181" s="23"/>
      <c r="G181" s="22"/>
      <c r="H181" s="23"/>
      <c r="I181" s="23"/>
      <c r="J181" s="24"/>
      <c r="K181" s="357">
        <f t="shared" si="24"/>
        <v>0</v>
      </c>
      <c r="L181" s="357">
        <f t="shared" si="25"/>
        <v>0</v>
      </c>
      <c r="Y181" s="201"/>
      <c r="Z181" s="49"/>
    </row>
    <row r="182" spans="1:26" s="25" customFormat="1" ht="15.6" customHeight="1" outlineLevel="1" x14ac:dyDescent="0.3">
      <c r="A182" s="26" t="s">
        <v>186</v>
      </c>
      <c r="B182" s="87" t="s">
        <v>107</v>
      </c>
      <c r="C182" s="212"/>
      <c r="D182" s="83" t="s">
        <v>22</v>
      </c>
      <c r="E182" s="84">
        <f>SUM(E183:E192)</f>
        <v>293</v>
      </c>
      <c r="F182" s="84">
        <v>350</v>
      </c>
      <c r="G182" s="52"/>
      <c r="H182" s="29">
        <f>F182*E182</f>
        <v>102550</v>
      </c>
      <c r="I182" s="30"/>
      <c r="J182" s="30">
        <f>H182+I182</f>
        <v>102550</v>
      </c>
      <c r="K182" s="357">
        <f t="shared" si="24"/>
        <v>0</v>
      </c>
      <c r="L182" s="357">
        <f t="shared" si="25"/>
        <v>0</v>
      </c>
      <c r="Y182" s="201"/>
      <c r="Z182" s="49"/>
    </row>
    <row r="183" spans="1:26" s="25" customFormat="1" ht="15.6" customHeight="1" outlineLevel="1" x14ac:dyDescent="0.3">
      <c r="A183" s="34"/>
      <c r="B183" s="86" t="s">
        <v>109</v>
      </c>
      <c r="C183" s="212"/>
      <c r="D183" s="29" t="s">
        <v>22</v>
      </c>
      <c r="E183" s="46">
        <v>6</v>
      </c>
      <c r="F183" s="28"/>
      <c r="G183" s="85">
        <v>15000</v>
      </c>
      <c r="H183" s="29">
        <f t="shared" ref="H183:H200" si="26">F183*E183</f>
        <v>0</v>
      </c>
      <c r="I183" s="29">
        <f>G183*E183</f>
        <v>90000</v>
      </c>
      <c r="J183" s="30">
        <f t="shared" ref="J183:J199" si="27">H183+I183</f>
        <v>90000</v>
      </c>
      <c r="K183" s="357">
        <f t="shared" si="24"/>
        <v>0</v>
      </c>
      <c r="L183" s="357">
        <f t="shared" si="25"/>
        <v>0</v>
      </c>
      <c r="N183" s="25">
        <f>M183*E183</f>
        <v>0</v>
      </c>
      <c r="Q183" s="25">
        <f>P183*G183</f>
        <v>0</v>
      </c>
      <c r="T183" s="25">
        <f>S183*I183</f>
        <v>0</v>
      </c>
      <c r="W183" s="25">
        <f>V183*M183</f>
        <v>0</v>
      </c>
      <c r="Y183" s="201"/>
      <c r="Z183" s="49"/>
    </row>
    <row r="184" spans="1:26" s="25" customFormat="1" ht="15.6" customHeight="1" outlineLevel="1" x14ac:dyDescent="0.3">
      <c r="A184" s="34"/>
      <c r="B184" s="86" t="s">
        <v>108</v>
      </c>
      <c r="C184" s="212"/>
      <c r="D184" s="29" t="s">
        <v>22</v>
      </c>
      <c r="E184" s="46">
        <v>84</v>
      </c>
      <c r="F184" s="28"/>
      <c r="G184" s="30">
        <v>12796</v>
      </c>
      <c r="H184" s="29">
        <f t="shared" si="26"/>
        <v>0</v>
      </c>
      <c r="I184" s="29">
        <f t="shared" ref="I184:I201" si="28">G184*E184</f>
        <v>1074864</v>
      </c>
      <c r="J184" s="30">
        <f t="shared" si="27"/>
        <v>1074864</v>
      </c>
      <c r="K184" s="357">
        <f t="shared" si="24"/>
        <v>0</v>
      </c>
      <c r="L184" s="357">
        <f t="shared" si="25"/>
        <v>0</v>
      </c>
      <c r="N184" s="25">
        <f t="shared" ref="N184:N190" si="29">M184*E184</f>
        <v>0</v>
      </c>
      <c r="Q184" s="25">
        <f>P184*G184</f>
        <v>0</v>
      </c>
      <c r="T184" s="25">
        <f>S184*I184</f>
        <v>0</v>
      </c>
      <c r="W184" s="25">
        <f>V184*M184</f>
        <v>0</v>
      </c>
      <c r="Y184" s="201"/>
      <c r="Z184" s="49"/>
    </row>
    <row r="185" spans="1:26" s="25" customFormat="1" ht="15.6" customHeight="1" outlineLevel="1" x14ac:dyDescent="0.3">
      <c r="A185" s="34"/>
      <c r="B185" s="86" t="s">
        <v>187</v>
      </c>
      <c r="C185" s="212"/>
      <c r="D185" s="29" t="s">
        <v>22</v>
      </c>
      <c r="E185" s="46">
        <v>12</v>
      </c>
      <c r="F185" s="28"/>
      <c r="G185" s="30">
        <v>10346.25</v>
      </c>
      <c r="H185" s="29">
        <f t="shared" si="26"/>
        <v>0</v>
      </c>
      <c r="I185" s="29">
        <f t="shared" si="28"/>
        <v>124155</v>
      </c>
      <c r="J185" s="30">
        <f t="shared" si="27"/>
        <v>124155</v>
      </c>
      <c r="K185" s="357">
        <f t="shared" si="24"/>
        <v>0</v>
      </c>
      <c r="L185" s="357">
        <f t="shared" si="25"/>
        <v>0</v>
      </c>
      <c r="N185" s="25">
        <f t="shared" si="29"/>
        <v>0</v>
      </c>
      <c r="Q185" s="25">
        <f>P185*G185</f>
        <v>0</v>
      </c>
      <c r="T185" s="25">
        <f>S185*I185</f>
        <v>0</v>
      </c>
      <c r="W185" s="25">
        <f>V185*M185</f>
        <v>0</v>
      </c>
      <c r="Y185" s="201"/>
      <c r="Z185" s="49"/>
    </row>
    <row r="186" spans="1:26" s="25" customFormat="1" ht="15.6" customHeight="1" outlineLevel="1" x14ac:dyDescent="0.3">
      <c r="A186" s="34"/>
      <c r="B186" s="86" t="s">
        <v>188</v>
      </c>
      <c r="C186" s="212"/>
      <c r="D186" s="29" t="s">
        <v>22</v>
      </c>
      <c r="E186" s="46">
        <v>18</v>
      </c>
      <c r="F186" s="28"/>
      <c r="G186" s="85">
        <v>9478.9</v>
      </c>
      <c r="H186" s="29">
        <f t="shared" si="26"/>
        <v>0</v>
      </c>
      <c r="I186" s="29">
        <f t="shared" si="28"/>
        <v>170620.19999999998</v>
      </c>
      <c r="J186" s="30">
        <f t="shared" si="27"/>
        <v>170620.19999999998</v>
      </c>
      <c r="K186" s="357">
        <f t="shared" si="24"/>
        <v>0</v>
      </c>
      <c r="L186" s="357">
        <f t="shared" si="25"/>
        <v>0</v>
      </c>
      <c r="N186" s="25">
        <f t="shared" si="29"/>
        <v>0</v>
      </c>
      <c r="Q186" s="25">
        <f>P186*G186</f>
        <v>0</v>
      </c>
      <c r="T186" s="25">
        <f>S186*I186</f>
        <v>0</v>
      </c>
      <c r="W186" s="25">
        <f>V186*M186</f>
        <v>0</v>
      </c>
      <c r="Y186" s="201"/>
      <c r="Z186" s="49"/>
    </row>
    <row r="187" spans="1:26" s="25" customFormat="1" ht="15.6" customHeight="1" outlineLevel="1" x14ac:dyDescent="0.3">
      <c r="A187" s="34"/>
      <c r="B187" s="86" t="s">
        <v>189</v>
      </c>
      <c r="C187" s="212"/>
      <c r="D187" s="29" t="s">
        <v>22</v>
      </c>
      <c r="E187" s="46">
        <v>108</v>
      </c>
      <c r="F187" s="28"/>
      <c r="G187" s="85">
        <v>9631</v>
      </c>
      <c r="H187" s="29">
        <f t="shared" si="26"/>
        <v>0</v>
      </c>
      <c r="I187" s="29">
        <f t="shared" si="28"/>
        <v>1040148</v>
      </c>
      <c r="J187" s="30">
        <f t="shared" si="27"/>
        <v>1040148</v>
      </c>
      <c r="K187" s="357">
        <f t="shared" si="24"/>
        <v>0</v>
      </c>
      <c r="L187" s="357">
        <f t="shared" si="25"/>
        <v>0</v>
      </c>
      <c r="N187" s="25" t="s">
        <v>190</v>
      </c>
      <c r="Q187" s="25" t="s">
        <v>190</v>
      </c>
      <c r="T187" s="25" t="s">
        <v>190</v>
      </c>
      <c r="W187" s="25" t="s">
        <v>190</v>
      </c>
      <c r="Y187" s="201"/>
      <c r="Z187" s="49"/>
    </row>
    <row r="188" spans="1:26" s="25" customFormat="1" ht="15.6" customHeight="1" outlineLevel="1" x14ac:dyDescent="0.3">
      <c r="A188" s="34"/>
      <c r="B188" s="86" t="s">
        <v>111</v>
      </c>
      <c r="C188" s="212"/>
      <c r="D188" s="29" t="s">
        <v>22</v>
      </c>
      <c r="E188" s="46">
        <v>3</v>
      </c>
      <c r="F188" s="28"/>
      <c r="G188" s="85">
        <v>11987</v>
      </c>
      <c r="H188" s="29">
        <f t="shared" si="26"/>
        <v>0</v>
      </c>
      <c r="I188" s="29">
        <f t="shared" si="28"/>
        <v>35961</v>
      </c>
      <c r="J188" s="30">
        <f t="shared" si="27"/>
        <v>35961</v>
      </c>
      <c r="K188" s="357">
        <f t="shared" si="24"/>
        <v>0</v>
      </c>
      <c r="L188" s="357">
        <f t="shared" si="25"/>
        <v>0</v>
      </c>
      <c r="N188" s="25">
        <f t="shared" si="29"/>
        <v>0</v>
      </c>
      <c r="Q188" s="25">
        <f>P188*G188</f>
        <v>0</v>
      </c>
      <c r="T188" s="25">
        <f>S188*I188</f>
        <v>0</v>
      </c>
      <c r="W188" s="25">
        <f>V188*M188</f>
        <v>0</v>
      </c>
      <c r="Y188" s="201"/>
      <c r="Z188" s="49"/>
    </row>
    <row r="189" spans="1:26" s="25" customFormat="1" ht="15.6" customHeight="1" outlineLevel="1" x14ac:dyDescent="0.3">
      <c r="A189" s="34"/>
      <c r="B189" s="86" t="s">
        <v>191</v>
      </c>
      <c r="C189" s="212"/>
      <c r="D189" s="29" t="s">
        <v>22</v>
      </c>
      <c r="E189" s="46">
        <v>6</v>
      </c>
      <c r="F189" s="28"/>
      <c r="G189" s="30">
        <v>5615</v>
      </c>
      <c r="H189" s="29">
        <f t="shared" si="26"/>
        <v>0</v>
      </c>
      <c r="I189" s="29">
        <f t="shared" si="28"/>
        <v>33690</v>
      </c>
      <c r="J189" s="30">
        <f t="shared" si="27"/>
        <v>33690</v>
      </c>
      <c r="K189" s="357">
        <f t="shared" si="24"/>
        <v>0</v>
      </c>
      <c r="L189" s="357">
        <f t="shared" si="25"/>
        <v>0</v>
      </c>
      <c r="N189" s="25">
        <f t="shared" si="29"/>
        <v>0</v>
      </c>
      <c r="Q189" s="25">
        <f>P189*G189</f>
        <v>0</v>
      </c>
      <c r="T189" s="25">
        <f>S189*I189</f>
        <v>0</v>
      </c>
      <c r="W189" s="25">
        <f>V189*M189</f>
        <v>0</v>
      </c>
      <c r="Y189" s="201"/>
      <c r="Z189" s="49"/>
    </row>
    <row r="190" spans="1:26" s="25" customFormat="1" ht="15.6" customHeight="1" outlineLevel="1" x14ac:dyDescent="0.3">
      <c r="A190" s="34"/>
      <c r="B190" s="86" t="s">
        <v>192</v>
      </c>
      <c r="C190" s="212"/>
      <c r="D190" s="29" t="s">
        <v>22</v>
      </c>
      <c r="E190" s="46">
        <v>16</v>
      </c>
      <c r="F190" s="28"/>
      <c r="G190" s="30">
        <v>4445</v>
      </c>
      <c r="H190" s="29">
        <f t="shared" si="26"/>
        <v>0</v>
      </c>
      <c r="I190" s="29">
        <f t="shared" si="28"/>
        <v>71120</v>
      </c>
      <c r="J190" s="30">
        <f t="shared" si="27"/>
        <v>71120</v>
      </c>
      <c r="K190" s="357">
        <f t="shared" si="24"/>
        <v>0</v>
      </c>
      <c r="L190" s="357">
        <f t="shared" si="25"/>
        <v>0</v>
      </c>
      <c r="N190" s="25">
        <f t="shared" si="29"/>
        <v>0</v>
      </c>
      <c r="Q190" s="25">
        <f>P190*G190</f>
        <v>0</v>
      </c>
      <c r="T190" s="25">
        <f>S190*I190</f>
        <v>0</v>
      </c>
      <c r="W190" s="25">
        <f>V190*M190</f>
        <v>0</v>
      </c>
      <c r="Y190" s="201"/>
      <c r="Z190" s="49"/>
    </row>
    <row r="191" spans="1:26" s="25" customFormat="1" ht="15.6" customHeight="1" outlineLevel="1" x14ac:dyDescent="0.3">
      <c r="A191" s="34"/>
      <c r="B191" s="86" t="s">
        <v>193</v>
      </c>
      <c r="C191" s="212"/>
      <c r="D191" s="29" t="s">
        <v>22</v>
      </c>
      <c r="E191" s="46">
        <v>14</v>
      </c>
      <c r="F191" s="28"/>
      <c r="G191" s="30">
        <v>4457</v>
      </c>
      <c r="H191" s="29">
        <f t="shared" si="26"/>
        <v>0</v>
      </c>
      <c r="I191" s="29">
        <f t="shared" si="28"/>
        <v>62398</v>
      </c>
      <c r="J191" s="30">
        <f t="shared" si="27"/>
        <v>62398</v>
      </c>
      <c r="K191" s="357">
        <f t="shared" si="24"/>
        <v>0</v>
      </c>
      <c r="L191" s="357">
        <f t="shared" si="25"/>
        <v>0</v>
      </c>
      <c r="Y191" s="201"/>
      <c r="Z191" s="49"/>
    </row>
    <row r="192" spans="1:26" s="25" customFormat="1" ht="15.6" customHeight="1" outlineLevel="1" x14ac:dyDescent="0.3">
      <c r="A192" s="102"/>
      <c r="B192" s="86" t="s">
        <v>194</v>
      </c>
      <c r="C192" s="212"/>
      <c r="D192" s="29" t="s">
        <v>22</v>
      </c>
      <c r="E192" s="46">
        <v>26</v>
      </c>
      <c r="F192" s="28"/>
      <c r="G192" s="85">
        <v>19000</v>
      </c>
      <c r="H192" s="29">
        <f t="shared" si="26"/>
        <v>0</v>
      </c>
      <c r="I192" s="29">
        <f t="shared" si="28"/>
        <v>494000</v>
      </c>
      <c r="J192" s="30">
        <f t="shared" si="27"/>
        <v>494000</v>
      </c>
      <c r="K192" s="357">
        <f t="shared" si="24"/>
        <v>0</v>
      </c>
      <c r="L192" s="357">
        <f t="shared" si="25"/>
        <v>0</v>
      </c>
      <c r="Y192" s="201"/>
      <c r="Z192" s="49"/>
    </row>
    <row r="193" spans="1:26" s="25" customFormat="1" ht="15.75" customHeight="1" outlineLevel="1" x14ac:dyDescent="0.3">
      <c r="A193" s="102"/>
      <c r="B193" s="86" t="s">
        <v>195</v>
      </c>
      <c r="C193" s="212"/>
      <c r="D193" s="45" t="s">
        <v>40</v>
      </c>
      <c r="E193" s="46">
        <v>531.02</v>
      </c>
      <c r="F193" s="52"/>
      <c r="G193" s="52">
        <v>36</v>
      </c>
      <c r="H193" s="29">
        <f t="shared" si="26"/>
        <v>0</v>
      </c>
      <c r="I193" s="29">
        <f t="shared" si="28"/>
        <v>19116.72</v>
      </c>
      <c r="J193" s="30">
        <f t="shared" si="27"/>
        <v>19116.72</v>
      </c>
      <c r="K193" s="357">
        <f t="shared" si="24"/>
        <v>0</v>
      </c>
      <c r="L193" s="357">
        <f t="shared" si="25"/>
        <v>0</v>
      </c>
      <c r="Y193" s="201"/>
      <c r="Z193" s="49"/>
    </row>
    <row r="194" spans="1:26" s="25" customFormat="1" ht="15.6" customHeight="1" outlineLevel="1" x14ac:dyDescent="0.3">
      <c r="A194" s="102"/>
      <c r="B194" s="86" t="s">
        <v>196</v>
      </c>
      <c r="C194" s="212"/>
      <c r="D194" s="45" t="s">
        <v>40</v>
      </c>
      <c r="E194" s="46">
        <v>72.319999999999993</v>
      </c>
      <c r="F194" s="52"/>
      <c r="G194" s="52">
        <v>33</v>
      </c>
      <c r="H194" s="29">
        <f t="shared" si="26"/>
        <v>0</v>
      </c>
      <c r="I194" s="29">
        <f t="shared" si="28"/>
        <v>2386.56</v>
      </c>
      <c r="J194" s="30">
        <f t="shared" si="27"/>
        <v>2386.56</v>
      </c>
      <c r="K194" s="357">
        <f t="shared" si="24"/>
        <v>0</v>
      </c>
      <c r="L194" s="357">
        <f t="shared" si="25"/>
        <v>0</v>
      </c>
      <c r="Y194" s="201"/>
      <c r="Z194" s="49"/>
    </row>
    <row r="195" spans="1:26" s="25" customFormat="1" ht="15.6" customHeight="1" outlineLevel="1" x14ac:dyDescent="0.3">
      <c r="A195" s="102"/>
      <c r="B195" s="86" t="s">
        <v>163</v>
      </c>
      <c r="C195" s="212"/>
      <c r="D195" s="45" t="s">
        <v>40</v>
      </c>
      <c r="E195" s="46">
        <v>5.22</v>
      </c>
      <c r="F195" s="52"/>
      <c r="G195" s="52">
        <v>36</v>
      </c>
      <c r="H195" s="29">
        <f t="shared" si="26"/>
        <v>0</v>
      </c>
      <c r="I195" s="29">
        <f t="shared" si="28"/>
        <v>187.92</v>
      </c>
      <c r="J195" s="30">
        <f t="shared" si="27"/>
        <v>187.92</v>
      </c>
      <c r="K195" s="357">
        <f t="shared" si="24"/>
        <v>0</v>
      </c>
      <c r="L195" s="357">
        <f t="shared" si="25"/>
        <v>0</v>
      </c>
      <c r="Y195" s="201"/>
      <c r="Z195" s="49"/>
    </row>
    <row r="196" spans="1:26" s="25" customFormat="1" ht="15.6" customHeight="1" outlineLevel="1" x14ac:dyDescent="0.3">
      <c r="A196" s="102"/>
      <c r="B196" s="86" t="s">
        <v>197</v>
      </c>
      <c r="C196" s="212"/>
      <c r="D196" s="45" t="s">
        <v>40</v>
      </c>
      <c r="E196" s="46">
        <f>9*13.6+12*1.74+9*0.16+14*13.52+16*1.74+14*0.16+14*15.08</f>
        <v>575.20000000000005</v>
      </c>
      <c r="F196" s="52"/>
      <c r="G196" s="52">
        <v>36</v>
      </c>
      <c r="H196" s="29">
        <f t="shared" si="26"/>
        <v>0</v>
      </c>
      <c r="I196" s="29">
        <f t="shared" si="28"/>
        <v>20707.2</v>
      </c>
      <c r="J196" s="30">
        <f>H196+I196</f>
        <v>20707.2</v>
      </c>
      <c r="K196" s="357">
        <f t="shared" si="24"/>
        <v>0</v>
      </c>
      <c r="L196" s="357">
        <f t="shared" si="25"/>
        <v>0</v>
      </c>
      <c r="Y196" s="201"/>
      <c r="Z196" s="49"/>
    </row>
    <row r="197" spans="1:26" s="25" customFormat="1" ht="15.6" customHeight="1" outlineLevel="1" x14ac:dyDescent="0.3">
      <c r="A197" s="26" t="s">
        <v>198</v>
      </c>
      <c r="B197" s="53" t="s">
        <v>118</v>
      </c>
      <c r="C197" s="210"/>
      <c r="D197" s="54" t="s">
        <v>25</v>
      </c>
      <c r="E197" s="83">
        <f>'[1]41'!D197</f>
        <v>6.84</v>
      </c>
      <c r="F197" s="56">
        <f>800+800*0.08</f>
        <v>864</v>
      </c>
      <c r="G197" s="57"/>
      <c r="H197" s="29">
        <f t="shared" si="26"/>
        <v>5909.76</v>
      </c>
      <c r="I197" s="29">
        <f t="shared" si="28"/>
        <v>0</v>
      </c>
      <c r="J197" s="30">
        <f t="shared" si="27"/>
        <v>5909.76</v>
      </c>
      <c r="K197" s="357">
        <f t="shared" si="24"/>
        <v>0</v>
      </c>
      <c r="L197" s="357">
        <f t="shared" si="25"/>
        <v>0</v>
      </c>
      <c r="Y197" s="201"/>
      <c r="Z197" s="49"/>
    </row>
    <row r="198" spans="1:26" s="25" customFormat="1" ht="15.6" customHeight="1" outlineLevel="1" x14ac:dyDescent="0.3">
      <c r="A198" s="102"/>
      <c r="B198" s="86" t="s">
        <v>119</v>
      </c>
      <c r="C198" s="212"/>
      <c r="D198" s="45" t="s">
        <v>34</v>
      </c>
      <c r="E198" s="46">
        <f>'[1]41'!D198</f>
        <v>1.0712699999999999</v>
      </c>
      <c r="F198" s="29"/>
      <c r="G198" s="52">
        <v>34000</v>
      </c>
      <c r="H198" s="29">
        <f t="shared" si="26"/>
        <v>0</v>
      </c>
      <c r="I198" s="29">
        <f t="shared" si="28"/>
        <v>36423.18</v>
      </c>
      <c r="J198" s="30">
        <f t="shared" si="27"/>
        <v>36423.18</v>
      </c>
      <c r="K198" s="357">
        <f t="shared" si="24"/>
        <v>0</v>
      </c>
      <c r="L198" s="357">
        <f t="shared" si="25"/>
        <v>0</v>
      </c>
      <c r="Y198" s="201"/>
      <c r="Z198" s="49"/>
    </row>
    <row r="199" spans="1:26" s="25" customFormat="1" ht="15.6" customHeight="1" outlineLevel="1" x14ac:dyDescent="0.3">
      <c r="A199" s="102"/>
      <c r="B199" s="86" t="s">
        <v>199</v>
      </c>
      <c r="C199" s="212"/>
      <c r="D199" s="45" t="s">
        <v>25</v>
      </c>
      <c r="E199" s="46">
        <f>E197*1.015</f>
        <v>6.9425999999999988</v>
      </c>
      <c r="F199" s="29"/>
      <c r="G199" s="30">
        <v>4200</v>
      </c>
      <c r="H199" s="29">
        <f t="shared" si="26"/>
        <v>0</v>
      </c>
      <c r="I199" s="29">
        <f t="shared" si="28"/>
        <v>29158.919999999995</v>
      </c>
      <c r="J199" s="30">
        <f t="shared" si="27"/>
        <v>29158.919999999995</v>
      </c>
      <c r="K199" s="357">
        <f t="shared" si="24"/>
        <v>0</v>
      </c>
      <c r="L199" s="357">
        <f t="shared" si="25"/>
        <v>0</v>
      </c>
      <c r="Y199" s="201"/>
      <c r="Z199" s="49"/>
    </row>
    <row r="200" spans="1:26" s="48" customFormat="1" outlineLevel="1" x14ac:dyDescent="0.3">
      <c r="A200" s="47"/>
      <c r="B200" s="59" t="s">
        <v>65</v>
      </c>
      <c r="C200" s="65"/>
      <c r="D200" s="60" t="s">
        <v>66</v>
      </c>
      <c r="E200" s="61">
        <v>0</v>
      </c>
      <c r="F200" s="62">
        <v>1150</v>
      </c>
      <c r="G200" s="63"/>
      <c r="H200" s="29">
        <f t="shared" si="26"/>
        <v>0</v>
      </c>
      <c r="I200" s="29">
        <f t="shared" si="28"/>
        <v>0</v>
      </c>
      <c r="J200" s="30">
        <f>H200+I200</f>
        <v>0</v>
      </c>
      <c r="K200" s="357">
        <f t="shared" si="24"/>
        <v>0</v>
      </c>
      <c r="L200" s="357">
        <f t="shared" si="25"/>
        <v>0</v>
      </c>
      <c r="N200" s="49"/>
      <c r="O200" s="49"/>
      <c r="P200" s="49"/>
      <c r="Q200" s="49"/>
      <c r="R200" s="49"/>
      <c r="S200" s="49"/>
      <c r="T200" s="49"/>
      <c r="U200" s="49"/>
      <c r="V200" s="49"/>
      <c r="W200" s="49"/>
      <c r="X200" s="49"/>
      <c r="Y200" s="201"/>
      <c r="Z200" s="49"/>
    </row>
    <row r="201" spans="1:26" s="48" customFormat="1" outlineLevel="1" x14ac:dyDescent="0.3">
      <c r="A201" s="47"/>
      <c r="B201" s="64" t="s">
        <v>67</v>
      </c>
      <c r="C201" s="65"/>
      <c r="D201" s="60"/>
      <c r="E201" s="61"/>
      <c r="F201" s="62"/>
      <c r="G201" s="63"/>
      <c r="H201" s="65">
        <f>SUM(H182:H200)</f>
        <v>108459.76</v>
      </c>
      <c r="I201" s="29">
        <f t="shared" si="28"/>
        <v>0</v>
      </c>
      <c r="J201" s="66">
        <f>H201</f>
        <v>108459.76</v>
      </c>
      <c r="K201" s="357">
        <f t="shared" si="24"/>
        <v>0</v>
      </c>
      <c r="L201" s="357">
        <f t="shared" si="25"/>
        <v>0</v>
      </c>
      <c r="N201" s="49"/>
      <c r="O201" s="49"/>
      <c r="P201" s="49"/>
      <c r="Q201" s="49"/>
      <c r="R201" s="49"/>
      <c r="S201" s="49"/>
      <c r="T201" s="49"/>
      <c r="U201" s="49"/>
      <c r="V201" s="49"/>
      <c r="W201" s="49"/>
      <c r="X201" s="49"/>
      <c r="Y201" s="201"/>
      <c r="Z201" s="49"/>
    </row>
    <row r="202" spans="1:26" s="48" customFormat="1" outlineLevel="1" x14ac:dyDescent="0.3">
      <c r="A202" s="47"/>
      <c r="B202" s="64" t="s">
        <v>68</v>
      </c>
      <c r="C202" s="65"/>
      <c r="D202" s="60"/>
      <c r="E202" s="61"/>
      <c r="F202" s="62"/>
      <c r="G202" s="63"/>
      <c r="H202" s="65"/>
      <c r="I202" s="65">
        <f>SUM(I182:I199)</f>
        <v>3304936.7000000007</v>
      </c>
      <c r="J202" s="66">
        <f>I202</f>
        <v>3304936.7000000007</v>
      </c>
      <c r="K202" s="357">
        <f t="shared" si="24"/>
        <v>0</v>
      </c>
      <c r="L202" s="357">
        <f t="shared" si="25"/>
        <v>0</v>
      </c>
      <c r="N202" s="49"/>
      <c r="O202" s="49"/>
      <c r="P202" s="49"/>
      <c r="Q202" s="49"/>
      <c r="R202" s="49"/>
      <c r="S202" s="49"/>
      <c r="T202" s="49"/>
      <c r="U202" s="49"/>
      <c r="V202" s="49"/>
      <c r="W202" s="49"/>
      <c r="X202" s="49"/>
      <c r="Y202" s="201"/>
      <c r="Z202" s="49"/>
    </row>
    <row r="203" spans="1:26" s="48" customFormat="1" outlineLevel="1" x14ac:dyDescent="0.3">
      <c r="A203" s="47"/>
      <c r="B203" s="64" t="s">
        <v>69</v>
      </c>
      <c r="C203" s="65"/>
      <c r="D203" s="60"/>
      <c r="E203" s="61"/>
      <c r="F203" s="62"/>
      <c r="G203" s="63"/>
      <c r="H203" s="65"/>
      <c r="I203" s="62"/>
      <c r="J203" s="66">
        <f>H203</f>
        <v>0</v>
      </c>
      <c r="K203" s="357">
        <f t="shared" si="24"/>
        <v>0</v>
      </c>
      <c r="L203" s="357">
        <f t="shared" si="25"/>
        <v>0</v>
      </c>
      <c r="N203" s="49"/>
      <c r="O203" s="49"/>
      <c r="P203" s="49"/>
      <c r="Q203" s="49"/>
      <c r="R203" s="49"/>
      <c r="S203" s="49"/>
      <c r="T203" s="49"/>
      <c r="U203" s="49"/>
      <c r="V203" s="49"/>
      <c r="W203" s="49"/>
      <c r="X203" s="49"/>
      <c r="Y203" s="201"/>
      <c r="Z203" s="49"/>
    </row>
    <row r="204" spans="1:26" s="48" customFormat="1" outlineLevel="1" x14ac:dyDescent="0.3">
      <c r="A204" s="47"/>
      <c r="B204" s="64" t="s">
        <v>70</v>
      </c>
      <c r="C204" s="65"/>
      <c r="D204" s="60"/>
      <c r="E204" s="61"/>
      <c r="F204" s="62"/>
      <c r="G204" s="63"/>
      <c r="H204" s="65"/>
      <c r="I204" s="62"/>
      <c r="J204" s="66">
        <f>H204</f>
        <v>0</v>
      </c>
      <c r="K204" s="357">
        <f t="shared" si="24"/>
        <v>0</v>
      </c>
      <c r="L204" s="357">
        <f t="shared" si="25"/>
        <v>0</v>
      </c>
      <c r="N204" s="49"/>
      <c r="O204" s="49"/>
      <c r="P204" s="49"/>
      <c r="Q204" s="49"/>
      <c r="R204" s="49"/>
      <c r="S204" s="49"/>
      <c r="T204" s="49"/>
      <c r="U204" s="49"/>
      <c r="V204" s="49"/>
      <c r="W204" s="49"/>
      <c r="X204" s="49"/>
      <c r="Y204" s="201"/>
      <c r="Z204" s="49"/>
    </row>
    <row r="205" spans="1:26" s="25" customFormat="1" ht="36" customHeight="1" x14ac:dyDescent="0.3">
      <c r="A205" s="97" t="s">
        <v>832</v>
      </c>
      <c r="B205" s="100" t="s">
        <v>200</v>
      </c>
      <c r="C205" s="99"/>
      <c r="D205" s="99"/>
      <c r="E205" s="101"/>
      <c r="F205" s="101"/>
      <c r="G205" s="104"/>
      <c r="H205" s="101">
        <f>H201+H203+H204</f>
        <v>108459.76</v>
      </c>
      <c r="I205" s="101">
        <f>I202</f>
        <v>3304936.7000000007</v>
      </c>
      <c r="J205" s="101">
        <f>J202+J201+J203+J204</f>
        <v>3413396.4600000004</v>
      </c>
      <c r="K205" s="357">
        <f t="shared" si="24"/>
        <v>0</v>
      </c>
      <c r="L205" s="357">
        <f t="shared" si="25"/>
        <v>0</v>
      </c>
      <c r="M205" s="48"/>
      <c r="Y205" s="201"/>
      <c r="Z205" s="49"/>
    </row>
    <row r="206" spans="1:26" s="25" customFormat="1" ht="15.6" customHeight="1" x14ac:dyDescent="0.3">
      <c r="A206" s="105"/>
      <c r="B206" s="72" t="s">
        <v>72</v>
      </c>
      <c r="C206" s="161"/>
      <c r="D206" s="39"/>
      <c r="E206" s="28"/>
      <c r="F206" s="28"/>
      <c r="G206" s="50"/>
      <c r="H206" s="28"/>
      <c r="I206" s="28"/>
      <c r="J206" s="28">
        <f>ROUND(J205/1.18*0.18,2)</f>
        <v>520687.6</v>
      </c>
      <c r="K206" s="357">
        <f t="shared" si="24"/>
        <v>0</v>
      </c>
      <c r="L206" s="357">
        <f t="shared" si="25"/>
        <v>0</v>
      </c>
      <c r="Y206" s="201"/>
      <c r="Z206" s="49"/>
    </row>
    <row r="207" spans="1:26" s="25" customFormat="1" ht="21" customHeight="1" x14ac:dyDescent="0.3">
      <c r="A207" s="103"/>
      <c r="B207" s="106" t="s">
        <v>201</v>
      </c>
      <c r="C207" s="215"/>
      <c r="D207" s="23"/>
      <c r="E207" s="23"/>
      <c r="F207" s="23"/>
      <c r="G207" s="22"/>
      <c r="H207" s="23"/>
      <c r="I207" s="23"/>
      <c r="J207" s="24"/>
      <c r="K207" s="357">
        <f t="shared" si="24"/>
        <v>0</v>
      </c>
      <c r="L207" s="357">
        <f t="shared" si="25"/>
        <v>0</v>
      </c>
      <c r="Y207" s="201"/>
      <c r="Z207" s="49"/>
    </row>
    <row r="208" spans="1:26" s="25" customFormat="1" ht="15.6" customHeight="1" outlineLevel="1" x14ac:dyDescent="0.3">
      <c r="A208" s="26" t="s">
        <v>202</v>
      </c>
      <c r="B208" s="53" t="s">
        <v>203</v>
      </c>
      <c r="C208" s="210"/>
      <c r="D208" s="54" t="s">
        <v>22</v>
      </c>
      <c r="E208" s="46">
        <v>110</v>
      </c>
      <c r="F208" s="56">
        <v>150</v>
      </c>
      <c r="G208" s="57"/>
      <c r="H208" s="29">
        <f>F208*E208</f>
        <v>16500</v>
      </c>
      <c r="I208" s="107"/>
      <c r="J208" s="30">
        <f>H208+I208</f>
        <v>16500</v>
      </c>
      <c r="K208" s="357">
        <f t="shared" si="24"/>
        <v>0</v>
      </c>
      <c r="L208" s="357">
        <f t="shared" si="25"/>
        <v>0</v>
      </c>
      <c r="Y208" s="201"/>
      <c r="Z208" s="49"/>
    </row>
    <row r="209" spans="1:26" s="25" customFormat="1" ht="15.6" customHeight="1" outlineLevel="1" x14ac:dyDescent="0.3">
      <c r="A209" s="58"/>
      <c r="B209" s="86" t="s">
        <v>204</v>
      </c>
      <c r="C209" s="212"/>
      <c r="D209" s="45" t="s">
        <v>22</v>
      </c>
      <c r="E209" s="46">
        <v>110</v>
      </c>
      <c r="F209" s="29"/>
      <c r="G209" s="52">
        <v>784</v>
      </c>
      <c r="H209" s="29">
        <f t="shared" ref="H209:H224" si="30">F209*E209</f>
        <v>0</v>
      </c>
      <c r="I209" s="29">
        <f>G209*E209</f>
        <v>86240</v>
      </c>
      <c r="J209" s="30">
        <f>H209+I209</f>
        <v>86240</v>
      </c>
      <c r="K209" s="357">
        <f t="shared" si="24"/>
        <v>0</v>
      </c>
      <c r="L209" s="357">
        <f t="shared" si="25"/>
        <v>0</v>
      </c>
      <c r="Y209" s="201"/>
      <c r="Z209" s="49"/>
    </row>
    <row r="210" spans="1:26" s="25" customFormat="1" ht="15.6" customHeight="1" outlineLevel="1" x14ac:dyDescent="0.3">
      <c r="A210" s="26" t="s">
        <v>205</v>
      </c>
      <c r="B210" s="53" t="s">
        <v>206</v>
      </c>
      <c r="C210" s="210"/>
      <c r="D210" s="54" t="s">
        <v>34</v>
      </c>
      <c r="E210" s="55">
        <v>2.1996199999999999</v>
      </c>
      <c r="F210" s="56">
        <v>20000</v>
      </c>
      <c r="G210" s="57"/>
      <c r="H210" s="29">
        <f t="shared" si="30"/>
        <v>43992.4</v>
      </c>
      <c r="I210" s="29">
        <f t="shared" ref="I210:I224" si="31">G210*E210</f>
        <v>0</v>
      </c>
      <c r="J210" s="30">
        <f>H210+I210</f>
        <v>43992.4</v>
      </c>
      <c r="K210" s="357">
        <f t="shared" si="24"/>
        <v>0</v>
      </c>
      <c r="L210" s="357">
        <f t="shared" si="25"/>
        <v>0</v>
      </c>
      <c r="Y210" s="201"/>
      <c r="Z210" s="49"/>
    </row>
    <row r="211" spans="1:26" s="25" customFormat="1" ht="15.6" customHeight="1" outlineLevel="1" x14ac:dyDescent="0.3">
      <c r="A211" s="58"/>
      <c r="B211" s="86" t="s">
        <v>207</v>
      </c>
      <c r="C211" s="212"/>
      <c r="D211" s="45" t="s">
        <v>34</v>
      </c>
      <c r="E211" s="46">
        <v>2.1996199999999999</v>
      </c>
      <c r="F211" s="29"/>
      <c r="G211" s="52">
        <v>40000</v>
      </c>
      <c r="H211" s="29">
        <f t="shared" si="30"/>
        <v>0</v>
      </c>
      <c r="I211" s="29">
        <f t="shared" si="31"/>
        <v>87984.8</v>
      </c>
      <c r="J211" s="30">
        <f>H211+I211</f>
        <v>87984.8</v>
      </c>
      <c r="K211" s="357">
        <f t="shared" si="24"/>
        <v>0</v>
      </c>
      <c r="L211" s="357">
        <f t="shared" si="25"/>
        <v>0</v>
      </c>
      <c r="Y211" s="201"/>
      <c r="Z211" s="49"/>
    </row>
    <row r="212" spans="1:26" s="25" customFormat="1" ht="15.6" customHeight="1" outlineLevel="1" x14ac:dyDescent="0.3">
      <c r="A212" s="26" t="s">
        <v>208</v>
      </c>
      <c r="B212" s="53" t="s">
        <v>209</v>
      </c>
      <c r="C212" s="83"/>
      <c r="D212" s="45" t="s">
        <v>22</v>
      </c>
      <c r="E212" s="28">
        <v>12</v>
      </c>
      <c r="F212" s="56">
        <v>600</v>
      </c>
      <c r="G212" s="108"/>
      <c r="H212" s="29">
        <f t="shared" si="30"/>
        <v>7200</v>
      </c>
      <c r="I212" s="29">
        <f t="shared" si="31"/>
        <v>0</v>
      </c>
      <c r="J212" s="30">
        <f>H212+I212</f>
        <v>7200</v>
      </c>
      <c r="K212" s="357">
        <f t="shared" ref="K212:K275" si="32">IF(H212&gt;0,Z212,0)</f>
        <v>0</v>
      </c>
      <c r="L212" s="357">
        <f t="shared" ref="L212:L275" si="33">IF(I212&gt;0,Z212,0)</f>
        <v>0</v>
      </c>
      <c r="Y212" s="201"/>
      <c r="Z212" s="49"/>
    </row>
    <row r="213" spans="1:26" s="25" customFormat="1" ht="15.6" customHeight="1" outlineLevel="1" x14ac:dyDescent="0.3">
      <c r="A213" s="58"/>
      <c r="B213" s="86" t="s">
        <v>210</v>
      </c>
      <c r="C213" s="212"/>
      <c r="D213" s="45" t="s">
        <v>34</v>
      </c>
      <c r="E213" s="29">
        <v>0.96742000000000006</v>
      </c>
      <c r="F213" s="56"/>
      <c r="G213" s="52">
        <v>42000</v>
      </c>
      <c r="H213" s="29">
        <f t="shared" si="30"/>
        <v>0</v>
      </c>
      <c r="I213" s="29">
        <f t="shared" si="31"/>
        <v>40631.64</v>
      </c>
      <c r="J213" s="30">
        <f>I213</f>
        <v>40631.64</v>
      </c>
      <c r="K213" s="357">
        <f t="shared" si="32"/>
        <v>0</v>
      </c>
      <c r="L213" s="357">
        <f t="shared" si="33"/>
        <v>0</v>
      </c>
      <c r="Y213" s="201"/>
      <c r="Z213" s="49"/>
    </row>
    <row r="214" spans="1:26" s="25" customFormat="1" ht="15.6" customHeight="1" outlineLevel="1" x14ac:dyDescent="0.3">
      <c r="A214" s="26" t="s">
        <v>211</v>
      </c>
      <c r="B214" s="53" t="s">
        <v>118</v>
      </c>
      <c r="C214" s="83"/>
      <c r="D214" s="45" t="s">
        <v>25</v>
      </c>
      <c r="E214" s="29">
        <v>0.34</v>
      </c>
      <c r="F214" s="56">
        <v>500</v>
      </c>
      <c r="G214" s="85"/>
      <c r="H214" s="29">
        <f t="shared" si="30"/>
        <v>170</v>
      </c>
      <c r="I214" s="29">
        <f t="shared" si="31"/>
        <v>0</v>
      </c>
      <c r="J214" s="30">
        <f>H214</f>
        <v>170</v>
      </c>
      <c r="K214" s="357">
        <f t="shared" si="32"/>
        <v>0</v>
      </c>
      <c r="L214" s="357">
        <f t="shared" si="33"/>
        <v>0</v>
      </c>
      <c r="Y214" s="201"/>
      <c r="Z214" s="49"/>
    </row>
    <row r="215" spans="1:26" s="25" customFormat="1" ht="15.6" customHeight="1" outlineLevel="1" x14ac:dyDescent="0.3">
      <c r="A215" s="58"/>
      <c r="B215" s="86" t="s">
        <v>212</v>
      </c>
      <c r="C215" s="212"/>
      <c r="D215" s="45" t="s">
        <v>25</v>
      </c>
      <c r="E215" s="46">
        <v>0.34510000000000002</v>
      </c>
      <c r="F215" s="56"/>
      <c r="G215" s="30">
        <v>4200</v>
      </c>
      <c r="H215" s="29">
        <f t="shared" si="30"/>
        <v>0</v>
      </c>
      <c r="I215" s="29">
        <f t="shared" si="31"/>
        <v>1449.42</v>
      </c>
      <c r="J215" s="30">
        <f>H215+I215</f>
        <v>1449.42</v>
      </c>
      <c r="K215" s="357">
        <f t="shared" si="32"/>
        <v>0</v>
      </c>
      <c r="L215" s="357">
        <f t="shared" si="33"/>
        <v>0</v>
      </c>
      <c r="Y215" s="201"/>
      <c r="Z215" s="49"/>
    </row>
    <row r="216" spans="1:26" s="25" customFormat="1" ht="15.6" customHeight="1" outlineLevel="1" x14ac:dyDescent="0.3">
      <c r="A216" s="58"/>
      <c r="B216" s="86" t="s">
        <v>213</v>
      </c>
      <c r="C216" s="212"/>
      <c r="D216" s="45" t="s">
        <v>40</v>
      </c>
      <c r="E216" s="29">
        <v>56.76</v>
      </c>
      <c r="F216" s="56"/>
      <c r="G216" s="52">
        <v>34</v>
      </c>
      <c r="H216" s="29">
        <f t="shared" si="30"/>
        <v>0</v>
      </c>
      <c r="I216" s="29">
        <f t="shared" si="31"/>
        <v>1929.84</v>
      </c>
      <c r="J216" s="30">
        <f>I216</f>
        <v>1929.84</v>
      </c>
      <c r="K216" s="357">
        <f t="shared" si="32"/>
        <v>0</v>
      </c>
      <c r="L216" s="357">
        <f t="shared" si="33"/>
        <v>0</v>
      </c>
      <c r="Y216" s="201"/>
      <c r="Z216" s="49"/>
    </row>
    <row r="217" spans="1:26" s="25" customFormat="1" ht="15.6" customHeight="1" outlineLevel="1" x14ac:dyDescent="0.3">
      <c r="A217" s="26" t="s">
        <v>214</v>
      </c>
      <c r="B217" s="53" t="s">
        <v>215</v>
      </c>
      <c r="C217" s="83"/>
      <c r="D217" s="45" t="s">
        <v>22</v>
      </c>
      <c r="E217" s="29">
        <f>'[1]41'!D217</f>
        <v>15</v>
      </c>
      <c r="F217" s="56">
        <v>3000</v>
      </c>
      <c r="G217" s="85"/>
      <c r="H217" s="29">
        <f t="shared" si="30"/>
        <v>45000</v>
      </c>
      <c r="I217" s="29">
        <f t="shared" si="31"/>
        <v>0</v>
      </c>
      <c r="J217" s="30">
        <f>H217</f>
        <v>45000</v>
      </c>
      <c r="K217" s="357">
        <f t="shared" si="32"/>
        <v>0</v>
      </c>
      <c r="L217" s="357">
        <f t="shared" si="33"/>
        <v>0</v>
      </c>
      <c r="Y217" s="201"/>
      <c r="Z217" s="49"/>
    </row>
    <row r="218" spans="1:26" s="25" customFormat="1" ht="15.6" customHeight="1" outlineLevel="1" x14ac:dyDescent="0.3">
      <c r="A218" s="58"/>
      <c r="B218" s="86" t="s">
        <v>216</v>
      </c>
      <c r="C218" s="212"/>
      <c r="D218" s="45" t="s">
        <v>34</v>
      </c>
      <c r="E218" s="29">
        <v>0.12119999999999999</v>
      </c>
      <c r="F218" s="56"/>
      <c r="G218" s="85">
        <v>40000</v>
      </c>
      <c r="H218" s="29">
        <f t="shared" si="30"/>
        <v>0</v>
      </c>
      <c r="I218" s="29">
        <f t="shared" si="31"/>
        <v>4847.9999999999991</v>
      </c>
      <c r="J218" s="30">
        <f>I218</f>
        <v>4847.9999999999991</v>
      </c>
      <c r="K218" s="357">
        <f t="shared" si="32"/>
        <v>0</v>
      </c>
      <c r="L218" s="357">
        <f t="shared" si="33"/>
        <v>0</v>
      </c>
      <c r="Y218" s="201"/>
      <c r="Z218" s="49"/>
    </row>
    <row r="219" spans="1:26" s="25" customFormat="1" ht="15.6" customHeight="1" outlineLevel="1" x14ac:dyDescent="0.3">
      <c r="A219" s="58"/>
      <c r="B219" s="86" t="s">
        <v>217</v>
      </c>
      <c r="C219" s="212"/>
      <c r="D219" s="45" t="s">
        <v>34</v>
      </c>
      <c r="E219" s="29">
        <v>6.3300000000000009E-2</v>
      </c>
      <c r="F219" s="56"/>
      <c r="G219" s="85">
        <v>40000</v>
      </c>
      <c r="H219" s="29">
        <f t="shared" si="30"/>
        <v>0</v>
      </c>
      <c r="I219" s="29">
        <f t="shared" si="31"/>
        <v>2532.0000000000005</v>
      </c>
      <c r="J219" s="30">
        <f>I219</f>
        <v>2532.0000000000005</v>
      </c>
      <c r="K219" s="357">
        <f t="shared" si="32"/>
        <v>0</v>
      </c>
      <c r="L219" s="357">
        <f t="shared" si="33"/>
        <v>0</v>
      </c>
      <c r="Y219" s="201"/>
      <c r="Z219" s="49"/>
    </row>
    <row r="220" spans="1:26" s="25" customFormat="1" ht="15.6" customHeight="1" outlineLevel="1" x14ac:dyDescent="0.3">
      <c r="A220" s="26" t="s">
        <v>218</v>
      </c>
      <c r="B220" s="53" t="s">
        <v>219</v>
      </c>
      <c r="C220" s="83"/>
      <c r="D220" s="45" t="s">
        <v>22</v>
      </c>
      <c r="E220" s="29">
        <f>'[1]41'!D220</f>
        <v>2</v>
      </c>
      <c r="F220" s="56">
        <v>1500</v>
      </c>
      <c r="G220" s="85"/>
      <c r="H220" s="29">
        <f t="shared" si="30"/>
        <v>3000</v>
      </c>
      <c r="I220" s="29">
        <f t="shared" si="31"/>
        <v>0</v>
      </c>
      <c r="J220" s="30">
        <f>H220</f>
        <v>3000</v>
      </c>
      <c r="K220" s="357">
        <f t="shared" si="32"/>
        <v>0</v>
      </c>
      <c r="L220" s="357">
        <f t="shared" si="33"/>
        <v>0</v>
      </c>
      <c r="Y220" s="201"/>
      <c r="Z220" s="49"/>
    </row>
    <row r="221" spans="1:26" s="25" customFormat="1" ht="15.6" customHeight="1" outlineLevel="1" x14ac:dyDescent="0.3">
      <c r="A221" s="58"/>
      <c r="B221" s="86" t="s">
        <v>220</v>
      </c>
      <c r="C221" s="212"/>
      <c r="D221" s="45" t="s">
        <v>34</v>
      </c>
      <c r="E221" s="46">
        <f>'[1]41'!D221</f>
        <v>0.11</v>
      </c>
      <c r="F221" s="29"/>
      <c r="G221" s="52">
        <v>40000</v>
      </c>
      <c r="H221" s="29">
        <f t="shared" si="30"/>
        <v>0</v>
      </c>
      <c r="I221" s="29">
        <f t="shared" si="31"/>
        <v>4400</v>
      </c>
      <c r="J221" s="30">
        <f>H221+I221</f>
        <v>4400</v>
      </c>
      <c r="K221" s="357">
        <f t="shared" si="32"/>
        <v>0</v>
      </c>
      <c r="L221" s="357">
        <f t="shared" si="33"/>
        <v>0</v>
      </c>
      <c r="Y221" s="201"/>
      <c r="Z221" s="49"/>
    </row>
    <row r="222" spans="1:26" s="25" customFormat="1" ht="15.6" customHeight="1" outlineLevel="1" x14ac:dyDescent="0.3">
      <c r="A222" s="26" t="s">
        <v>221</v>
      </c>
      <c r="B222" s="53" t="s">
        <v>103</v>
      </c>
      <c r="C222" s="83"/>
      <c r="D222" s="45" t="s">
        <v>38</v>
      </c>
      <c r="E222" s="28">
        <f>'[1]41'!D222</f>
        <v>93.461579999999998</v>
      </c>
      <c r="F222" s="28">
        <v>150</v>
      </c>
      <c r="G222" s="109"/>
      <c r="H222" s="29">
        <f t="shared" si="30"/>
        <v>14019.236999999999</v>
      </c>
      <c r="I222" s="29">
        <f t="shared" si="31"/>
        <v>0</v>
      </c>
      <c r="J222" s="30">
        <f>H222</f>
        <v>14019.236999999999</v>
      </c>
      <c r="K222" s="357">
        <f t="shared" si="32"/>
        <v>0</v>
      </c>
      <c r="L222" s="357">
        <f t="shared" si="33"/>
        <v>0</v>
      </c>
      <c r="Y222" s="201"/>
      <c r="Z222" s="49"/>
    </row>
    <row r="223" spans="1:26" s="25" customFormat="1" ht="15.6" customHeight="1" outlineLevel="1" x14ac:dyDescent="0.3">
      <c r="A223" s="58"/>
      <c r="B223" s="86" t="s">
        <v>222</v>
      </c>
      <c r="C223" s="212"/>
      <c r="D223" s="45" t="s">
        <v>40</v>
      </c>
      <c r="E223" s="29">
        <f>'[1]41'!D223</f>
        <v>18.692316000000002</v>
      </c>
      <c r="F223" s="109"/>
      <c r="G223" s="85">
        <v>85</v>
      </c>
      <c r="H223" s="29">
        <f t="shared" si="30"/>
        <v>0</v>
      </c>
      <c r="I223" s="29">
        <f t="shared" si="31"/>
        <v>1588.8468600000001</v>
      </c>
      <c r="J223" s="30">
        <f>I223</f>
        <v>1588.8468600000001</v>
      </c>
      <c r="K223" s="357">
        <f t="shared" si="32"/>
        <v>0</v>
      </c>
      <c r="L223" s="357">
        <f t="shared" si="33"/>
        <v>0</v>
      </c>
      <c r="Y223" s="201"/>
      <c r="Z223" s="49"/>
    </row>
    <row r="224" spans="1:26" s="25" customFormat="1" ht="15.6" customHeight="1" outlineLevel="1" x14ac:dyDescent="0.3">
      <c r="A224" s="58"/>
      <c r="B224" s="86" t="s">
        <v>223</v>
      </c>
      <c r="C224" s="212"/>
      <c r="D224" s="45" t="s">
        <v>40</v>
      </c>
      <c r="E224" s="29">
        <f>'[1]41'!D224</f>
        <v>28.038473999999997</v>
      </c>
      <c r="F224" s="109"/>
      <c r="G224" s="85">
        <v>115</v>
      </c>
      <c r="H224" s="29">
        <f t="shared" si="30"/>
        <v>0</v>
      </c>
      <c r="I224" s="29">
        <f t="shared" si="31"/>
        <v>3224.4245099999998</v>
      </c>
      <c r="J224" s="30">
        <f>I224</f>
        <v>3224.4245099999998</v>
      </c>
      <c r="K224" s="357">
        <f t="shared" si="32"/>
        <v>0</v>
      </c>
      <c r="L224" s="357">
        <f t="shared" si="33"/>
        <v>0</v>
      </c>
      <c r="Y224" s="201"/>
      <c r="Z224" s="49"/>
    </row>
    <row r="225" spans="1:26" s="48" customFormat="1" outlineLevel="1" x14ac:dyDescent="0.3">
      <c r="A225" s="47"/>
      <c r="B225" s="64" t="s">
        <v>67</v>
      </c>
      <c r="C225" s="65"/>
      <c r="D225" s="60"/>
      <c r="E225" s="61"/>
      <c r="F225" s="62"/>
      <c r="G225" s="63"/>
      <c r="H225" s="65">
        <f>SUM(H208:H224)</f>
        <v>129881.63699999999</v>
      </c>
      <c r="I225" s="29"/>
      <c r="J225" s="66">
        <f>H225</f>
        <v>129881.63699999999</v>
      </c>
      <c r="K225" s="357">
        <f t="shared" si="32"/>
        <v>0</v>
      </c>
      <c r="L225" s="357">
        <f t="shared" si="33"/>
        <v>0</v>
      </c>
      <c r="N225" s="49"/>
      <c r="O225" s="49"/>
      <c r="P225" s="49"/>
      <c r="Q225" s="49"/>
      <c r="R225" s="49"/>
      <c r="S225" s="49"/>
      <c r="T225" s="49"/>
      <c r="U225" s="49"/>
      <c r="V225" s="49"/>
      <c r="W225" s="49"/>
      <c r="X225" s="49"/>
      <c r="Y225" s="201"/>
      <c r="Z225" s="49"/>
    </row>
    <row r="226" spans="1:26" s="48" customFormat="1" outlineLevel="1" x14ac:dyDescent="0.3">
      <c r="A226" s="47"/>
      <c r="B226" s="64" t="s">
        <v>68</v>
      </c>
      <c r="C226" s="65"/>
      <c r="D226" s="60"/>
      <c r="E226" s="61"/>
      <c r="F226" s="62"/>
      <c r="G226" s="63"/>
      <c r="H226" s="65"/>
      <c r="I226" s="65">
        <f>SUM(I208:I224)</f>
        <v>234828.97137000001</v>
      </c>
      <c r="J226" s="66">
        <f>I226</f>
        <v>234828.97137000001</v>
      </c>
      <c r="K226" s="357">
        <f t="shared" si="32"/>
        <v>0</v>
      </c>
      <c r="L226" s="357">
        <f t="shared" si="33"/>
        <v>0</v>
      </c>
      <c r="N226" s="49"/>
      <c r="O226" s="49"/>
      <c r="P226" s="49"/>
      <c r="Q226" s="49"/>
      <c r="R226" s="49"/>
      <c r="S226" s="49"/>
      <c r="T226" s="49"/>
      <c r="U226" s="49"/>
      <c r="V226" s="49"/>
      <c r="W226" s="49"/>
      <c r="X226" s="49"/>
      <c r="Y226" s="201"/>
      <c r="Z226" s="49"/>
    </row>
    <row r="227" spans="1:26" s="48" customFormat="1" outlineLevel="1" x14ac:dyDescent="0.3">
      <c r="A227" s="47"/>
      <c r="B227" s="64" t="s">
        <v>69</v>
      </c>
      <c r="C227" s="65"/>
      <c r="D227" s="60"/>
      <c r="E227" s="61"/>
      <c r="F227" s="62"/>
      <c r="G227" s="63"/>
      <c r="H227" s="65"/>
      <c r="I227" s="62"/>
      <c r="J227" s="66">
        <f>H227</f>
        <v>0</v>
      </c>
      <c r="K227" s="357">
        <f t="shared" si="32"/>
        <v>0</v>
      </c>
      <c r="L227" s="357">
        <f t="shared" si="33"/>
        <v>0</v>
      </c>
      <c r="N227" s="49"/>
      <c r="O227" s="49"/>
      <c r="P227" s="49"/>
      <c r="Q227" s="49"/>
      <c r="R227" s="49"/>
      <c r="S227" s="49"/>
      <c r="T227" s="49"/>
      <c r="U227" s="49"/>
      <c r="V227" s="49"/>
      <c r="W227" s="49"/>
      <c r="X227" s="49"/>
      <c r="Y227" s="201"/>
      <c r="Z227" s="49"/>
    </row>
    <row r="228" spans="1:26" s="48" customFormat="1" outlineLevel="1" x14ac:dyDescent="0.3">
      <c r="A228" s="47"/>
      <c r="B228" s="64" t="s">
        <v>70</v>
      </c>
      <c r="C228" s="65"/>
      <c r="D228" s="60"/>
      <c r="E228" s="61"/>
      <c r="F228" s="62"/>
      <c r="G228" s="63"/>
      <c r="H228" s="65"/>
      <c r="I228" s="62"/>
      <c r="J228" s="66">
        <f>H228</f>
        <v>0</v>
      </c>
      <c r="K228" s="357">
        <f t="shared" si="32"/>
        <v>0</v>
      </c>
      <c r="L228" s="357">
        <f t="shared" si="33"/>
        <v>0</v>
      </c>
      <c r="N228" s="49"/>
      <c r="O228" s="49"/>
      <c r="P228" s="49"/>
      <c r="Q228" s="49"/>
      <c r="R228" s="49"/>
      <c r="S228" s="49"/>
      <c r="T228" s="49"/>
      <c r="U228" s="49"/>
      <c r="V228" s="49"/>
      <c r="W228" s="49"/>
      <c r="X228" s="49"/>
      <c r="Y228" s="201"/>
      <c r="Z228" s="49"/>
    </row>
    <row r="229" spans="1:26" s="25" customFormat="1" ht="15.6" customHeight="1" x14ac:dyDescent="0.3">
      <c r="A229" s="58" t="s">
        <v>832</v>
      </c>
      <c r="B229" s="100" t="s">
        <v>224</v>
      </c>
      <c r="C229" s="99"/>
      <c r="D229" s="99"/>
      <c r="E229" s="101"/>
      <c r="F229" s="101"/>
      <c r="G229" s="104"/>
      <c r="H229" s="101">
        <f>H225+H227+H228</f>
        <v>129881.63699999999</v>
      </c>
      <c r="I229" s="101">
        <f>I226</f>
        <v>234828.97137000001</v>
      </c>
      <c r="J229" s="101">
        <f>J225+J226+J227+J228</f>
        <v>364710.60837000003</v>
      </c>
      <c r="K229" s="357">
        <f t="shared" si="32"/>
        <v>0</v>
      </c>
      <c r="L229" s="357">
        <f t="shared" si="33"/>
        <v>0</v>
      </c>
      <c r="M229" s="48"/>
      <c r="Y229" s="201"/>
      <c r="Z229" s="49"/>
    </row>
    <row r="230" spans="1:26" s="25" customFormat="1" ht="15.6" customHeight="1" x14ac:dyDescent="0.3">
      <c r="A230" s="58"/>
      <c r="B230" s="72" t="s">
        <v>72</v>
      </c>
      <c r="C230" s="161"/>
      <c r="D230" s="39"/>
      <c r="E230" s="28"/>
      <c r="F230" s="28"/>
      <c r="G230" s="50"/>
      <c r="H230" s="28"/>
      <c r="I230" s="28"/>
      <c r="J230" s="28">
        <f>ROUND(J229/1.18*0.18,2)</f>
        <v>55633.82</v>
      </c>
      <c r="K230" s="357">
        <f t="shared" si="32"/>
        <v>0</v>
      </c>
      <c r="L230" s="357">
        <f t="shared" si="33"/>
        <v>0</v>
      </c>
      <c r="Y230" s="201"/>
      <c r="Z230" s="49"/>
    </row>
    <row r="231" spans="1:26" s="25" customFormat="1" ht="23.25" customHeight="1" x14ac:dyDescent="0.3">
      <c r="A231" s="106"/>
      <c r="B231" s="90" t="s">
        <v>225</v>
      </c>
      <c r="C231" s="213"/>
      <c r="D231" s="106"/>
      <c r="E231" s="106"/>
      <c r="F231" s="106"/>
      <c r="G231" s="106"/>
      <c r="H231" s="106"/>
      <c r="I231" s="106"/>
      <c r="J231" s="106"/>
      <c r="K231" s="357">
        <f t="shared" si="32"/>
        <v>0</v>
      </c>
      <c r="L231" s="357">
        <f t="shared" si="33"/>
        <v>0</v>
      </c>
      <c r="Y231" s="201"/>
      <c r="Z231" s="49"/>
    </row>
    <row r="232" spans="1:26" s="25" customFormat="1" ht="15.6" customHeight="1" outlineLevel="1" x14ac:dyDescent="0.3">
      <c r="A232" s="26" t="s">
        <v>228</v>
      </c>
      <c r="B232" s="53" t="s">
        <v>229</v>
      </c>
      <c r="C232" s="83"/>
      <c r="D232" s="83" t="s">
        <v>22</v>
      </c>
      <c r="E232" s="28">
        <v>39</v>
      </c>
      <c r="F232" s="28">
        <v>2000</v>
      </c>
      <c r="G232" s="50"/>
      <c r="H232" s="29">
        <f>F232*E232</f>
        <v>78000</v>
      </c>
      <c r="I232" s="30"/>
      <c r="J232" s="30">
        <f>H232+I232</f>
        <v>78000</v>
      </c>
      <c r="K232" s="357">
        <f t="shared" si="32"/>
        <v>0</v>
      </c>
      <c r="L232" s="357">
        <f t="shared" si="33"/>
        <v>0</v>
      </c>
      <c r="Y232" s="201"/>
      <c r="Z232" s="49"/>
    </row>
    <row r="233" spans="1:26" s="25" customFormat="1" ht="15.6" customHeight="1" outlineLevel="1" x14ac:dyDescent="0.3">
      <c r="A233" s="105"/>
      <c r="B233" s="86" t="s">
        <v>230</v>
      </c>
      <c r="C233" s="212"/>
      <c r="D233" s="45" t="s">
        <v>34</v>
      </c>
      <c r="E233" s="29">
        <f>'[1]41'!D284</f>
        <v>6.6772799999999988</v>
      </c>
      <c r="F233" s="28"/>
      <c r="G233" s="85">
        <v>37000</v>
      </c>
      <c r="H233" s="29">
        <f t="shared" ref="H233:H244" si="34">F233*E233</f>
        <v>0</v>
      </c>
      <c r="I233" s="29">
        <f>G233*E233</f>
        <v>247059.35999999996</v>
      </c>
      <c r="J233" s="30">
        <f>I233</f>
        <v>247059.35999999996</v>
      </c>
      <c r="K233" s="357">
        <f t="shared" si="32"/>
        <v>0</v>
      </c>
      <c r="L233" s="357">
        <f t="shared" si="33"/>
        <v>0</v>
      </c>
      <c r="Y233" s="201"/>
      <c r="Z233" s="49"/>
    </row>
    <row r="234" spans="1:26" s="25" customFormat="1" ht="15.6" customHeight="1" outlineLevel="1" x14ac:dyDescent="0.3">
      <c r="A234" s="105"/>
      <c r="B234" s="86" t="s">
        <v>231</v>
      </c>
      <c r="C234" s="212"/>
      <c r="D234" s="45" t="s">
        <v>38</v>
      </c>
      <c r="E234" s="29">
        <f>'[1]41'!D286</f>
        <v>251.64000000000001</v>
      </c>
      <c r="F234" s="28"/>
      <c r="G234" s="85">
        <v>280</v>
      </c>
      <c r="H234" s="29">
        <f t="shared" si="34"/>
        <v>0</v>
      </c>
      <c r="I234" s="29">
        <f t="shared" ref="I234:I244" si="35">G234*E234</f>
        <v>70459.199999999997</v>
      </c>
      <c r="J234" s="30">
        <f>I234</f>
        <v>70459.199999999997</v>
      </c>
      <c r="K234" s="357">
        <f t="shared" si="32"/>
        <v>0</v>
      </c>
      <c r="L234" s="357">
        <f t="shared" si="33"/>
        <v>0</v>
      </c>
      <c r="Y234" s="201"/>
      <c r="Z234" s="49"/>
    </row>
    <row r="235" spans="1:26" s="25" customFormat="1" ht="15.6" customHeight="1" outlineLevel="1" x14ac:dyDescent="0.3">
      <c r="A235" s="105"/>
      <c r="B235" s="86" t="s">
        <v>232</v>
      </c>
      <c r="C235" s="212"/>
      <c r="D235" s="45" t="s">
        <v>22</v>
      </c>
      <c r="E235" s="29">
        <v>39</v>
      </c>
      <c r="F235" s="28">
        <v>600</v>
      </c>
      <c r="G235" s="85"/>
      <c r="H235" s="29">
        <f t="shared" si="34"/>
        <v>23400</v>
      </c>
      <c r="I235" s="29">
        <f t="shared" si="35"/>
        <v>0</v>
      </c>
      <c r="J235" s="30">
        <f>H235+I235</f>
        <v>23400</v>
      </c>
      <c r="K235" s="357">
        <f t="shared" si="32"/>
        <v>0</v>
      </c>
      <c r="L235" s="357">
        <f t="shared" si="33"/>
        <v>0</v>
      </c>
      <c r="Y235" s="201"/>
      <c r="Z235" s="49"/>
    </row>
    <row r="236" spans="1:26" s="25" customFormat="1" ht="15.6" customHeight="1" outlineLevel="1" x14ac:dyDescent="0.3">
      <c r="A236" s="26" t="s">
        <v>233</v>
      </c>
      <c r="B236" s="53" t="s">
        <v>234</v>
      </c>
      <c r="C236" s="83"/>
      <c r="D236" s="83" t="s">
        <v>22</v>
      </c>
      <c r="E236" s="28">
        <v>10</v>
      </c>
      <c r="F236" s="28">
        <v>2000</v>
      </c>
      <c r="G236" s="50"/>
      <c r="H236" s="29">
        <f t="shared" si="34"/>
        <v>20000</v>
      </c>
      <c r="I236" s="29">
        <f t="shared" si="35"/>
        <v>0</v>
      </c>
      <c r="J236" s="30">
        <f>H236+I236</f>
        <v>20000</v>
      </c>
      <c r="K236" s="357">
        <f t="shared" si="32"/>
        <v>0</v>
      </c>
      <c r="L236" s="357">
        <f t="shared" si="33"/>
        <v>0</v>
      </c>
      <c r="Y236" s="201"/>
      <c r="Z236" s="49"/>
    </row>
    <row r="237" spans="1:26" s="25" customFormat="1" ht="15.6" customHeight="1" outlineLevel="1" x14ac:dyDescent="0.3">
      <c r="A237" s="105"/>
      <c r="B237" s="110" t="s">
        <v>230</v>
      </c>
      <c r="C237" s="225"/>
      <c r="D237" s="45" t="s">
        <v>34</v>
      </c>
      <c r="E237" s="29">
        <f>'[1]41'!D288</f>
        <v>0.98666000000000009</v>
      </c>
      <c r="F237" s="28"/>
      <c r="G237" s="85">
        <v>37000</v>
      </c>
      <c r="H237" s="29">
        <f t="shared" si="34"/>
        <v>0</v>
      </c>
      <c r="I237" s="29">
        <f t="shared" si="35"/>
        <v>36506.420000000006</v>
      </c>
      <c r="J237" s="30">
        <f>I237</f>
        <v>36506.420000000006</v>
      </c>
      <c r="K237" s="357">
        <f t="shared" si="32"/>
        <v>0</v>
      </c>
      <c r="L237" s="357">
        <f t="shared" si="33"/>
        <v>0</v>
      </c>
      <c r="Y237" s="201"/>
      <c r="Z237" s="49"/>
    </row>
    <row r="238" spans="1:26" s="25" customFormat="1" ht="15.6" customHeight="1" outlineLevel="1" x14ac:dyDescent="0.3">
      <c r="A238" s="26" t="s">
        <v>235</v>
      </c>
      <c r="B238" s="53" t="s">
        <v>236</v>
      </c>
      <c r="C238" s="83"/>
      <c r="D238" s="83" t="s">
        <v>22</v>
      </c>
      <c r="E238" s="28">
        <v>10</v>
      </c>
      <c r="F238" s="28">
        <v>3000</v>
      </c>
      <c r="G238" s="50"/>
      <c r="H238" s="29">
        <f t="shared" si="34"/>
        <v>30000</v>
      </c>
      <c r="I238" s="29">
        <f t="shared" si="35"/>
        <v>0</v>
      </c>
      <c r="J238" s="30">
        <f>H238+I238</f>
        <v>30000</v>
      </c>
      <c r="K238" s="357">
        <f t="shared" si="32"/>
        <v>0</v>
      </c>
      <c r="L238" s="357">
        <f t="shared" si="33"/>
        <v>0</v>
      </c>
      <c r="Y238" s="201"/>
      <c r="Z238" s="49"/>
    </row>
    <row r="239" spans="1:26" s="25" customFormat="1" ht="15.6" customHeight="1" outlineLevel="1" x14ac:dyDescent="0.3">
      <c r="A239" s="105"/>
      <c r="B239" s="86" t="s">
        <v>237</v>
      </c>
      <c r="C239" s="212"/>
      <c r="D239" s="45" t="s">
        <v>38</v>
      </c>
      <c r="E239" s="29">
        <f>'[1]41'!D290</f>
        <v>117.35000000000001</v>
      </c>
      <c r="F239" s="28"/>
      <c r="G239" s="85">
        <v>280</v>
      </c>
      <c r="H239" s="29">
        <f t="shared" si="34"/>
        <v>0</v>
      </c>
      <c r="I239" s="29">
        <f t="shared" si="35"/>
        <v>32858</v>
      </c>
      <c r="J239" s="30">
        <f>I239</f>
        <v>32858</v>
      </c>
      <c r="K239" s="357">
        <f t="shared" si="32"/>
        <v>0</v>
      </c>
      <c r="L239" s="357">
        <f t="shared" si="33"/>
        <v>0</v>
      </c>
      <c r="Y239" s="201"/>
      <c r="Z239" s="49"/>
    </row>
    <row r="240" spans="1:26" s="25" customFormat="1" ht="15.6" customHeight="1" outlineLevel="1" x14ac:dyDescent="0.3">
      <c r="A240" s="105"/>
      <c r="B240" s="86" t="s">
        <v>238</v>
      </c>
      <c r="C240" s="212"/>
      <c r="D240" s="45" t="s">
        <v>22</v>
      </c>
      <c r="E240" s="29">
        <f>'[1]41'!D291</f>
        <v>13</v>
      </c>
      <c r="F240" s="28"/>
      <c r="G240" s="85">
        <v>1200</v>
      </c>
      <c r="H240" s="29">
        <f t="shared" si="34"/>
        <v>0</v>
      </c>
      <c r="I240" s="29">
        <f t="shared" si="35"/>
        <v>15600</v>
      </c>
      <c r="J240" s="30">
        <f>I240</f>
        <v>15600</v>
      </c>
      <c r="K240" s="357">
        <f t="shared" si="32"/>
        <v>0</v>
      </c>
      <c r="L240" s="357">
        <f t="shared" si="33"/>
        <v>0</v>
      </c>
      <c r="Y240" s="201"/>
      <c r="Z240" s="49"/>
    </row>
    <row r="241" spans="1:26" s="25" customFormat="1" ht="15.6" customHeight="1" outlineLevel="1" x14ac:dyDescent="0.3">
      <c r="A241" s="105"/>
      <c r="B241" s="86" t="s">
        <v>239</v>
      </c>
      <c r="C241" s="212"/>
      <c r="D241" s="45" t="s">
        <v>38</v>
      </c>
      <c r="E241" s="29">
        <f>'[1]41'!D292</f>
        <v>15.18</v>
      </c>
      <c r="F241" s="28"/>
      <c r="G241" s="85">
        <v>250</v>
      </c>
      <c r="H241" s="29">
        <f t="shared" si="34"/>
        <v>0</v>
      </c>
      <c r="I241" s="29">
        <f t="shared" si="35"/>
        <v>3795</v>
      </c>
      <c r="J241" s="30">
        <f>I241</f>
        <v>3795</v>
      </c>
      <c r="K241" s="357">
        <f t="shared" si="32"/>
        <v>0</v>
      </c>
      <c r="L241" s="357">
        <f t="shared" si="33"/>
        <v>0</v>
      </c>
      <c r="Y241" s="201"/>
      <c r="Z241" s="49"/>
    </row>
    <row r="242" spans="1:26" s="25" customFormat="1" ht="15.6" customHeight="1" outlineLevel="1" x14ac:dyDescent="0.3">
      <c r="A242" s="26" t="s">
        <v>240</v>
      </c>
      <c r="B242" s="53" t="s">
        <v>103</v>
      </c>
      <c r="C242" s="83"/>
      <c r="D242" s="45" t="s">
        <v>38</v>
      </c>
      <c r="E242" s="28">
        <f>E233*27+E237*27</f>
        <v>206.92637999999999</v>
      </c>
      <c r="F242" s="28">
        <v>150</v>
      </c>
      <c r="G242" s="109"/>
      <c r="H242" s="29">
        <f t="shared" si="34"/>
        <v>31038.956999999999</v>
      </c>
      <c r="I242" s="29">
        <f t="shared" si="35"/>
        <v>0</v>
      </c>
      <c r="J242" s="30">
        <f>H242</f>
        <v>31038.956999999999</v>
      </c>
      <c r="K242" s="357">
        <f t="shared" si="32"/>
        <v>0</v>
      </c>
      <c r="L242" s="357">
        <f t="shared" si="33"/>
        <v>0</v>
      </c>
      <c r="Y242" s="201"/>
      <c r="Z242" s="49"/>
    </row>
    <row r="243" spans="1:26" s="25" customFormat="1" ht="15.6" customHeight="1" outlineLevel="1" x14ac:dyDescent="0.3">
      <c r="A243" s="105"/>
      <c r="B243" s="86" t="s">
        <v>222</v>
      </c>
      <c r="C243" s="212"/>
      <c r="D243" s="45" t="s">
        <v>40</v>
      </c>
      <c r="E243" s="29">
        <f>E242*0.2</f>
        <v>41.385276000000005</v>
      </c>
      <c r="F243" s="109"/>
      <c r="G243" s="85">
        <v>85</v>
      </c>
      <c r="H243" s="29">
        <f t="shared" si="34"/>
        <v>0</v>
      </c>
      <c r="I243" s="29">
        <f t="shared" si="35"/>
        <v>3517.7484600000003</v>
      </c>
      <c r="J243" s="30">
        <f>I243</f>
        <v>3517.7484600000003</v>
      </c>
      <c r="K243" s="357">
        <f t="shared" si="32"/>
        <v>0</v>
      </c>
      <c r="L243" s="357">
        <f t="shared" si="33"/>
        <v>0</v>
      </c>
      <c r="Y243" s="201"/>
      <c r="Z243" s="49"/>
    </row>
    <row r="244" spans="1:26" s="25" customFormat="1" ht="15.6" customHeight="1" outlineLevel="1" x14ac:dyDescent="0.3">
      <c r="A244" s="105"/>
      <c r="B244" s="86" t="s">
        <v>223</v>
      </c>
      <c r="C244" s="212"/>
      <c r="D244" s="45" t="s">
        <v>40</v>
      </c>
      <c r="E244" s="29">
        <f>E242*0.3</f>
        <v>62.077913999999993</v>
      </c>
      <c r="F244" s="109"/>
      <c r="G244" s="85">
        <v>115</v>
      </c>
      <c r="H244" s="29">
        <f t="shared" si="34"/>
        <v>0</v>
      </c>
      <c r="I244" s="29">
        <f t="shared" si="35"/>
        <v>7138.9601099999991</v>
      </c>
      <c r="J244" s="30">
        <f>I244</f>
        <v>7138.9601099999991</v>
      </c>
      <c r="K244" s="357">
        <f t="shared" si="32"/>
        <v>0</v>
      </c>
      <c r="L244" s="357">
        <f t="shared" si="33"/>
        <v>0</v>
      </c>
      <c r="Y244" s="201"/>
      <c r="Z244" s="49"/>
    </row>
    <row r="245" spans="1:26" s="25" customFormat="1" ht="15.6" customHeight="1" x14ac:dyDescent="0.3">
      <c r="A245" s="105" t="s">
        <v>832</v>
      </c>
      <c r="B245" s="100" t="s">
        <v>227</v>
      </c>
      <c r="C245" s="99"/>
      <c r="D245" s="99"/>
      <c r="E245" s="101"/>
      <c r="F245" s="101"/>
      <c r="G245" s="104"/>
      <c r="H245" s="101">
        <f>SUM(H232:H244)</f>
        <v>182438.95699999999</v>
      </c>
      <c r="I245" s="101">
        <f>SUM(I232:I244)</f>
        <v>416934.68856999988</v>
      </c>
      <c r="J245" s="101">
        <f>ROUND(SUM(J232:J244),2)</f>
        <v>599373.65</v>
      </c>
      <c r="K245" s="357">
        <f t="shared" si="32"/>
        <v>0</v>
      </c>
      <c r="L245" s="357">
        <f t="shared" si="33"/>
        <v>0</v>
      </c>
      <c r="M245" s="48"/>
      <c r="Y245" s="201"/>
      <c r="Z245" s="49"/>
    </row>
    <row r="246" spans="1:26" s="25" customFormat="1" ht="15.6" customHeight="1" x14ac:dyDescent="0.3">
      <c r="A246" s="105"/>
      <c r="B246" s="72" t="s">
        <v>72</v>
      </c>
      <c r="C246" s="161"/>
      <c r="D246" s="39"/>
      <c r="E246" s="28"/>
      <c r="F246" s="28"/>
      <c r="G246" s="50"/>
      <c r="H246" s="28"/>
      <c r="I246" s="28"/>
      <c r="J246" s="28">
        <f>ROUND(J245/1.18*0.18,2)</f>
        <v>91429.88</v>
      </c>
      <c r="K246" s="357">
        <f t="shared" si="32"/>
        <v>0</v>
      </c>
      <c r="L246" s="357">
        <f t="shared" si="33"/>
        <v>0</v>
      </c>
      <c r="Y246" s="201"/>
      <c r="Z246" s="49"/>
    </row>
    <row r="247" spans="1:26" ht="21" customHeight="1" x14ac:dyDescent="0.3">
      <c r="A247" s="103"/>
      <c r="B247" s="90" t="s">
        <v>241</v>
      </c>
      <c r="C247" s="213"/>
      <c r="D247" s="23"/>
      <c r="E247" s="23"/>
      <c r="F247" s="23"/>
      <c r="G247" s="22"/>
      <c r="H247" s="23"/>
      <c r="I247" s="23"/>
      <c r="J247" s="24"/>
      <c r="K247" s="357">
        <f t="shared" si="32"/>
        <v>0</v>
      </c>
      <c r="L247" s="357">
        <f t="shared" si="33"/>
        <v>0</v>
      </c>
      <c r="Z247" s="49"/>
    </row>
    <row r="248" spans="1:26" outlineLevel="1" x14ac:dyDescent="0.3">
      <c r="A248" s="26" t="s">
        <v>242</v>
      </c>
      <c r="B248" s="27" t="s">
        <v>243</v>
      </c>
      <c r="C248" s="161"/>
      <c r="D248" s="29" t="s">
        <v>38</v>
      </c>
      <c r="E248" s="40">
        <f>'[1]41'!D299</f>
        <v>648.41750000000002</v>
      </c>
      <c r="F248" s="40">
        <v>420</v>
      </c>
      <c r="G248" s="41"/>
      <c r="H248" s="29">
        <f>F248*E248</f>
        <v>272335.35000000003</v>
      </c>
      <c r="I248" s="77"/>
      <c r="J248" s="41">
        <f>I248+H248</f>
        <v>272335.35000000003</v>
      </c>
      <c r="K248" s="357">
        <f t="shared" si="32"/>
        <v>0</v>
      </c>
      <c r="L248" s="357">
        <f t="shared" si="33"/>
        <v>0</v>
      </c>
      <c r="Z248" s="49"/>
    </row>
    <row r="249" spans="1:26" ht="15" customHeight="1" outlineLevel="1" x14ac:dyDescent="0.3">
      <c r="A249" s="34"/>
      <c r="B249" s="111" t="s">
        <v>244</v>
      </c>
      <c r="C249" s="154"/>
      <c r="D249" s="112" t="s">
        <v>38</v>
      </c>
      <c r="E249" s="77">
        <f>ROUND(E248*1.1,2)</f>
        <v>713.26</v>
      </c>
      <c r="F249" s="77"/>
      <c r="G249" s="41">
        <f>ROUND(10.1*1.1,2)</f>
        <v>11.11</v>
      </c>
      <c r="H249" s="29">
        <f t="shared" ref="H249:H300" si="36">F249*E249</f>
        <v>0</v>
      </c>
      <c r="I249" s="29">
        <f>G249*E249</f>
        <v>7924.3185999999996</v>
      </c>
      <c r="J249" s="41">
        <f t="shared" ref="J249:J263" si="37">I249+H249</f>
        <v>7924.3185999999996</v>
      </c>
      <c r="K249" s="357">
        <f t="shared" si="32"/>
        <v>0</v>
      </c>
      <c r="L249" s="357">
        <f t="shared" si="33"/>
        <v>0</v>
      </c>
      <c r="Z249" s="49"/>
    </row>
    <row r="250" spans="1:26" outlineLevel="1" x14ac:dyDescent="0.3">
      <c r="A250" s="34"/>
      <c r="B250" s="113" t="s">
        <v>245</v>
      </c>
      <c r="C250" s="118"/>
      <c r="D250" s="112" t="s">
        <v>25</v>
      </c>
      <c r="E250" s="77">
        <f>'[1]41'!D301</f>
        <v>54.47</v>
      </c>
      <c r="F250" s="77"/>
      <c r="G250" s="41">
        <v>1300</v>
      </c>
      <c r="H250" s="29">
        <f t="shared" si="36"/>
        <v>0</v>
      </c>
      <c r="I250" s="29">
        <f t="shared" ref="I250:I300" si="38">G250*E250</f>
        <v>70811</v>
      </c>
      <c r="J250" s="41">
        <f t="shared" si="37"/>
        <v>70811</v>
      </c>
      <c r="K250" s="357">
        <f t="shared" si="32"/>
        <v>0</v>
      </c>
      <c r="L250" s="357">
        <f t="shared" si="33"/>
        <v>0</v>
      </c>
      <c r="Z250" s="49"/>
    </row>
    <row r="251" spans="1:26" outlineLevel="1" x14ac:dyDescent="0.3">
      <c r="A251" s="34"/>
      <c r="B251" s="113" t="s">
        <v>246</v>
      </c>
      <c r="C251" s="118"/>
      <c r="D251" s="114" t="s">
        <v>25</v>
      </c>
      <c r="E251" s="77">
        <f>'[1]41'!D302</f>
        <v>123.2</v>
      </c>
      <c r="F251" s="77"/>
      <c r="G251" s="41">
        <v>4400</v>
      </c>
      <c r="H251" s="29">
        <f t="shared" si="36"/>
        <v>0</v>
      </c>
      <c r="I251" s="29">
        <f t="shared" si="38"/>
        <v>542080</v>
      </c>
      <c r="J251" s="41">
        <f t="shared" si="37"/>
        <v>542080</v>
      </c>
      <c r="K251" s="357">
        <f t="shared" si="32"/>
        <v>0</v>
      </c>
      <c r="L251" s="357">
        <f t="shared" si="33"/>
        <v>0</v>
      </c>
      <c r="Z251" s="49"/>
    </row>
    <row r="252" spans="1:26" outlineLevel="1" x14ac:dyDescent="0.3">
      <c r="A252" s="34"/>
      <c r="B252" s="115" t="s">
        <v>247</v>
      </c>
      <c r="C252" s="162"/>
      <c r="D252" s="114" t="s">
        <v>38</v>
      </c>
      <c r="E252" s="77">
        <f>E248</f>
        <v>648.41750000000002</v>
      </c>
      <c r="F252" s="77"/>
      <c r="G252" s="41">
        <v>360</v>
      </c>
      <c r="H252" s="29">
        <f t="shared" si="36"/>
        <v>0</v>
      </c>
      <c r="I252" s="29">
        <f t="shared" si="38"/>
        <v>233430.30000000002</v>
      </c>
      <c r="J252" s="41">
        <f t="shared" si="37"/>
        <v>233430.30000000002</v>
      </c>
      <c r="K252" s="357">
        <f t="shared" si="32"/>
        <v>0</v>
      </c>
      <c r="L252" s="357">
        <f t="shared" si="33"/>
        <v>0</v>
      </c>
      <c r="Z252" s="49"/>
    </row>
    <row r="253" spans="1:26" outlineLevel="1" x14ac:dyDescent="0.3">
      <c r="A253" s="34"/>
      <c r="B253" s="113" t="s">
        <v>248</v>
      </c>
      <c r="C253" s="118"/>
      <c r="D253" s="114" t="s">
        <v>40</v>
      </c>
      <c r="E253" s="77">
        <f>ROUND(E248*1.4,2)</f>
        <v>907.78</v>
      </c>
      <c r="F253" s="77"/>
      <c r="G253" s="30">
        <v>45.4</v>
      </c>
      <c r="H253" s="29">
        <f t="shared" si="36"/>
        <v>0</v>
      </c>
      <c r="I253" s="29">
        <f t="shared" si="38"/>
        <v>41213.212</v>
      </c>
      <c r="J253" s="41">
        <f t="shared" si="37"/>
        <v>41213.212</v>
      </c>
      <c r="K253" s="357">
        <f t="shared" si="32"/>
        <v>0</v>
      </c>
      <c r="L253" s="357">
        <f t="shared" si="33"/>
        <v>0</v>
      </c>
      <c r="Z253" s="49"/>
    </row>
    <row r="254" spans="1:26" outlineLevel="1" x14ac:dyDescent="0.3">
      <c r="A254" s="34"/>
      <c r="B254" s="113" t="s">
        <v>249</v>
      </c>
      <c r="C254" s="118"/>
      <c r="D254" s="114" t="s">
        <v>38</v>
      </c>
      <c r="E254" s="77">
        <f>ROUND(E248*1.015,2)</f>
        <v>658.14</v>
      </c>
      <c r="F254" s="77"/>
      <c r="G254" s="41">
        <v>109.41</v>
      </c>
      <c r="H254" s="29">
        <f t="shared" si="36"/>
        <v>0</v>
      </c>
      <c r="I254" s="29">
        <f t="shared" si="38"/>
        <v>72007.097399999999</v>
      </c>
      <c r="J254" s="41">
        <f t="shared" si="37"/>
        <v>72007.097399999999</v>
      </c>
      <c r="K254" s="357">
        <f t="shared" si="32"/>
        <v>0</v>
      </c>
      <c r="L254" s="357">
        <f t="shared" si="33"/>
        <v>0</v>
      </c>
      <c r="Z254" s="49"/>
    </row>
    <row r="255" spans="1:26" outlineLevel="1" x14ac:dyDescent="0.3">
      <c r="A255" s="34"/>
      <c r="B255" s="113" t="s">
        <v>250</v>
      </c>
      <c r="C255" s="118"/>
      <c r="D255" s="29" t="s">
        <v>38</v>
      </c>
      <c r="E255" s="77">
        <f>ROUND(E248*1.01,2)</f>
        <v>654.9</v>
      </c>
      <c r="F255" s="77"/>
      <c r="G255" s="41">
        <v>154.75</v>
      </c>
      <c r="H255" s="29">
        <f t="shared" si="36"/>
        <v>0</v>
      </c>
      <c r="I255" s="29">
        <f t="shared" si="38"/>
        <v>101345.77499999999</v>
      </c>
      <c r="J255" s="41">
        <f t="shared" si="37"/>
        <v>101345.77499999999</v>
      </c>
      <c r="K255" s="357">
        <f t="shared" si="32"/>
        <v>0</v>
      </c>
      <c r="L255" s="357">
        <f t="shared" si="33"/>
        <v>0</v>
      </c>
      <c r="Z255" s="49"/>
    </row>
    <row r="256" spans="1:26" ht="31.2" outlineLevel="1" x14ac:dyDescent="0.3">
      <c r="A256" s="26" t="s">
        <v>251</v>
      </c>
      <c r="B256" s="27" t="s">
        <v>252</v>
      </c>
      <c r="C256" s="161"/>
      <c r="D256" s="28" t="s">
        <v>38</v>
      </c>
      <c r="E256" s="40">
        <f>'[1]41'!D307</f>
        <v>195.66679999999997</v>
      </c>
      <c r="F256" s="40">
        <v>200</v>
      </c>
      <c r="G256" s="41"/>
      <c r="H256" s="29">
        <f t="shared" si="36"/>
        <v>39133.359999999993</v>
      </c>
      <c r="I256" s="29">
        <f t="shared" si="38"/>
        <v>0</v>
      </c>
      <c r="J256" s="41">
        <f>I256+H256</f>
        <v>39133.359999999993</v>
      </c>
      <c r="K256" s="357">
        <f t="shared" si="32"/>
        <v>0</v>
      </c>
      <c r="L256" s="357">
        <f t="shared" si="33"/>
        <v>0</v>
      </c>
      <c r="Z256" s="49"/>
    </row>
    <row r="257" spans="1:26" outlineLevel="1" x14ac:dyDescent="0.3">
      <c r="A257" s="34"/>
      <c r="B257" s="111" t="s">
        <v>249</v>
      </c>
      <c r="C257" s="154"/>
      <c r="D257" s="114" t="s">
        <v>38</v>
      </c>
      <c r="E257" s="77">
        <f>ROUND(E256*1.015,2)</f>
        <v>198.6</v>
      </c>
      <c r="F257" s="77"/>
      <c r="G257" s="41">
        <v>109.41</v>
      </c>
      <c r="H257" s="29">
        <f t="shared" si="36"/>
        <v>0</v>
      </c>
      <c r="I257" s="29">
        <f t="shared" si="38"/>
        <v>21728.825999999997</v>
      </c>
      <c r="J257" s="41">
        <f>I257+H257</f>
        <v>21728.825999999997</v>
      </c>
      <c r="K257" s="357">
        <f t="shared" si="32"/>
        <v>0</v>
      </c>
      <c r="L257" s="357">
        <f t="shared" si="33"/>
        <v>0</v>
      </c>
      <c r="Z257" s="49"/>
    </row>
    <row r="258" spans="1:26" outlineLevel="1" x14ac:dyDescent="0.3">
      <c r="A258" s="34"/>
      <c r="B258" s="111" t="s">
        <v>250</v>
      </c>
      <c r="C258" s="154"/>
      <c r="D258" s="29" t="s">
        <v>38</v>
      </c>
      <c r="E258" s="77">
        <f>ROUND(E256*1.01,2)</f>
        <v>197.62</v>
      </c>
      <c r="F258" s="77"/>
      <c r="G258" s="41">
        <v>154.75</v>
      </c>
      <c r="H258" s="29">
        <f t="shared" si="36"/>
        <v>0</v>
      </c>
      <c r="I258" s="29">
        <f t="shared" si="38"/>
        <v>30581.695</v>
      </c>
      <c r="J258" s="41">
        <f>I258+H258</f>
        <v>30581.695</v>
      </c>
      <c r="K258" s="357">
        <f t="shared" si="32"/>
        <v>0</v>
      </c>
      <c r="L258" s="357">
        <f t="shared" si="33"/>
        <v>0</v>
      </c>
      <c r="Z258" s="49"/>
    </row>
    <row r="259" spans="1:26" outlineLevel="1" x14ac:dyDescent="0.3">
      <c r="B259" s="111" t="s">
        <v>253</v>
      </c>
      <c r="C259" s="154"/>
      <c r="D259" s="29" t="s">
        <v>22</v>
      </c>
      <c r="E259" s="117">
        <f>'[1]41'!D310</f>
        <v>10</v>
      </c>
      <c r="F259" s="77"/>
      <c r="G259" s="41">
        <v>650</v>
      </c>
      <c r="H259" s="29">
        <f t="shared" si="36"/>
        <v>0</v>
      </c>
      <c r="I259" s="29">
        <f t="shared" si="38"/>
        <v>6500</v>
      </c>
      <c r="J259" s="41">
        <f>I259+H259</f>
        <v>6500</v>
      </c>
      <c r="K259" s="357">
        <f t="shared" si="32"/>
        <v>0</v>
      </c>
      <c r="L259" s="357">
        <f t="shared" si="33"/>
        <v>0</v>
      </c>
      <c r="Z259" s="49"/>
    </row>
    <row r="260" spans="1:26" outlineLevel="1" x14ac:dyDescent="0.3">
      <c r="A260" s="34"/>
      <c r="B260" s="111" t="s">
        <v>254</v>
      </c>
      <c r="C260" s="154"/>
      <c r="D260" s="29" t="s">
        <v>22</v>
      </c>
      <c r="E260" s="77">
        <f>'[1]41'!D311</f>
        <v>21.2</v>
      </c>
      <c r="F260" s="77"/>
      <c r="G260" s="41">
        <v>650</v>
      </c>
      <c r="H260" s="29">
        <f t="shared" si="36"/>
        <v>0</v>
      </c>
      <c r="I260" s="29">
        <f t="shared" si="38"/>
        <v>13780</v>
      </c>
      <c r="J260" s="41">
        <f>I260+H260</f>
        <v>13780</v>
      </c>
      <c r="K260" s="357">
        <f t="shared" si="32"/>
        <v>0</v>
      </c>
      <c r="L260" s="357">
        <f t="shared" si="33"/>
        <v>0</v>
      </c>
      <c r="Z260" s="49"/>
    </row>
    <row r="261" spans="1:26" outlineLevel="1" x14ac:dyDescent="0.3">
      <c r="A261" s="26" t="s">
        <v>255</v>
      </c>
      <c r="B261" s="27" t="s">
        <v>256</v>
      </c>
      <c r="C261" s="161"/>
      <c r="D261" s="29" t="s">
        <v>38</v>
      </c>
      <c r="E261" s="40">
        <f>'[1]41'!D312</f>
        <v>119.79599999999999</v>
      </c>
      <c r="F261" s="40">
        <v>150</v>
      </c>
      <c r="G261" s="41"/>
      <c r="H261" s="29">
        <f t="shared" si="36"/>
        <v>17969.399999999998</v>
      </c>
      <c r="I261" s="29">
        <f t="shared" si="38"/>
        <v>0</v>
      </c>
      <c r="J261" s="41">
        <f t="shared" si="37"/>
        <v>17969.399999999998</v>
      </c>
      <c r="K261" s="357">
        <f t="shared" si="32"/>
        <v>0</v>
      </c>
      <c r="L261" s="357">
        <f t="shared" si="33"/>
        <v>0</v>
      </c>
      <c r="Z261" s="49"/>
    </row>
    <row r="262" spans="1:26" outlineLevel="1" x14ac:dyDescent="0.3">
      <c r="A262" s="34"/>
      <c r="B262" s="111" t="s">
        <v>257</v>
      </c>
      <c r="C262" s="154"/>
      <c r="D262" s="114" t="s">
        <v>40</v>
      </c>
      <c r="E262" s="77">
        <f>'[1]41'!D313</f>
        <v>704</v>
      </c>
      <c r="F262" s="77"/>
      <c r="G262" s="41">
        <v>32</v>
      </c>
      <c r="H262" s="29">
        <f t="shared" si="36"/>
        <v>0</v>
      </c>
      <c r="I262" s="29">
        <f t="shared" si="38"/>
        <v>22528</v>
      </c>
      <c r="J262" s="41">
        <f t="shared" si="37"/>
        <v>22528</v>
      </c>
      <c r="K262" s="357">
        <f t="shared" si="32"/>
        <v>0</v>
      </c>
      <c r="L262" s="357">
        <f t="shared" si="33"/>
        <v>0</v>
      </c>
      <c r="Z262" s="49"/>
    </row>
    <row r="263" spans="1:26" outlineLevel="1" x14ac:dyDescent="0.3">
      <c r="A263" s="34"/>
      <c r="B263" s="111" t="s">
        <v>258</v>
      </c>
      <c r="C263" s="154"/>
      <c r="D263" s="29" t="s">
        <v>40</v>
      </c>
      <c r="E263" s="77">
        <f>'[1]41'!D314</f>
        <v>245.99999999999997</v>
      </c>
      <c r="F263" s="77"/>
      <c r="G263" s="41">
        <v>32</v>
      </c>
      <c r="H263" s="29">
        <f t="shared" si="36"/>
        <v>0</v>
      </c>
      <c r="I263" s="29">
        <f t="shared" si="38"/>
        <v>7871.9999999999991</v>
      </c>
      <c r="J263" s="41">
        <f t="shared" si="37"/>
        <v>7871.9999999999991</v>
      </c>
      <c r="K263" s="357">
        <f t="shared" si="32"/>
        <v>0</v>
      </c>
      <c r="L263" s="357">
        <f t="shared" si="33"/>
        <v>0</v>
      </c>
      <c r="Z263" s="49"/>
    </row>
    <row r="264" spans="1:26" outlineLevel="1" x14ac:dyDescent="0.3">
      <c r="A264" s="34"/>
      <c r="B264" s="111" t="s">
        <v>259</v>
      </c>
      <c r="C264" s="154"/>
      <c r="D264" s="29" t="s">
        <v>34</v>
      </c>
      <c r="E264" s="77">
        <f>'[1]41'!D315</f>
        <v>0.59799999999999998</v>
      </c>
      <c r="F264" s="77"/>
      <c r="G264" s="41">
        <v>42000</v>
      </c>
      <c r="H264" s="29">
        <f t="shared" si="36"/>
        <v>0</v>
      </c>
      <c r="I264" s="29">
        <f t="shared" si="38"/>
        <v>25116</v>
      </c>
      <c r="J264" s="41">
        <f>I264+H264</f>
        <v>25116</v>
      </c>
      <c r="K264" s="357">
        <f t="shared" si="32"/>
        <v>0</v>
      </c>
      <c r="L264" s="357">
        <f t="shared" si="33"/>
        <v>0</v>
      </c>
      <c r="Z264" s="49"/>
    </row>
    <row r="265" spans="1:26" outlineLevel="1" x14ac:dyDescent="0.3">
      <c r="A265" s="26" t="s">
        <v>260</v>
      </c>
      <c r="B265" s="27" t="s">
        <v>261</v>
      </c>
      <c r="C265" s="161"/>
      <c r="D265" s="28" t="s">
        <v>262</v>
      </c>
      <c r="E265" s="40">
        <f>'[1]41'!D316</f>
        <v>134</v>
      </c>
      <c r="F265" s="40">
        <v>400</v>
      </c>
      <c r="G265" s="41"/>
      <c r="H265" s="29">
        <f t="shared" si="36"/>
        <v>53600</v>
      </c>
      <c r="I265" s="29">
        <f t="shared" si="38"/>
        <v>0</v>
      </c>
      <c r="J265" s="41">
        <f>I265+H265</f>
        <v>53600</v>
      </c>
      <c r="K265" s="357">
        <f t="shared" si="32"/>
        <v>0</v>
      </c>
      <c r="L265" s="357">
        <f t="shared" si="33"/>
        <v>0</v>
      </c>
      <c r="Z265" s="49"/>
    </row>
    <row r="266" spans="1:26" outlineLevel="1" x14ac:dyDescent="0.3">
      <c r="A266" s="34"/>
      <c r="B266" s="86" t="s">
        <v>263</v>
      </c>
      <c r="C266" s="212"/>
      <c r="D266" s="114" t="s">
        <v>40</v>
      </c>
      <c r="E266" s="77">
        <f>'[1]41'!D317</f>
        <v>558.78</v>
      </c>
      <c r="F266" s="77"/>
      <c r="G266" s="41">
        <v>36</v>
      </c>
      <c r="H266" s="29">
        <f t="shared" si="36"/>
        <v>0</v>
      </c>
      <c r="I266" s="29">
        <f t="shared" si="38"/>
        <v>20116.079999999998</v>
      </c>
      <c r="J266" s="41">
        <f>I266+H266</f>
        <v>20116.079999999998</v>
      </c>
      <c r="K266" s="357">
        <f t="shared" si="32"/>
        <v>0</v>
      </c>
      <c r="L266" s="357">
        <f t="shared" si="33"/>
        <v>0</v>
      </c>
      <c r="Z266" s="49"/>
    </row>
    <row r="267" spans="1:26" outlineLevel="1" x14ac:dyDescent="0.3">
      <c r="A267" s="26" t="s">
        <v>264</v>
      </c>
      <c r="B267" s="53" t="s">
        <v>265</v>
      </c>
      <c r="C267" s="83"/>
      <c r="D267" s="45" t="s">
        <v>22</v>
      </c>
      <c r="E267" s="29">
        <f>'[1]41'!D318</f>
        <v>2</v>
      </c>
      <c r="F267" s="56">
        <v>1500</v>
      </c>
      <c r="G267" s="85"/>
      <c r="H267" s="29">
        <f t="shared" si="36"/>
        <v>3000</v>
      </c>
      <c r="I267" s="29">
        <f t="shared" si="38"/>
        <v>0</v>
      </c>
      <c r="J267" s="30">
        <f>H267</f>
        <v>3000</v>
      </c>
      <c r="K267" s="357">
        <f t="shared" si="32"/>
        <v>0</v>
      </c>
      <c r="L267" s="357">
        <f t="shared" si="33"/>
        <v>0</v>
      </c>
      <c r="Z267" s="49"/>
    </row>
    <row r="268" spans="1:26" outlineLevel="1" x14ac:dyDescent="0.3">
      <c r="A268" s="34"/>
      <c r="B268" s="86" t="s">
        <v>220</v>
      </c>
      <c r="C268" s="212"/>
      <c r="D268" s="45" t="s">
        <v>40</v>
      </c>
      <c r="E268" s="46">
        <f>'[1]41'!D319</f>
        <v>250.9</v>
      </c>
      <c r="F268" s="29"/>
      <c r="G268" s="52">
        <v>40</v>
      </c>
      <c r="H268" s="29">
        <f t="shared" si="36"/>
        <v>0</v>
      </c>
      <c r="I268" s="29">
        <f t="shared" si="38"/>
        <v>10036</v>
      </c>
      <c r="J268" s="30">
        <f>H268+I268</f>
        <v>10036</v>
      </c>
      <c r="K268" s="357">
        <f t="shared" si="32"/>
        <v>0</v>
      </c>
      <c r="L268" s="357">
        <f t="shared" si="33"/>
        <v>0</v>
      </c>
      <c r="Z268" s="49"/>
    </row>
    <row r="269" spans="1:26" outlineLevel="1" x14ac:dyDescent="0.3">
      <c r="A269" s="26" t="s">
        <v>266</v>
      </c>
      <c r="B269" s="27" t="s">
        <v>267</v>
      </c>
      <c r="C269" s="161"/>
      <c r="D269" s="114" t="s">
        <v>22</v>
      </c>
      <c r="E269" s="77">
        <f>'[1]41'!D320</f>
        <v>1</v>
      </c>
      <c r="F269" s="56">
        <v>1500</v>
      </c>
      <c r="G269" s="85"/>
      <c r="H269" s="29">
        <f t="shared" si="36"/>
        <v>1500</v>
      </c>
      <c r="I269" s="29">
        <f t="shared" si="38"/>
        <v>0</v>
      </c>
      <c r="J269" s="30">
        <f>H269</f>
        <v>1500</v>
      </c>
      <c r="K269" s="357">
        <f t="shared" si="32"/>
        <v>0</v>
      </c>
      <c r="L269" s="357">
        <f t="shared" si="33"/>
        <v>0</v>
      </c>
      <c r="Z269" s="49"/>
    </row>
    <row r="270" spans="1:26" outlineLevel="1" x14ac:dyDescent="0.3">
      <c r="A270" s="34"/>
      <c r="B270" s="86" t="s">
        <v>268</v>
      </c>
      <c r="C270" s="212"/>
      <c r="D270" s="114" t="s">
        <v>22</v>
      </c>
      <c r="E270" s="77">
        <f>'[1]41'!D321</f>
        <v>3</v>
      </c>
      <c r="F270" s="77"/>
      <c r="G270" s="85">
        <v>10000</v>
      </c>
      <c r="H270" s="29">
        <f t="shared" si="36"/>
        <v>0</v>
      </c>
      <c r="I270" s="29">
        <f t="shared" si="38"/>
        <v>30000</v>
      </c>
      <c r="J270" s="30">
        <f>I270</f>
        <v>30000</v>
      </c>
      <c r="K270" s="357">
        <f t="shared" si="32"/>
        <v>0</v>
      </c>
      <c r="L270" s="357">
        <f t="shared" si="33"/>
        <v>0</v>
      </c>
      <c r="Z270" s="49"/>
    </row>
    <row r="271" spans="1:26" outlineLevel="1" x14ac:dyDescent="0.3">
      <c r="A271" s="34"/>
      <c r="B271" s="86" t="s">
        <v>163</v>
      </c>
      <c r="C271" s="212"/>
      <c r="D271" s="114" t="s">
        <v>40</v>
      </c>
      <c r="E271" s="77">
        <f>'[1]41'!D322</f>
        <v>11.6</v>
      </c>
      <c r="F271" s="77"/>
      <c r="G271" s="41"/>
      <c r="H271" s="29">
        <f t="shared" si="36"/>
        <v>0</v>
      </c>
      <c r="I271" s="29">
        <f t="shared" si="38"/>
        <v>0</v>
      </c>
      <c r="J271" s="41"/>
      <c r="K271" s="357">
        <f t="shared" si="32"/>
        <v>0</v>
      </c>
      <c r="L271" s="357">
        <f t="shared" si="33"/>
        <v>0</v>
      </c>
      <c r="Z271" s="49"/>
    </row>
    <row r="272" spans="1:26" ht="31.2" outlineLevel="1" x14ac:dyDescent="0.3">
      <c r="A272" s="26" t="s">
        <v>269</v>
      </c>
      <c r="B272" s="27" t="s">
        <v>270</v>
      </c>
      <c r="C272" s="216"/>
      <c r="D272" s="54" t="s">
        <v>25</v>
      </c>
      <c r="E272" s="83">
        <f>'[1]41'!D323</f>
        <v>0.9</v>
      </c>
      <c r="F272" s="56">
        <v>1500</v>
      </c>
      <c r="G272" s="57"/>
      <c r="H272" s="29">
        <f t="shared" si="36"/>
        <v>1350</v>
      </c>
      <c r="I272" s="29">
        <f t="shared" si="38"/>
        <v>0</v>
      </c>
      <c r="J272" s="30">
        <f>H272+I272</f>
        <v>1350</v>
      </c>
      <c r="K272" s="357">
        <f t="shared" si="32"/>
        <v>0</v>
      </c>
      <c r="L272" s="357">
        <f t="shared" si="33"/>
        <v>0</v>
      </c>
      <c r="Z272" s="49"/>
    </row>
    <row r="273" spans="1:26" outlineLevel="1" x14ac:dyDescent="0.3">
      <c r="A273" s="34"/>
      <c r="B273" s="111" t="s">
        <v>271</v>
      </c>
      <c r="C273" s="154"/>
      <c r="D273" s="45" t="s">
        <v>40</v>
      </c>
      <c r="E273" s="46">
        <f>'[1]41'!D324</f>
        <v>1187</v>
      </c>
      <c r="F273" s="29"/>
      <c r="G273" s="52">
        <v>46</v>
      </c>
      <c r="H273" s="29">
        <f t="shared" si="36"/>
        <v>0</v>
      </c>
      <c r="I273" s="29">
        <f t="shared" si="38"/>
        <v>54602</v>
      </c>
      <c r="J273" s="30">
        <f>H273+I273</f>
        <v>54602</v>
      </c>
      <c r="K273" s="357">
        <f t="shared" si="32"/>
        <v>0</v>
      </c>
      <c r="L273" s="357">
        <f t="shared" si="33"/>
        <v>0</v>
      </c>
      <c r="Z273" s="49"/>
    </row>
    <row r="274" spans="1:26" outlineLevel="1" x14ac:dyDescent="0.3">
      <c r="A274" s="34"/>
      <c r="B274" s="86" t="s">
        <v>272</v>
      </c>
      <c r="C274" s="212"/>
      <c r="D274" s="45" t="s">
        <v>40</v>
      </c>
      <c r="E274" s="46">
        <f>'[1]41'!D325</f>
        <v>55.54</v>
      </c>
      <c r="F274" s="29"/>
      <c r="G274" s="30">
        <v>42</v>
      </c>
      <c r="H274" s="29">
        <f t="shared" si="36"/>
        <v>0</v>
      </c>
      <c r="I274" s="29">
        <f t="shared" si="38"/>
        <v>2332.6799999999998</v>
      </c>
      <c r="J274" s="30">
        <f>H274+I274</f>
        <v>2332.6799999999998</v>
      </c>
      <c r="K274" s="357">
        <f t="shared" si="32"/>
        <v>0</v>
      </c>
      <c r="L274" s="357">
        <f t="shared" si="33"/>
        <v>0</v>
      </c>
      <c r="Z274" s="49"/>
    </row>
    <row r="275" spans="1:26" s="31" customFormat="1" outlineLevel="1" x14ac:dyDescent="0.3">
      <c r="A275" s="34"/>
      <c r="B275" s="86" t="s">
        <v>273</v>
      </c>
      <c r="C275" s="212"/>
      <c r="D275" s="114" t="s">
        <v>40</v>
      </c>
      <c r="E275" s="77">
        <f>'[1]41'!D326</f>
        <v>5.56</v>
      </c>
      <c r="F275" s="77"/>
      <c r="G275" s="30">
        <v>42</v>
      </c>
      <c r="H275" s="29">
        <f t="shared" si="36"/>
        <v>0</v>
      </c>
      <c r="I275" s="29">
        <f t="shared" si="38"/>
        <v>233.51999999999998</v>
      </c>
      <c r="J275" s="30">
        <f>H275+I275</f>
        <v>233.51999999999998</v>
      </c>
      <c r="K275" s="357">
        <f t="shared" si="32"/>
        <v>0</v>
      </c>
      <c r="L275" s="357">
        <f t="shared" si="33"/>
        <v>0</v>
      </c>
      <c r="Y275" s="200"/>
      <c r="Z275" s="49"/>
    </row>
    <row r="276" spans="1:26" outlineLevel="1" x14ac:dyDescent="0.3">
      <c r="A276" s="34"/>
      <c r="B276" s="86" t="s">
        <v>274</v>
      </c>
      <c r="C276" s="212"/>
      <c r="D276" s="45" t="s">
        <v>25</v>
      </c>
      <c r="E276" s="46">
        <f>'[1]41'!D327</f>
        <v>0.91349999999999998</v>
      </c>
      <c r="F276" s="29"/>
      <c r="G276" s="30">
        <v>5000</v>
      </c>
      <c r="H276" s="29">
        <f t="shared" si="36"/>
        <v>0</v>
      </c>
      <c r="I276" s="29">
        <f t="shared" si="38"/>
        <v>4567.5</v>
      </c>
      <c r="J276" s="30">
        <f>H276+I276</f>
        <v>4567.5</v>
      </c>
      <c r="K276" s="357">
        <f t="shared" ref="K276:K339" si="39">IF(H276&gt;0,Z276,0)</f>
        <v>0</v>
      </c>
      <c r="L276" s="357">
        <f t="shared" ref="L276:L339" si="40">IF(I276&gt;0,Z276,0)</f>
        <v>0</v>
      </c>
      <c r="Z276" s="49"/>
    </row>
    <row r="277" spans="1:26" outlineLevel="1" x14ac:dyDescent="0.3">
      <c r="A277" s="34"/>
      <c r="B277" s="260" t="s">
        <v>275</v>
      </c>
      <c r="C277" s="118"/>
      <c r="D277" s="28"/>
      <c r="E277" s="40"/>
      <c r="F277" s="40"/>
      <c r="G277" s="119"/>
      <c r="H277" s="29">
        <f t="shared" si="36"/>
        <v>0</v>
      </c>
      <c r="I277" s="29">
        <f t="shared" si="38"/>
        <v>0</v>
      </c>
      <c r="J277" s="119"/>
      <c r="K277" s="357">
        <f t="shared" si="39"/>
        <v>0</v>
      </c>
      <c r="L277" s="357">
        <f t="shared" si="40"/>
        <v>0</v>
      </c>
      <c r="Z277" s="49"/>
    </row>
    <row r="278" spans="1:26" outlineLevel="1" x14ac:dyDescent="0.3">
      <c r="A278" s="26" t="s">
        <v>276</v>
      </c>
      <c r="B278" s="53" t="s">
        <v>277</v>
      </c>
      <c r="C278" s="83"/>
      <c r="D278" s="45" t="s">
        <v>25</v>
      </c>
      <c r="E278" s="29">
        <f>'[1]41'!D329</f>
        <v>1.5</v>
      </c>
      <c r="F278" s="56">
        <v>2800</v>
      </c>
      <c r="G278" s="85"/>
      <c r="H278" s="29">
        <f t="shared" si="36"/>
        <v>4200</v>
      </c>
      <c r="I278" s="29">
        <f t="shared" si="38"/>
        <v>0</v>
      </c>
      <c r="J278" s="30">
        <f>H278</f>
        <v>4200</v>
      </c>
      <c r="K278" s="357">
        <f t="shared" si="39"/>
        <v>0</v>
      </c>
      <c r="L278" s="357">
        <f t="shared" si="40"/>
        <v>0</v>
      </c>
      <c r="Z278" s="49"/>
    </row>
    <row r="279" spans="1:26" outlineLevel="1" x14ac:dyDescent="0.3">
      <c r="A279" s="34"/>
      <c r="B279" s="86" t="s">
        <v>278</v>
      </c>
      <c r="C279" s="212"/>
      <c r="D279" s="45" t="s">
        <v>25</v>
      </c>
      <c r="E279" s="46">
        <f>'[1]41'!D330</f>
        <v>1.5225</v>
      </c>
      <c r="F279" s="56"/>
      <c r="G279" s="30">
        <v>3450</v>
      </c>
      <c r="H279" s="29">
        <f t="shared" si="36"/>
        <v>0</v>
      </c>
      <c r="I279" s="29">
        <f t="shared" si="38"/>
        <v>5252.625</v>
      </c>
      <c r="J279" s="30">
        <f>H279+I279</f>
        <v>5252.625</v>
      </c>
      <c r="K279" s="357">
        <f t="shared" si="39"/>
        <v>0</v>
      </c>
      <c r="L279" s="357">
        <f t="shared" si="40"/>
        <v>0</v>
      </c>
      <c r="Z279" s="49"/>
    </row>
    <row r="280" spans="1:26" outlineLevel="1" x14ac:dyDescent="0.3">
      <c r="A280" s="34"/>
      <c r="B280" s="86" t="s">
        <v>226</v>
      </c>
      <c r="C280" s="212"/>
      <c r="D280" s="45" t="s">
        <v>25</v>
      </c>
      <c r="E280" s="29">
        <f>'[1]41'!D331</f>
        <v>2.1924000000000001</v>
      </c>
      <c r="F280" s="56"/>
      <c r="G280" s="30">
        <v>2800</v>
      </c>
      <c r="H280" s="29">
        <f t="shared" si="36"/>
        <v>0</v>
      </c>
      <c r="I280" s="29">
        <f t="shared" si="38"/>
        <v>6138.72</v>
      </c>
      <c r="J280" s="30">
        <f>I280</f>
        <v>6138.72</v>
      </c>
      <c r="K280" s="357">
        <f t="shared" si="39"/>
        <v>0</v>
      </c>
      <c r="L280" s="357">
        <f t="shared" si="40"/>
        <v>0</v>
      </c>
      <c r="Z280" s="49"/>
    </row>
    <row r="281" spans="1:26" outlineLevel="1" x14ac:dyDescent="0.3">
      <c r="A281" s="34"/>
      <c r="B281" s="86" t="s">
        <v>279</v>
      </c>
      <c r="C281" s="212"/>
      <c r="D281" s="45" t="s">
        <v>40</v>
      </c>
      <c r="E281" s="29">
        <f>'[1]41'!D332</f>
        <v>61.199999999999996</v>
      </c>
      <c r="F281" s="77"/>
      <c r="G281" s="41">
        <v>34</v>
      </c>
      <c r="H281" s="29">
        <f t="shared" si="36"/>
        <v>0</v>
      </c>
      <c r="I281" s="29">
        <f t="shared" si="38"/>
        <v>2080.7999999999997</v>
      </c>
      <c r="J281" s="41">
        <f>I281+H281</f>
        <v>2080.7999999999997</v>
      </c>
      <c r="K281" s="357">
        <f t="shared" si="39"/>
        <v>0</v>
      </c>
      <c r="L281" s="357">
        <f t="shared" si="40"/>
        <v>0</v>
      </c>
      <c r="Z281" s="49"/>
    </row>
    <row r="282" spans="1:26" outlineLevel="1" x14ac:dyDescent="0.3">
      <c r="A282" s="34"/>
      <c r="B282" s="86" t="s">
        <v>280</v>
      </c>
      <c r="C282" s="212"/>
      <c r="D282" s="45" t="s">
        <v>40</v>
      </c>
      <c r="E282" s="29">
        <f>'[1]41'!D333</f>
        <v>39.54</v>
      </c>
      <c r="F282" s="77"/>
      <c r="G282" s="41">
        <v>42</v>
      </c>
      <c r="H282" s="29">
        <f t="shared" si="36"/>
        <v>0</v>
      </c>
      <c r="I282" s="29">
        <f t="shared" si="38"/>
        <v>1660.68</v>
      </c>
      <c r="J282" s="41">
        <f>I282+H282</f>
        <v>1660.68</v>
      </c>
      <c r="K282" s="357">
        <f t="shared" si="39"/>
        <v>0</v>
      </c>
      <c r="L282" s="357">
        <f t="shared" si="40"/>
        <v>0</v>
      </c>
      <c r="Z282" s="49"/>
    </row>
    <row r="283" spans="1:26" outlineLevel="1" x14ac:dyDescent="0.3">
      <c r="A283" s="26" t="s">
        <v>281</v>
      </c>
      <c r="B283" s="53" t="s">
        <v>282</v>
      </c>
      <c r="C283" s="83"/>
      <c r="D283" s="83" t="s">
        <v>34</v>
      </c>
      <c r="E283" s="28">
        <f>SUM(E284:E294)*0.04/1000</f>
        <v>5.4955200000000003E-2</v>
      </c>
      <c r="F283" s="28">
        <v>40000</v>
      </c>
      <c r="G283" s="50"/>
      <c r="H283" s="29">
        <f t="shared" si="36"/>
        <v>2198.2080000000001</v>
      </c>
      <c r="I283" s="29">
        <f t="shared" si="38"/>
        <v>0</v>
      </c>
      <c r="J283" s="30">
        <f>H283+I283</f>
        <v>2198.2080000000001</v>
      </c>
      <c r="K283" s="357">
        <f t="shared" si="39"/>
        <v>0</v>
      </c>
      <c r="L283" s="357">
        <f t="shared" si="40"/>
        <v>0</v>
      </c>
      <c r="Z283" s="49"/>
    </row>
    <row r="284" spans="1:26" outlineLevel="1" x14ac:dyDescent="0.3">
      <c r="A284" s="34"/>
      <c r="B284" s="120" t="s">
        <v>283</v>
      </c>
      <c r="C284" s="226"/>
      <c r="D284" s="45" t="s">
        <v>40</v>
      </c>
      <c r="E284" s="29">
        <f>'[1]41'!D335</f>
        <v>583.79999999999995</v>
      </c>
      <c r="F284" s="77"/>
      <c r="G284" s="41">
        <v>33</v>
      </c>
      <c r="H284" s="29">
        <f t="shared" si="36"/>
        <v>0</v>
      </c>
      <c r="I284" s="29">
        <f t="shared" si="38"/>
        <v>19265.399999999998</v>
      </c>
      <c r="J284" s="41">
        <f t="shared" ref="J284:J293" si="41">I284+H284</f>
        <v>19265.399999999998</v>
      </c>
      <c r="K284" s="357">
        <f t="shared" si="39"/>
        <v>0</v>
      </c>
      <c r="L284" s="357">
        <f t="shared" si="40"/>
        <v>0</v>
      </c>
      <c r="Z284" s="49"/>
    </row>
    <row r="285" spans="1:26" outlineLevel="1" x14ac:dyDescent="0.3">
      <c r="A285" s="34"/>
      <c r="B285" s="120" t="s">
        <v>284</v>
      </c>
      <c r="C285" s="226"/>
      <c r="D285" s="45" t="s">
        <v>40</v>
      </c>
      <c r="E285" s="29">
        <f>'[1]41'!D336</f>
        <v>187.2</v>
      </c>
      <c r="F285" s="77"/>
      <c r="G285" s="41">
        <v>39</v>
      </c>
      <c r="H285" s="29">
        <f t="shared" si="36"/>
        <v>0</v>
      </c>
      <c r="I285" s="29">
        <f t="shared" si="38"/>
        <v>7300.7999999999993</v>
      </c>
      <c r="J285" s="41">
        <f t="shared" si="41"/>
        <v>7300.7999999999993</v>
      </c>
      <c r="K285" s="357">
        <f t="shared" si="39"/>
        <v>0</v>
      </c>
      <c r="L285" s="357">
        <f t="shared" si="40"/>
        <v>0</v>
      </c>
      <c r="Z285" s="49"/>
    </row>
    <row r="286" spans="1:26" outlineLevel="1" x14ac:dyDescent="0.3">
      <c r="A286" s="34"/>
      <c r="B286" s="86" t="s">
        <v>285</v>
      </c>
      <c r="C286" s="212"/>
      <c r="D286" s="45" t="s">
        <v>40</v>
      </c>
      <c r="E286" s="29">
        <f>'[1]41'!D337</f>
        <v>138.87</v>
      </c>
      <c r="F286" s="77"/>
      <c r="G286" s="41">
        <v>33</v>
      </c>
      <c r="H286" s="29">
        <f t="shared" si="36"/>
        <v>0</v>
      </c>
      <c r="I286" s="29">
        <f t="shared" si="38"/>
        <v>4582.71</v>
      </c>
      <c r="J286" s="41">
        <f t="shared" si="41"/>
        <v>4582.71</v>
      </c>
      <c r="K286" s="357">
        <f t="shared" si="39"/>
        <v>0</v>
      </c>
      <c r="L286" s="357">
        <f t="shared" si="40"/>
        <v>0</v>
      </c>
      <c r="Z286" s="49"/>
    </row>
    <row r="287" spans="1:26" outlineLevel="1" x14ac:dyDescent="0.3">
      <c r="A287" s="34"/>
      <c r="B287" s="86" t="s">
        <v>286</v>
      </c>
      <c r="C287" s="212"/>
      <c r="D287" s="45" t="s">
        <v>40</v>
      </c>
      <c r="E287" s="29">
        <f>'[1]41'!D338</f>
        <v>130.5</v>
      </c>
      <c r="F287" s="77"/>
      <c r="G287" s="41">
        <v>33</v>
      </c>
      <c r="H287" s="29">
        <f t="shared" si="36"/>
        <v>0</v>
      </c>
      <c r="I287" s="29">
        <f t="shared" si="38"/>
        <v>4306.5</v>
      </c>
      <c r="J287" s="41">
        <f t="shared" si="41"/>
        <v>4306.5</v>
      </c>
      <c r="K287" s="357">
        <f t="shared" si="39"/>
        <v>0</v>
      </c>
      <c r="L287" s="357">
        <f t="shared" si="40"/>
        <v>0</v>
      </c>
      <c r="Z287" s="49"/>
    </row>
    <row r="288" spans="1:26" outlineLevel="1" x14ac:dyDescent="0.3">
      <c r="A288" s="34"/>
      <c r="B288" s="86" t="s">
        <v>287</v>
      </c>
      <c r="C288" s="212"/>
      <c r="D288" s="45" t="s">
        <v>40</v>
      </c>
      <c r="E288" s="29">
        <f>'[1]41'!D339</f>
        <v>256.20000000000005</v>
      </c>
      <c r="F288" s="77"/>
      <c r="G288" s="41">
        <v>33</v>
      </c>
      <c r="H288" s="29">
        <f t="shared" si="36"/>
        <v>0</v>
      </c>
      <c r="I288" s="29">
        <f t="shared" si="38"/>
        <v>8454.6000000000022</v>
      </c>
      <c r="J288" s="41">
        <f t="shared" si="41"/>
        <v>8454.6000000000022</v>
      </c>
      <c r="K288" s="357">
        <f t="shared" si="39"/>
        <v>0</v>
      </c>
      <c r="L288" s="357">
        <f t="shared" si="40"/>
        <v>0</v>
      </c>
      <c r="Z288" s="49"/>
    </row>
    <row r="289" spans="1:26" outlineLevel="1" x14ac:dyDescent="0.3">
      <c r="A289" s="34"/>
      <c r="B289" s="86" t="s">
        <v>288</v>
      </c>
      <c r="C289" s="212"/>
      <c r="D289" s="45" t="s">
        <v>40</v>
      </c>
      <c r="E289" s="29">
        <f>'[1]41'!D340</f>
        <v>3.4200000000000004</v>
      </c>
      <c r="F289" s="77"/>
      <c r="G289" s="41">
        <v>33</v>
      </c>
      <c r="H289" s="29">
        <f t="shared" si="36"/>
        <v>0</v>
      </c>
      <c r="I289" s="29">
        <f t="shared" si="38"/>
        <v>112.86000000000001</v>
      </c>
      <c r="J289" s="41">
        <f t="shared" si="41"/>
        <v>112.86000000000001</v>
      </c>
      <c r="K289" s="357">
        <f t="shared" si="39"/>
        <v>0</v>
      </c>
      <c r="L289" s="357">
        <f t="shared" si="40"/>
        <v>0</v>
      </c>
      <c r="Z289" s="49"/>
    </row>
    <row r="290" spans="1:26" outlineLevel="1" x14ac:dyDescent="0.3">
      <c r="A290" s="34"/>
      <c r="B290" s="120" t="s">
        <v>289</v>
      </c>
      <c r="C290" s="226"/>
      <c r="D290" s="45" t="s">
        <v>40</v>
      </c>
      <c r="E290" s="29">
        <f>'[1]41'!D341</f>
        <v>2.88</v>
      </c>
      <c r="F290" s="77"/>
      <c r="G290" s="41">
        <v>31</v>
      </c>
      <c r="H290" s="29">
        <f t="shared" si="36"/>
        <v>0</v>
      </c>
      <c r="I290" s="29">
        <f t="shared" si="38"/>
        <v>89.28</v>
      </c>
      <c r="J290" s="41">
        <f t="shared" si="41"/>
        <v>89.28</v>
      </c>
      <c r="K290" s="357">
        <f t="shared" si="39"/>
        <v>0</v>
      </c>
      <c r="L290" s="357">
        <f t="shared" si="40"/>
        <v>0</v>
      </c>
      <c r="Z290" s="49"/>
    </row>
    <row r="291" spans="1:26" outlineLevel="1" x14ac:dyDescent="0.3">
      <c r="A291" s="34"/>
      <c r="B291" s="86" t="s">
        <v>290</v>
      </c>
      <c r="C291" s="212"/>
      <c r="D291" s="45" t="s">
        <v>40</v>
      </c>
      <c r="E291" s="29">
        <f>'[1]41'!D342</f>
        <v>1.2000000000000002</v>
      </c>
      <c r="F291" s="77"/>
      <c r="G291" s="41">
        <v>33</v>
      </c>
      <c r="H291" s="29">
        <f t="shared" si="36"/>
        <v>0</v>
      </c>
      <c r="I291" s="29">
        <f t="shared" si="38"/>
        <v>39.600000000000009</v>
      </c>
      <c r="J291" s="41">
        <f t="shared" si="41"/>
        <v>39.600000000000009</v>
      </c>
      <c r="K291" s="357">
        <f t="shared" si="39"/>
        <v>0</v>
      </c>
      <c r="L291" s="357">
        <f t="shared" si="40"/>
        <v>0</v>
      </c>
      <c r="Z291" s="49"/>
    </row>
    <row r="292" spans="1:26" outlineLevel="1" x14ac:dyDescent="0.3">
      <c r="A292" s="34"/>
      <c r="B292" s="86" t="s">
        <v>291</v>
      </c>
      <c r="C292" s="212"/>
      <c r="D292" s="45" t="s">
        <v>40</v>
      </c>
      <c r="E292" s="29">
        <f>'[1]41'!D343</f>
        <v>36</v>
      </c>
      <c r="F292" s="77"/>
      <c r="G292" s="41">
        <v>33</v>
      </c>
      <c r="H292" s="29">
        <f t="shared" si="36"/>
        <v>0</v>
      </c>
      <c r="I292" s="29">
        <f t="shared" si="38"/>
        <v>1188</v>
      </c>
      <c r="J292" s="41">
        <f>I292+H292</f>
        <v>1188</v>
      </c>
      <c r="K292" s="357">
        <f t="shared" si="39"/>
        <v>0</v>
      </c>
      <c r="L292" s="357">
        <f t="shared" si="40"/>
        <v>0</v>
      </c>
      <c r="Z292" s="49"/>
    </row>
    <row r="293" spans="1:26" outlineLevel="1" x14ac:dyDescent="0.3">
      <c r="A293" s="34"/>
      <c r="B293" s="86" t="s">
        <v>292</v>
      </c>
      <c r="C293" s="212"/>
      <c r="D293" s="45" t="s">
        <v>40</v>
      </c>
      <c r="E293" s="29">
        <f>'[1]41'!D344</f>
        <v>13.200000000000001</v>
      </c>
      <c r="F293" s="77"/>
      <c r="G293" s="41">
        <v>33</v>
      </c>
      <c r="H293" s="29">
        <f t="shared" si="36"/>
        <v>0</v>
      </c>
      <c r="I293" s="29">
        <f t="shared" si="38"/>
        <v>435.6</v>
      </c>
      <c r="J293" s="41">
        <f t="shared" si="41"/>
        <v>435.6</v>
      </c>
      <c r="K293" s="357">
        <f t="shared" si="39"/>
        <v>0</v>
      </c>
      <c r="L293" s="357">
        <f t="shared" si="40"/>
        <v>0</v>
      </c>
      <c r="Z293" s="49"/>
    </row>
    <row r="294" spans="1:26" outlineLevel="1" x14ac:dyDescent="0.3">
      <c r="A294" s="34"/>
      <c r="B294" s="86" t="s">
        <v>293</v>
      </c>
      <c r="C294" s="212"/>
      <c r="D294" s="45" t="s">
        <v>40</v>
      </c>
      <c r="E294" s="29">
        <v>20.61</v>
      </c>
      <c r="F294" s="77"/>
      <c r="G294" s="41">
        <v>34</v>
      </c>
      <c r="H294" s="29">
        <f t="shared" si="36"/>
        <v>0</v>
      </c>
      <c r="I294" s="29">
        <f t="shared" si="38"/>
        <v>700.74</v>
      </c>
      <c r="J294" s="41">
        <v>700.74</v>
      </c>
      <c r="K294" s="357">
        <f t="shared" si="39"/>
        <v>0</v>
      </c>
      <c r="L294" s="357">
        <f t="shared" si="40"/>
        <v>0</v>
      </c>
      <c r="Z294" s="49"/>
    </row>
    <row r="295" spans="1:26" outlineLevel="1" x14ac:dyDescent="0.3">
      <c r="A295" s="34"/>
      <c r="B295" s="86" t="s">
        <v>294</v>
      </c>
      <c r="C295" s="212"/>
      <c r="D295" s="45" t="s">
        <v>38</v>
      </c>
      <c r="E295" s="29">
        <f>'[1]41'!D346</f>
        <v>118.92000000000002</v>
      </c>
      <c r="F295" s="77"/>
      <c r="G295" s="85">
        <v>280</v>
      </c>
      <c r="H295" s="29">
        <f t="shared" si="36"/>
        <v>0</v>
      </c>
      <c r="I295" s="29">
        <f t="shared" si="38"/>
        <v>33297.600000000006</v>
      </c>
      <c r="J295" s="30">
        <f>I295</f>
        <v>33297.600000000006</v>
      </c>
      <c r="K295" s="357">
        <f t="shared" si="39"/>
        <v>0</v>
      </c>
      <c r="L295" s="357">
        <f t="shared" si="40"/>
        <v>0</v>
      </c>
      <c r="Z295" s="49"/>
    </row>
    <row r="296" spans="1:26" outlineLevel="1" x14ac:dyDescent="0.3">
      <c r="A296" s="34"/>
      <c r="B296" s="86" t="s">
        <v>295</v>
      </c>
      <c r="C296" s="212"/>
      <c r="D296" s="45" t="s">
        <v>38</v>
      </c>
      <c r="E296" s="29">
        <f>'[1]41'!D347</f>
        <v>145.92000000000002</v>
      </c>
      <c r="F296" s="77"/>
      <c r="G296" s="85">
        <v>280</v>
      </c>
      <c r="H296" s="29">
        <f t="shared" si="36"/>
        <v>0</v>
      </c>
      <c r="I296" s="29">
        <f t="shared" si="38"/>
        <v>40857.600000000006</v>
      </c>
      <c r="J296" s="30">
        <f>I296</f>
        <v>40857.600000000006</v>
      </c>
      <c r="K296" s="357">
        <f t="shared" si="39"/>
        <v>0</v>
      </c>
      <c r="L296" s="357">
        <f t="shared" si="40"/>
        <v>0</v>
      </c>
      <c r="Z296" s="49"/>
    </row>
    <row r="297" spans="1:26" outlineLevel="1" x14ac:dyDescent="0.3">
      <c r="A297" s="34"/>
      <c r="B297" s="94" t="s">
        <v>296</v>
      </c>
      <c r="C297" s="83"/>
      <c r="D297" s="45" t="s">
        <v>22</v>
      </c>
      <c r="E297" s="29">
        <f>'[1]41'!D348</f>
        <v>3</v>
      </c>
      <c r="F297" s="77"/>
      <c r="G297" s="41">
        <v>10000</v>
      </c>
      <c r="H297" s="29">
        <f t="shared" si="36"/>
        <v>0</v>
      </c>
      <c r="I297" s="29">
        <f t="shared" si="38"/>
        <v>30000</v>
      </c>
      <c r="J297" s="41">
        <f>I297+H297</f>
        <v>30000</v>
      </c>
      <c r="K297" s="357">
        <f t="shared" si="39"/>
        <v>0</v>
      </c>
      <c r="L297" s="357">
        <f t="shared" si="40"/>
        <v>0</v>
      </c>
      <c r="Z297" s="49"/>
    </row>
    <row r="298" spans="1:26" outlineLevel="1" x14ac:dyDescent="0.3">
      <c r="A298" s="26" t="s">
        <v>297</v>
      </c>
      <c r="B298" s="53" t="s">
        <v>103</v>
      </c>
      <c r="C298" s="83"/>
      <c r="D298" s="45" t="s">
        <v>38</v>
      </c>
      <c r="E298" s="28">
        <f>E283*27</f>
        <v>1.4837904000000002</v>
      </c>
      <c r="F298" s="28">
        <v>150</v>
      </c>
      <c r="G298" s="109"/>
      <c r="H298" s="29">
        <f t="shared" si="36"/>
        <v>222.56856000000002</v>
      </c>
      <c r="I298" s="29">
        <f t="shared" si="38"/>
        <v>0</v>
      </c>
      <c r="J298" s="30">
        <f>H298</f>
        <v>222.56856000000002</v>
      </c>
      <c r="K298" s="357">
        <f t="shared" si="39"/>
        <v>0</v>
      </c>
      <c r="L298" s="357">
        <f t="shared" si="40"/>
        <v>0</v>
      </c>
      <c r="Z298" s="49"/>
    </row>
    <row r="299" spans="1:26" outlineLevel="1" x14ac:dyDescent="0.3">
      <c r="A299" s="34"/>
      <c r="B299" s="86" t="s">
        <v>222</v>
      </c>
      <c r="C299" s="212"/>
      <c r="D299" s="45" t="s">
        <v>40</v>
      </c>
      <c r="E299" s="29">
        <f>E298*0.2</f>
        <v>0.29675808000000004</v>
      </c>
      <c r="F299" s="109"/>
      <c r="G299" s="85">
        <v>85</v>
      </c>
      <c r="H299" s="29">
        <f t="shared" si="36"/>
        <v>0</v>
      </c>
      <c r="I299" s="29">
        <f t="shared" si="38"/>
        <v>25.224436800000003</v>
      </c>
      <c r="J299" s="30">
        <f>I299</f>
        <v>25.224436800000003</v>
      </c>
      <c r="K299" s="357">
        <f t="shared" si="39"/>
        <v>0</v>
      </c>
      <c r="L299" s="357">
        <f t="shared" si="40"/>
        <v>0</v>
      </c>
      <c r="Z299" s="49"/>
    </row>
    <row r="300" spans="1:26" outlineLevel="1" x14ac:dyDescent="0.3">
      <c r="A300" s="34"/>
      <c r="B300" s="86" t="s">
        <v>223</v>
      </c>
      <c r="C300" s="212"/>
      <c r="D300" s="45" t="s">
        <v>40</v>
      </c>
      <c r="E300" s="29">
        <f>E298*0.3</f>
        <v>0.44513712000000005</v>
      </c>
      <c r="F300" s="109"/>
      <c r="G300" s="85">
        <v>115</v>
      </c>
      <c r="H300" s="29">
        <f t="shared" si="36"/>
        <v>0</v>
      </c>
      <c r="I300" s="29">
        <f t="shared" si="38"/>
        <v>51.190768800000008</v>
      </c>
      <c r="J300" s="30">
        <f>I300</f>
        <v>51.190768800000008</v>
      </c>
      <c r="K300" s="357">
        <f t="shared" si="39"/>
        <v>0</v>
      </c>
      <c r="L300" s="357">
        <f t="shared" si="40"/>
        <v>0</v>
      </c>
      <c r="Z300" s="49"/>
    </row>
    <row r="301" spans="1:26" s="48" customFormat="1" outlineLevel="1" x14ac:dyDescent="0.3">
      <c r="A301" s="47"/>
      <c r="B301" s="64" t="s">
        <v>67</v>
      </c>
      <c r="C301" s="65"/>
      <c r="D301" s="60"/>
      <c r="E301" s="61"/>
      <c r="F301" s="62"/>
      <c r="G301" s="63"/>
      <c r="H301" s="65">
        <f>SUM(H248:H300)</f>
        <v>395508.88656000001</v>
      </c>
      <c r="I301" s="62"/>
      <c r="J301" s="66">
        <f>H301</f>
        <v>395508.88656000001</v>
      </c>
      <c r="K301" s="357">
        <f t="shared" si="39"/>
        <v>0</v>
      </c>
      <c r="L301" s="357">
        <f t="shared" si="40"/>
        <v>0</v>
      </c>
      <c r="N301" s="49"/>
      <c r="O301" s="49"/>
      <c r="P301" s="49"/>
      <c r="Q301" s="49"/>
      <c r="R301" s="49"/>
      <c r="S301" s="49"/>
      <c r="T301" s="49"/>
      <c r="U301" s="49"/>
      <c r="V301" s="49"/>
      <c r="W301" s="49"/>
      <c r="X301" s="49"/>
      <c r="Y301" s="201"/>
      <c r="Z301" s="49"/>
    </row>
    <row r="302" spans="1:26" s="48" customFormat="1" outlineLevel="1" x14ac:dyDescent="0.3">
      <c r="A302" s="47"/>
      <c r="B302" s="64" t="s">
        <v>68</v>
      </c>
      <c r="C302" s="65"/>
      <c r="D302" s="60"/>
      <c r="E302" s="61"/>
      <c r="F302" s="62"/>
      <c r="G302" s="63"/>
      <c r="H302" s="65"/>
      <c r="I302" s="65">
        <f>SUM(I248:I300)</f>
        <v>1484646.5342056004</v>
      </c>
      <c r="J302" s="66">
        <f>I302</f>
        <v>1484646.5342056004</v>
      </c>
      <c r="K302" s="357">
        <f t="shared" si="39"/>
        <v>0</v>
      </c>
      <c r="L302" s="357">
        <f t="shared" si="40"/>
        <v>0</v>
      </c>
      <c r="N302" s="49"/>
      <c r="O302" s="49"/>
      <c r="P302" s="49"/>
      <c r="Q302" s="49"/>
      <c r="R302" s="49"/>
      <c r="S302" s="49"/>
      <c r="T302" s="49"/>
      <c r="U302" s="49"/>
      <c r="V302" s="49"/>
      <c r="W302" s="49"/>
      <c r="X302" s="49"/>
      <c r="Y302" s="201"/>
      <c r="Z302" s="49"/>
    </row>
    <row r="303" spans="1:26" s="48" customFormat="1" outlineLevel="1" x14ac:dyDescent="0.3">
      <c r="A303" s="47"/>
      <c r="B303" s="64" t="s">
        <v>69</v>
      </c>
      <c r="C303" s="65"/>
      <c r="D303" s="60"/>
      <c r="E303" s="61"/>
      <c r="F303" s="62"/>
      <c r="G303" s="63"/>
      <c r="H303" s="65"/>
      <c r="I303" s="62"/>
      <c r="J303" s="66">
        <f>H303</f>
        <v>0</v>
      </c>
      <c r="K303" s="357">
        <f t="shared" si="39"/>
        <v>0</v>
      </c>
      <c r="L303" s="357">
        <f t="shared" si="40"/>
        <v>0</v>
      </c>
      <c r="N303" s="49"/>
      <c r="O303" s="49"/>
      <c r="P303" s="49"/>
      <c r="Q303" s="49"/>
      <c r="R303" s="49"/>
      <c r="S303" s="49"/>
      <c r="T303" s="49"/>
      <c r="U303" s="49"/>
      <c r="V303" s="49"/>
      <c r="W303" s="49"/>
      <c r="X303" s="49"/>
      <c r="Y303" s="201"/>
      <c r="Z303" s="49"/>
    </row>
    <row r="304" spans="1:26" s="48" customFormat="1" outlineLevel="1" x14ac:dyDescent="0.3">
      <c r="A304" s="47"/>
      <c r="B304" s="64" t="s">
        <v>70</v>
      </c>
      <c r="C304" s="65"/>
      <c r="D304" s="60"/>
      <c r="E304" s="61"/>
      <c r="F304" s="62"/>
      <c r="G304" s="63"/>
      <c r="H304" s="65"/>
      <c r="I304" s="62"/>
      <c r="J304" s="66">
        <f>H304</f>
        <v>0</v>
      </c>
      <c r="K304" s="357">
        <f t="shared" si="39"/>
        <v>0</v>
      </c>
      <c r="L304" s="357">
        <f t="shared" si="40"/>
        <v>0</v>
      </c>
      <c r="N304" s="49"/>
      <c r="O304" s="49"/>
      <c r="P304" s="49"/>
      <c r="Q304" s="49"/>
      <c r="R304" s="49"/>
      <c r="S304" s="49"/>
      <c r="T304" s="49"/>
      <c r="U304" s="49"/>
      <c r="V304" s="49"/>
      <c r="W304" s="49"/>
      <c r="X304" s="49"/>
      <c r="Y304" s="201"/>
      <c r="Z304" s="49"/>
    </row>
    <row r="305" spans="1:259" x14ac:dyDescent="0.3">
      <c r="A305" s="97" t="s">
        <v>832</v>
      </c>
      <c r="B305" s="100" t="s">
        <v>298</v>
      </c>
      <c r="C305" s="99"/>
      <c r="D305" s="99"/>
      <c r="E305" s="101"/>
      <c r="F305" s="101"/>
      <c r="G305" s="104"/>
      <c r="H305" s="101">
        <f>H301+H303+H304</f>
        <v>395508.88656000001</v>
      </c>
      <c r="I305" s="101">
        <f>I302</f>
        <v>1484646.5342056004</v>
      </c>
      <c r="J305" s="101">
        <f>J301+J302+J303+J304</f>
        <v>1880155.4207656004</v>
      </c>
      <c r="K305" s="357">
        <f t="shared" si="39"/>
        <v>0</v>
      </c>
      <c r="L305" s="357">
        <f t="shared" si="40"/>
        <v>0</v>
      </c>
      <c r="M305" s="31"/>
      <c r="N305" s="74"/>
      <c r="O305" s="74"/>
      <c r="Q305" s="74"/>
      <c r="R305" s="74"/>
      <c r="T305" s="74"/>
      <c r="U305" s="74"/>
      <c r="W305" s="74"/>
      <c r="Z305" s="49"/>
    </row>
    <row r="306" spans="1:259" ht="15" customHeight="1" x14ac:dyDescent="0.3">
      <c r="A306" s="105"/>
      <c r="B306" s="121" t="s">
        <v>72</v>
      </c>
      <c r="C306" s="217"/>
      <c r="D306" s="39"/>
      <c r="E306" s="28"/>
      <c r="F306" s="28"/>
      <c r="G306" s="50"/>
      <c r="H306" s="28"/>
      <c r="I306" s="28"/>
      <c r="J306" s="28">
        <f>ROUND(J305/1.18*0.18,2)</f>
        <v>286803.37</v>
      </c>
      <c r="K306" s="357">
        <f t="shared" si="39"/>
        <v>0</v>
      </c>
      <c r="L306" s="357">
        <f t="shared" si="40"/>
        <v>0</v>
      </c>
      <c r="Z306" s="49"/>
    </row>
    <row r="307" spans="1:259" ht="18.75" customHeight="1" x14ac:dyDescent="0.3">
      <c r="A307" s="21"/>
      <c r="B307" s="90" t="s">
        <v>299</v>
      </c>
      <c r="C307" s="213"/>
      <c r="D307" s="23"/>
      <c r="E307" s="23"/>
      <c r="F307" s="23"/>
      <c r="G307" s="22"/>
      <c r="H307" s="23"/>
      <c r="I307" s="23"/>
      <c r="J307" s="24"/>
      <c r="K307" s="357">
        <f t="shared" si="39"/>
        <v>0</v>
      </c>
      <c r="L307" s="357">
        <f t="shared" si="40"/>
        <v>0</v>
      </c>
      <c r="Z307" s="49"/>
    </row>
    <row r="308" spans="1:259" s="36" customFormat="1" ht="31.2" outlineLevel="1" x14ac:dyDescent="0.25">
      <c r="A308" s="26" t="s">
        <v>300</v>
      </c>
      <c r="B308" s="122" t="s">
        <v>301</v>
      </c>
      <c r="C308" s="218"/>
      <c r="D308" s="19" t="s">
        <v>38</v>
      </c>
      <c r="E308" s="19">
        <f>[1]окна!G25</f>
        <v>252.19874999999996</v>
      </c>
      <c r="F308" s="56">
        <v>1200</v>
      </c>
      <c r="G308" s="123">
        <v>2900</v>
      </c>
      <c r="H308" s="29">
        <f>F308*E308</f>
        <v>302638.49999999994</v>
      </c>
      <c r="I308" s="29">
        <f>G308*E308</f>
        <v>731376.37499999988</v>
      </c>
      <c r="J308" s="107">
        <f>I308+H308</f>
        <v>1034014.8749999998</v>
      </c>
      <c r="K308" s="357">
        <f t="shared" si="39"/>
        <v>0</v>
      </c>
      <c r="L308" s="357">
        <f t="shared" si="40"/>
        <v>0</v>
      </c>
      <c r="M308" s="18"/>
      <c r="P308" s="18"/>
      <c r="S308" s="18"/>
      <c r="V308" s="18"/>
      <c r="X308" s="18"/>
      <c r="Y308" s="200"/>
      <c r="Z308" s="49"/>
      <c r="AA308" s="18"/>
      <c r="AB308" s="18"/>
      <c r="AC308" s="18"/>
      <c r="AD308" s="18"/>
      <c r="AE308" s="18"/>
      <c r="AF308" s="18"/>
      <c r="AG308" s="18"/>
      <c r="AH308" s="18"/>
      <c r="AI308" s="18"/>
      <c r="AJ308" s="18"/>
      <c r="AK308" s="18"/>
      <c r="AL308" s="18"/>
      <c r="AM308" s="18"/>
      <c r="AN308" s="18"/>
      <c r="AO308" s="18"/>
      <c r="AP308" s="18"/>
      <c r="AQ308" s="18"/>
      <c r="AR308" s="18"/>
      <c r="AS308" s="18"/>
      <c r="AT308" s="18"/>
      <c r="AU308" s="18"/>
      <c r="AV308" s="18"/>
      <c r="AW308" s="18"/>
      <c r="AX308" s="18"/>
      <c r="AY308" s="18"/>
      <c r="AZ308" s="18"/>
      <c r="BA308" s="18"/>
      <c r="BB308" s="18"/>
      <c r="BC308" s="18"/>
      <c r="BD308" s="18"/>
      <c r="BE308" s="18"/>
      <c r="BF308" s="18"/>
      <c r="BG308" s="18"/>
      <c r="BH308" s="18"/>
      <c r="BI308" s="18"/>
      <c r="BJ308" s="18"/>
      <c r="BK308" s="18"/>
      <c r="BL308" s="18"/>
      <c r="BM308" s="18"/>
      <c r="BN308" s="18"/>
      <c r="BO308" s="18"/>
      <c r="BP308" s="18"/>
      <c r="BQ308" s="18"/>
      <c r="BR308" s="18"/>
      <c r="BS308" s="18"/>
      <c r="BT308" s="18"/>
      <c r="BU308" s="18"/>
      <c r="BV308" s="18"/>
      <c r="BW308" s="18"/>
      <c r="BX308" s="18"/>
      <c r="BY308" s="18"/>
      <c r="BZ308" s="18"/>
      <c r="CA308" s="18"/>
      <c r="CB308" s="18"/>
      <c r="CC308" s="18"/>
      <c r="CD308" s="18"/>
      <c r="CE308" s="18"/>
      <c r="CF308" s="18"/>
      <c r="CG308" s="18"/>
      <c r="CH308" s="18"/>
      <c r="CI308" s="18"/>
      <c r="CJ308" s="18"/>
      <c r="CK308" s="18"/>
      <c r="CL308" s="18"/>
      <c r="CM308" s="18"/>
      <c r="CN308" s="18"/>
      <c r="CO308" s="18"/>
      <c r="CP308" s="18"/>
      <c r="CQ308" s="18"/>
      <c r="CR308" s="18"/>
      <c r="CS308" s="18"/>
      <c r="CT308" s="18"/>
      <c r="CU308" s="18"/>
      <c r="CV308" s="18"/>
      <c r="CW308" s="18"/>
      <c r="CX308" s="18"/>
      <c r="CY308" s="18"/>
      <c r="CZ308" s="18"/>
      <c r="DA308" s="18"/>
      <c r="DB308" s="18"/>
      <c r="DC308" s="18"/>
      <c r="DD308" s="18"/>
      <c r="DE308" s="18"/>
      <c r="DF308" s="18"/>
      <c r="DG308" s="18"/>
      <c r="DH308" s="18"/>
      <c r="DI308" s="18"/>
      <c r="DJ308" s="18"/>
      <c r="DK308" s="18"/>
      <c r="DL308" s="18"/>
      <c r="DM308" s="18"/>
      <c r="DN308" s="18"/>
      <c r="DO308" s="18"/>
      <c r="DP308" s="18"/>
      <c r="DQ308" s="18"/>
      <c r="DR308" s="18"/>
      <c r="DS308" s="18"/>
      <c r="DT308" s="18"/>
      <c r="DU308" s="18"/>
      <c r="DV308" s="18"/>
      <c r="DW308" s="18"/>
      <c r="DX308" s="18"/>
      <c r="DY308" s="18"/>
      <c r="DZ308" s="18"/>
      <c r="EA308" s="18"/>
      <c r="EB308" s="18"/>
      <c r="EC308" s="18"/>
      <c r="ED308" s="18"/>
      <c r="EE308" s="18"/>
      <c r="EF308" s="18"/>
      <c r="EG308" s="18"/>
      <c r="EH308" s="18"/>
      <c r="EI308" s="18"/>
      <c r="EJ308" s="18"/>
      <c r="EK308" s="18"/>
      <c r="EL308" s="18"/>
      <c r="EM308" s="18"/>
      <c r="EN308" s="18"/>
      <c r="EO308" s="18"/>
      <c r="EP308" s="18"/>
      <c r="EQ308" s="18"/>
      <c r="ER308" s="18"/>
      <c r="ES308" s="18"/>
      <c r="ET308" s="18"/>
      <c r="EU308" s="18"/>
      <c r="EV308" s="18"/>
      <c r="EW308" s="18"/>
      <c r="EX308" s="18"/>
      <c r="EY308" s="18"/>
      <c r="EZ308" s="18"/>
      <c r="FA308" s="18"/>
      <c r="FB308" s="18"/>
      <c r="FC308" s="18"/>
      <c r="FD308" s="18"/>
      <c r="FE308" s="18"/>
      <c r="FF308" s="18"/>
      <c r="FG308" s="18"/>
      <c r="FH308" s="18"/>
      <c r="FI308" s="18"/>
      <c r="FJ308" s="18"/>
      <c r="FK308" s="18"/>
      <c r="FL308" s="18"/>
      <c r="FM308" s="18"/>
      <c r="FN308" s="18"/>
      <c r="FO308" s="18"/>
      <c r="FP308" s="18"/>
      <c r="FQ308" s="18"/>
      <c r="FR308" s="18"/>
      <c r="FS308" s="18"/>
      <c r="FT308" s="18"/>
      <c r="FU308" s="18"/>
      <c r="FV308" s="18"/>
      <c r="FW308" s="18"/>
      <c r="FX308" s="18"/>
      <c r="FY308" s="18"/>
      <c r="FZ308" s="18"/>
      <c r="GA308" s="18"/>
      <c r="GB308" s="18"/>
      <c r="GC308" s="18"/>
      <c r="GD308" s="18"/>
      <c r="GE308" s="18"/>
      <c r="GF308" s="18"/>
      <c r="GG308" s="18"/>
      <c r="GH308" s="18"/>
      <c r="GI308" s="18"/>
      <c r="GJ308" s="18"/>
      <c r="GK308" s="18"/>
      <c r="GL308" s="18"/>
      <c r="GM308" s="18"/>
      <c r="GN308" s="18"/>
      <c r="GO308" s="18"/>
      <c r="GP308" s="18"/>
      <c r="GQ308" s="18"/>
      <c r="GR308" s="18"/>
      <c r="GS308" s="18"/>
      <c r="GT308" s="18"/>
      <c r="GU308" s="18"/>
      <c r="GV308" s="18"/>
      <c r="GW308" s="18"/>
      <c r="GX308" s="18"/>
      <c r="GY308" s="18"/>
      <c r="GZ308" s="18"/>
      <c r="HA308" s="18"/>
      <c r="HB308" s="18"/>
      <c r="HC308" s="18"/>
      <c r="HD308" s="18"/>
      <c r="HE308" s="18"/>
      <c r="HF308" s="18"/>
      <c r="HG308" s="18"/>
      <c r="HH308" s="18"/>
      <c r="HI308" s="18"/>
      <c r="HJ308" s="18"/>
      <c r="HK308" s="18"/>
      <c r="HL308" s="18"/>
      <c r="HM308" s="18"/>
      <c r="HN308" s="18"/>
      <c r="HO308" s="18"/>
      <c r="HP308" s="18"/>
      <c r="HQ308" s="18"/>
      <c r="HR308" s="18"/>
      <c r="HS308" s="18"/>
      <c r="HT308" s="18"/>
      <c r="HU308" s="18"/>
      <c r="HV308" s="18"/>
      <c r="HW308" s="18"/>
      <c r="HX308" s="18"/>
      <c r="HY308" s="18"/>
      <c r="HZ308" s="18"/>
      <c r="IA308" s="18"/>
      <c r="IB308" s="18"/>
      <c r="IC308" s="18"/>
      <c r="ID308" s="18"/>
      <c r="IE308" s="18"/>
      <c r="IF308" s="18"/>
      <c r="IG308" s="18"/>
      <c r="IH308" s="18"/>
      <c r="II308" s="18"/>
      <c r="IJ308" s="18"/>
      <c r="IK308" s="18"/>
      <c r="IL308" s="18"/>
      <c r="IM308" s="18"/>
      <c r="IN308" s="18"/>
      <c r="IO308" s="18"/>
      <c r="IP308" s="18"/>
      <c r="IQ308" s="18"/>
      <c r="IR308" s="18"/>
      <c r="IS308" s="18"/>
      <c r="IT308" s="18"/>
      <c r="IU308" s="18"/>
      <c r="IV308" s="18"/>
      <c r="IW308" s="18"/>
      <c r="IX308" s="18"/>
      <c r="IY308" s="18"/>
    </row>
    <row r="309" spans="1:259" s="36" customFormat="1" outlineLevel="1" x14ac:dyDescent="0.25">
      <c r="A309" s="105"/>
      <c r="B309" s="124" t="s">
        <v>302</v>
      </c>
      <c r="C309" s="219"/>
      <c r="D309" s="19" t="s">
        <v>38</v>
      </c>
      <c r="E309" s="19">
        <f>[1]окна!G24</f>
        <v>34.271999999999998</v>
      </c>
      <c r="F309" s="56">
        <v>1600</v>
      </c>
      <c r="G309" s="123">
        <v>4200</v>
      </c>
      <c r="H309" s="29">
        <f>F309*E309</f>
        <v>54835.199999999997</v>
      </c>
      <c r="I309" s="29">
        <f>G309*E309</f>
        <v>143942.39999999999</v>
      </c>
      <c r="J309" s="107">
        <f>I309+H309</f>
        <v>198777.59999999998</v>
      </c>
      <c r="K309" s="357">
        <f t="shared" si="39"/>
        <v>0</v>
      </c>
      <c r="L309" s="357">
        <f t="shared" si="40"/>
        <v>0</v>
      </c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200"/>
      <c r="Z309" s="49"/>
      <c r="AA309" s="18"/>
      <c r="AB309" s="18"/>
      <c r="AC309" s="18"/>
      <c r="AD309" s="18"/>
      <c r="AE309" s="18"/>
      <c r="AF309" s="18"/>
      <c r="AG309" s="18"/>
      <c r="AH309" s="18"/>
      <c r="AI309" s="18"/>
      <c r="AJ309" s="18"/>
      <c r="AK309" s="18"/>
      <c r="AL309" s="18"/>
      <c r="AM309" s="18"/>
      <c r="AN309" s="18"/>
      <c r="AO309" s="18"/>
      <c r="AP309" s="18"/>
      <c r="AQ309" s="18"/>
      <c r="AR309" s="18"/>
      <c r="AS309" s="18"/>
      <c r="AT309" s="18"/>
      <c r="AU309" s="18"/>
      <c r="AV309" s="18"/>
      <c r="AW309" s="18"/>
      <c r="AX309" s="18"/>
      <c r="AY309" s="18"/>
      <c r="AZ309" s="18"/>
      <c r="BA309" s="18"/>
      <c r="BB309" s="18"/>
      <c r="BC309" s="18"/>
      <c r="BD309" s="18"/>
      <c r="BE309" s="18"/>
      <c r="BF309" s="18"/>
      <c r="BG309" s="18"/>
      <c r="BH309" s="18"/>
      <c r="BI309" s="18"/>
      <c r="BJ309" s="18"/>
      <c r="BK309" s="18"/>
      <c r="BL309" s="18"/>
      <c r="BM309" s="18"/>
      <c r="BN309" s="18"/>
      <c r="BO309" s="18"/>
      <c r="BP309" s="18"/>
      <c r="BQ309" s="18"/>
      <c r="BR309" s="18"/>
      <c r="BS309" s="18"/>
      <c r="BT309" s="18"/>
      <c r="BU309" s="18"/>
      <c r="BV309" s="18"/>
      <c r="BW309" s="18"/>
      <c r="BX309" s="18"/>
      <c r="BY309" s="18"/>
      <c r="BZ309" s="18"/>
      <c r="CA309" s="18"/>
      <c r="CB309" s="18"/>
      <c r="CC309" s="18"/>
      <c r="CD309" s="18"/>
      <c r="CE309" s="18"/>
      <c r="CF309" s="18"/>
      <c r="CG309" s="18"/>
      <c r="CH309" s="18"/>
      <c r="CI309" s="18"/>
      <c r="CJ309" s="18"/>
      <c r="CK309" s="18"/>
      <c r="CL309" s="18"/>
      <c r="CM309" s="18"/>
      <c r="CN309" s="18"/>
      <c r="CO309" s="18"/>
      <c r="CP309" s="18"/>
      <c r="CQ309" s="18"/>
      <c r="CR309" s="18"/>
      <c r="CS309" s="18"/>
      <c r="CT309" s="18"/>
      <c r="CU309" s="18"/>
      <c r="CV309" s="18"/>
      <c r="CW309" s="18"/>
      <c r="CX309" s="18"/>
      <c r="CY309" s="18"/>
      <c r="CZ309" s="18"/>
      <c r="DA309" s="18"/>
      <c r="DB309" s="18"/>
      <c r="DC309" s="18"/>
      <c r="DD309" s="18"/>
      <c r="DE309" s="18"/>
      <c r="DF309" s="18"/>
      <c r="DG309" s="18"/>
      <c r="DH309" s="18"/>
      <c r="DI309" s="18"/>
      <c r="DJ309" s="18"/>
      <c r="DK309" s="18"/>
      <c r="DL309" s="18"/>
      <c r="DM309" s="18"/>
      <c r="DN309" s="18"/>
      <c r="DO309" s="18"/>
      <c r="DP309" s="18"/>
      <c r="DQ309" s="18"/>
      <c r="DR309" s="18"/>
      <c r="DS309" s="18"/>
      <c r="DT309" s="18"/>
      <c r="DU309" s="18"/>
      <c r="DV309" s="18"/>
      <c r="DW309" s="18"/>
      <c r="DX309" s="18"/>
      <c r="DY309" s="18"/>
      <c r="DZ309" s="18"/>
      <c r="EA309" s="18"/>
      <c r="EB309" s="18"/>
      <c r="EC309" s="18"/>
      <c r="ED309" s="18"/>
      <c r="EE309" s="18"/>
      <c r="EF309" s="18"/>
      <c r="EG309" s="18"/>
      <c r="EH309" s="18"/>
      <c r="EI309" s="18"/>
      <c r="EJ309" s="18"/>
      <c r="EK309" s="18"/>
      <c r="EL309" s="18"/>
      <c r="EM309" s="18"/>
      <c r="EN309" s="18"/>
      <c r="EO309" s="18"/>
      <c r="EP309" s="18"/>
      <c r="EQ309" s="18"/>
      <c r="ER309" s="18"/>
      <c r="ES309" s="18"/>
      <c r="ET309" s="18"/>
      <c r="EU309" s="18"/>
      <c r="EV309" s="18"/>
      <c r="EW309" s="18"/>
      <c r="EX309" s="18"/>
      <c r="EY309" s="18"/>
      <c r="EZ309" s="18"/>
      <c r="FA309" s="18"/>
      <c r="FB309" s="18"/>
      <c r="FC309" s="18"/>
      <c r="FD309" s="18"/>
      <c r="FE309" s="18"/>
      <c r="FF309" s="18"/>
      <c r="FG309" s="18"/>
      <c r="FH309" s="18"/>
      <c r="FI309" s="18"/>
      <c r="FJ309" s="18"/>
      <c r="FK309" s="18"/>
      <c r="FL309" s="18"/>
      <c r="FM309" s="18"/>
      <c r="FN309" s="18"/>
      <c r="FO309" s="18"/>
      <c r="FP309" s="18"/>
      <c r="FQ309" s="18"/>
      <c r="FR309" s="18"/>
      <c r="FS309" s="18"/>
      <c r="FT309" s="18"/>
      <c r="FU309" s="18"/>
      <c r="FV309" s="18"/>
      <c r="FW309" s="18"/>
      <c r="FX309" s="18"/>
      <c r="FY309" s="18"/>
      <c r="FZ309" s="18"/>
      <c r="GA309" s="18"/>
      <c r="GB309" s="18"/>
      <c r="GC309" s="18"/>
      <c r="GD309" s="18"/>
      <c r="GE309" s="18"/>
      <c r="GF309" s="18"/>
      <c r="GG309" s="18"/>
      <c r="GH309" s="18"/>
      <c r="GI309" s="18"/>
      <c r="GJ309" s="18"/>
      <c r="GK309" s="18"/>
      <c r="GL309" s="18"/>
      <c r="GM309" s="18"/>
      <c r="GN309" s="18"/>
      <c r="GO309" s="18"/>
      <c r="GP309" s="18"/>
      <c r="GQ309" s="18"/>
      <c r="GR309" s="18"/>
      <c r="GS309" s="18"/>
      <c r="GT309" s="18"/>
      <c r="GU309" s="18"/>
      <c r="GV309" s="18"/>
      <c r="GW309" s="18"/>
      <c r="GX309" s="18"/>
      <c r="GY309" s="18"/>
      <c r="GZ309" s="18"/>
      <c r="HA309" s="18"/>
      <c r="HB309" s="18"/>
      <c r="HC309" s="18"/>
      <c r="HD309" s="18"/>
      <c r="HE309" s="18"/>
      <c r="HF309" s="18"/>
      <c r="HG309" s="18"/>
      <c r="HH309" s="18"/>
      <c r="HI309" s="18"/>
      <c r="HJ309" s="18"/>
      <c r="HK309" s="18"/>
      <c r="HL309" s="18"/>
      <c r="HM309" s="18"/>
      <c r="HN309" s="18"/>
      <c r="HO309" s="18"/>
      <c r="HP309" s="18"/>
      <c r="HQ309" s="18"/>
      <c r="HR309" s="18"/>
      <c r="HS309" s="18"/>
      <c r="HT309" s="18"/>
      <c r="HU309" s="18"/>
      <c r="HV309" s="18"/>
      <c r="HW309" s="18"/>
      <c r="HX309" s="18"/>
      <c r="HY309" s="18"/>
      <c r="HZ309" s="18"/>
      <c r="IA309" s="18"/>
      <c r="IB309" s="18"/>
      <c r="IC309" s="18"/>
      <c r="ID309" s="18"/>
      <c r="IE309" s="18"/>
      <c r="IF309" s="18"/>
      <c r="IG309" s="18"/>
      <c r="IH309" s="18"/>
      <c r="II309" s="18"/>
      <c r="IJ309" s="18"/>
      <c r="IK309" s="18"/>
      <c r="IL309" s="18"/>
      <c r="IM309" s="18"/>
      <c r="IN309" s="18"/>
      <c r="IO309" s="18"/>
      <c r="IP309" s="18"/>
      <c r="IQ309" s="18"/>
      <c r="IR309" s="18"/>
      <c r="IS309" s="18"/>
      <c r="IT309" s="18"/>
      <c r="IU309" s="18"/>
      <c r="IV309" s="18"/>
      <c r="IW309" s="18"/>
      <c r="IX309" s="18"/>
      <c r="IY309" s="18"/>
    </row>
    <row r="310" spans="1:259" s="36" customFormat="1" outlineLevel="1" x14ac:dyDescent="0.25">
      <c r="A310" s="26" t="s">
        <v>303</v>
      </c>
      <c r="B310" s="124" t="s">
        <v>304</v>
      </c>
      <c r="C310" s="219"/>
      <c r="D310" s="19" t="s">
        <v>96</v>
      </c>
      <c r="E310" s="54">
        <f>[1]окна!K6</f>
        <v>145.59</v>
      </c>
      <c r="F310" s="56">
        <v>150</v>
      </c>
      <c r="G310" s="123"/>
      <c r="H310" s="29">
        <f>F310*E310</f>
        <v>21838.5</v>
      </c>
      <c r="I310" s="29">
        <f>G310*E310</f>
        <v>0</v>
      </c>
      <c r="J310" s="107">
        <f>I310+H310</f>
        <v>21838.5</v>
      </c>
      <c r="K310" s="357">
        <f t="shared" si="39"/>
        <v>0</v>
      </c>
      <c r="L310" s="357">
        <f t="shared" si="40"/>
        <v>0</v>
      </c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200"/>
      <c r="Z310" s="49"/>
      <c r="AA310" s="18"/>
      <c r="AB310" s="18"/>
      <c r="AC310" s="18"/>
      <c r="AD310" s="18"/>
      <c r="AE310" s="18"/>
      <c r="AF310" s="18"/>
      <c r="AG310" s="18"/>
      <c r="AH310" s="18"/>
      <c r="AI310" s="18"/>
      <c r="AJ310" s="18"/>
      <c r="AK310" s="18"/>
      <c r="AL310" s="18"/>
      <c r="AM310" s="18"/>
      <c r="AN310" s="18"/>
      <c r="AO310" s="18"/>
      <c r="AP310" s="18"/>
      <c r="AQ310" s="18"/>
      <c r="AR310" s="18"/>
      <c r="AS310" s="18"/>
      <c r="AT310" s="18"/>
      <c r="AU310" s="18"/>
      <c r="AV310" s="18"/>
      <c r="AW310" s="18"/>
      <c r="AX310" s="18"/>
      <c r="AY310" s="18"/>
      <c r="AZ310" s="18"/>
      <c r="BA310" s="18"/>
      <c r="BB310" s="18"/>
      <c r="BC310" s="18"/>
      <c r="BD310" s="18"/>
      <c r="BE310" s="18"/>
      <c r="BF310" s="18"/>
      <c r="BG310" s="18"/>
      <c r="BH310" s="18"/>
      <c r="BI310" s="18"/>
      <c r="BJ310" s="18"/>
      <c r="BK310" s="18"/>
      <c r="BL310" s="18"/>
      <c r="BM310" s="18"/>
      <c r="BN310" s="18"/>
      <c r="BO310" s="18"/>
      <c r="BP310" s="18"/>
      <c r="BQ310" s="18"/>
      <c r="BR310" s="18"/>
      <c r="BS310" s="18"/>
      <c r="BT310" s="18"/>
      <c r="BU310" s="18"/>
      <c r="BV310" s="18"/>
      <c r="BW310" s="18"/>
      <c r="BX310" s="18"/>
      <c r="BY310" s="18"/>
      <c r="BZ310" s="18"/>
      <c r="CA310" s="18"/>
      <c r="CB310" s="18"/>
      <c r="CC310" s="18"/>
      <c r="CD310" s="18"/>
      <c r="CE310" s="18"/>
      <c r="CF310" s="18"/>
      <c r="CG310" s="18"/>
      <c r="CH310" s="18"/>
      <c r="CI310" s="18"/>
      <c r="CJ310" s="18"/>
      <c r="CK310" s="18"/>
      <c r="CL310" s="18"/>
      <c r="CM310" s="18"/>
      <c r="CN310" s="18"/>
      <c r="CO310" s="18"/>
      <c r="CP310" s="18"/>
      <c r="CQ310" s="18"/>
      <c r="CR310" s="18"/>
      <c r="CS310" s="18"/>
      <c r="CT310" s="18"/>
      <c r="CU310" s="18"/>
      <c r="CV310" s="18"/>
      <c r="CW310" s="18"/>
      <c r="CX310" s="18"/>
      <c r="CY310" s="18"/>
      <c r="CZ310" s="18"/>
      <c r="DA310" s="18"/>
      <c r="DB310" s="18"/>
      <c r="DC310" s="18"/>
      <c r="DD310" s="18"/>
      <c r="DE310" s="18"/>
      <c r="DF310" s="18"/>
      <c r="DG310" s="18"/>
      <c r="DH310" s="18"/>
      <c r="DI310" s="18"/>
      <c r="DJ310" s="18"/>
      <c r="DK310" s="18"/>
      <c r="DL310" s="18"/>
      <c r="DM310" s="18"/>
      <c r="DN310" s="18"/>
      <c r="DO310" s="18"/>
      <c r="DP310" s="18"/>
      <c r="DQ310" s="18"/>
      <c r="DR310" s="18"/>
      <c r="DS310" s="18"/>
      <c r="DT310" s="18"/>
      <c r="DU310" s="18"/>
      <c r="DV310" s="18"/>
      <c r="DW310" s="18"/>
      <c r="DX310" s="18"/>
      <c r="DY310" s="18"/>
      <c r="DZ310" s="18"/>
      <c r="EA310" s="18"/>
      <c r="EB310" s="18"/>
      <c r="EC310" s="18"/>
      <c r="ED310" s="18"/>
      <c r="EE310" s="18"/>
      <c r="EF310" s="18"/>
      <c r="EG310" s="18"/>
      <c r="EH310" s="18"/>
      <c r="EI310" s="18"/>
      <c r="EJ310" s="18"/>
      <c r="EK310" s="18"/>
      <c r="EL310" s="18"/>
      <c r="EM310" s="18"/>
      <c r="EN310" s="18"/>
      <c r="EO310" s="18"/>
      <c r="EP310" s="18"/>
      <c r="EQ310" s="18"/>
      <c r="ER310" s="18"/>
      <c r="ES310" s="18"/>
      <c r="ET310" s="18"/>
      <c r="EU310" s="18"/>
      <c r="EV310" s="18"/>
      <c r="EW310" s="18"/>
      <c r="EX310" s="18"/>
      <c r="EY310" s="18"/>
      <c r="EZ310" s="18"/>
      <c r="FA310" s="18"/>
      <c r="FB310" s="18"/>
      <c r="FC310" s="18"/>
      <c r="FD310" s="18"/>
      <c r="FE310" s="18"/>
      <c r="FF310" s="18"/>
      <c r="FG310" s="18"/>
      <c r="FH310" s="18"/>
      <c r="FI310" s="18"/>
      <c r="FJ310" s="18"/>
      <c r="FK310" s="18"/>
      <c r="FL310" s="18"/>
      <c r="FM310" s="18"/>
      <c r="FN310" s="18"/>
      <c r="FO310" s="18"/>
      <c r="FP310" s="18"/>
      <c r="FQ310" s="18"/>
      <c r="FR310" s="18"/>
      <c r="FS310" s="18"/>
      <c r="FT310" s="18"/>
      <c r="FU310" s="18"/>
      <c r="FV310" s="18"/>
      <c r="FW310" s="18"/>
      <c r="FX310" s="18"/>
      <c r="FY310" s="18"/>
      <c r="FZ310" s="18"/>
      <c r="GA310" s="18"/>
      <c r="GB310" s="18"/>
      <c r="GC310" s="18"/>
      <c r="GD310" s="18"/>
      <c r="GE310" s="18"/>
      <c r="GF310" s="18"/>
      <c r="GG310" s="18"/>
      <c r="GH310" s="18"/>
      <c r="GI310" s="18"/>
      <c r="GJ310" s="18"/>
      <c r="GK310" s="18"/>
      <c r="GL310" s="18"/>
      <c r="GM310" s="18"/>
      <c r="GN310" s="18"/>
      <c r="GO310" s="18"/>
      <c r="GP310" s="18"/>
      <c r="GQ310" s="18"/>
      <c r="GR310" s="18"/>
      <c r="GS310" s="18"/>
      <c r="GT310" s="18"/>
      <c r="GU310" s="18"/>
      <c r="GV310" s="18"/>
      <c r="GW310" s="18"/>
      <c r="GX310" s="18"/>
      <c r="GY310" s="18"/>
      <c r="GZ310" s="18"/>
      <c r="HA310" s="18"/>
      <c r="HB310" s="18"/>
      <c r="HC310" s="18"/>
      <c r="HD310" s="18"/>
      <c r="HE310" s="18"/>
      <c r="HF310" s="18"/>
      <c r="HG310" s="18"/>
      <c r="HH310" s="18"/>
      <c r="HI310" s="18"/>
      <c r="HJ310" s="18"/>
      <c r="HK310" s="18"/>
      <c r="HL310" s="18"/>
      <c r="HM310" s="18"/>
      <c r="HN310" s="18"/>
      <c r="HO310" s="18"/>
      <c r="HP310" s="18"/>
      <c r="HQ310" s="18"/>
      <c r="HR310" s="18"/>
      <c r="HS310" s="18"/>
      <c r="HT310" s="18"/>
      <c r="HU310" s="18"/>
      <c r="HV310" s="18"/>
      <c r="HW310" s="18"/>
      <c r="HX310" s="18"/>
      <c r="HY310" s="18"/>
      <c r="HZ310" s="18"/>
      <c r="IA310" s="18"/>
      <c r="IB310" s="18"/>
      <c r="IC310" s="18"/>
      <c r="ID310" s="18"/>
      <c r="IE310" s="18"/>
      <c r="IF310" s="18"/>
      <c r="IG310" s="18"/>
      <c r="IH310" s="18"/>
      <c r="II310" s="18"/>
      <c r="IJ310" s="18"/>
      <c r="IK310" s="18"/>
      <c r="IL310" s="18"/>
      <c r="IM310" s="18"/>
      <c r="IN310" s="18"/>
      <c r="IO310" s="18"/>
      <c r="IP310" s="18"/>
      <c r="IQ310" s="18"/>
      <c r="IR310" s="18"/>
      <c r="IS310" s="18"/>
      <c r="IT310" s="18"/>
      <c r="IU310" s="18"/>
      <c r="IV310" s="18"/>
      <c r="IW310" s="18"/>
      <c r="IX310" s="18"/>
      <c r="IY310" s="18"/>
    </row>
    <row r="311" spans="1:259" x14ac:dyDescent="0.3">
      <c r="A311" s="97" t="s">
        <v>832</v>
      </c>
      <c r="B311" s="98" t="s">
        <v>305</v>
      </c>
      <c r="C311" s="214"/>
      <c r="D311" s="99"/>
      <c r="E311" s="99"/>
      <c r="F311" s="99"/>
      <c r="G311" s="100"/>
      <c r="H311" s="99">
        <f>SUM(H308:H310)</f>
        <v>379312.19999999995</v>
      </c>
      <c r="I311" s="99">
        <f>SUM(I308:I310)</f>
        <v>875318.77499999991</v>
      </c>
      <c r="J311" s="99">
        <f>SUM(J308:J310)</f>
        <v>1254630.9749999996</v>
      </c>
      <c r="K311" s="357">
        <f t="shared" si="39"/>
        <v>0</v>
      </c>
      <c r="L311" s="357">
        <f t="shared" si="40"/>
        <v>0</v>
      </c>
      <c r="M311" s="31"/>
      <c r="N311" s="125"/>
      <c r="O311" s="125"/>
      <c r="Q311" s="125"/>
      <c r="R311" s="125"/>
      <c r="T311" s="125"/>
      <c r="U311" s="125"/>
      <c r="W311" s="125"/>
      <c r="Z311" s="49"/>
    </row>
    <row r="312" spans="1:259" ht="16.2" customHeight="1" x14ac:dyDescent="0.3">
      <c r="A312" s="105"/>
      <c r="B312" s="121" t="s">
        <v>72</v>
      </c>
      <c r="C312" s="217"/>
      <c r="D312" s="39"/>
      <c r="E312" s="28"/>
      <c r="F312" s="28"/>
      <c r="G312" s="50"/>
      <c r="H312" s="28"/>
      <c r="I312" s="28"/>
      <c r="J312" s="28">
        <f>ROUND(J311/1.18*0.18,2)</f>
        <v>191384.39</v>
      </c>
      <c r="K312" s="357">
        <f t="shared" si="39"/>
        <v>0</v>
      </c>
      <c r="L312" s="357">
        <f t="shared" si="40"/>
        <v>0</v>
      </c>
      <c r="Z312" s="49"/>
    </row>
    <row r="313" spans="1:259" ht="18.75" customHeight="1" x14ac:dyDescent="0.3">
      <c r="A313" s="126"/>
      <c r="B313" s="90" t="s">
        <v>306</v>
      </c>
      <c r="C313" s="213"/>
      <c r="D313" s="23"/>
      <c r="E313" s="23"/>
      <c r="F313" s="23"/>
      <c r="G313" s="22"/>
      <c r="H313" s="23"/>
      <c r="I313" s="23"/>
      <c r="J313" s="24"/>
      <c r="K313" s="357">
        <f t="shared" si="39"/>
        <v>0</v>
      </c>
      <c r="L313" s="357">
        <f t="shared" si="40"/>
        <v>0</v>
      </c>
      <c r="Z313" s="49"/>
    </row>
    <row r="314" spans="1:259" outlineLevel="1" x14ac:dyDescent="0.3">
      <c r="A314" s="26" t="s">
        <v>307</v>
      </c>
      <c r="B314" s="127" t="s">
        <v>308</v>
      </c>
      <c r="C314" s="135"/>
      <c r="D314" s="29" t="s">
        <v>22</v>
      </c>
      <c r="E314" s="80">
        <v>39</v>
      </c>
      <c r="F314" s="28">
        <v>350</v>
      </c>
      <c r="G314" s="30"/>
      <c r="H314" s="29">
        <f>F314*E314</f>
        <v>13650</v>
      </c>
      <c r="I314" s="29"/>
      <c r="J314" s="29">
        <f>H314+I314</f>
        <v>13650</v>
      </c>
      <c r="K314" s="357">
        <f t="shared" si="39"/>
        <v>0</v>
      </c>
      <c r="L314" s="357">
        <f t="shared" si="40"/>
        <v>0</v>
      </c>
      <c r="Z314" s="49"/>
    </row>
    <row r="315" spans="1:259" outlineLevel="1" x14ac:dyDescent="0.3">
      <c r="A315" s="34"/>
      <c r="B315" s="113" t="s">
        <v>309</v>
      </c>
      <c r="C315" s="118"/>
      <c r="D315" s="114" t="s">
        <v>22</v>
      </c>
      <c r="E315" s="128">
        <f>'[1]41'!D366</f>
        <v>39</v>
      </c>
      <c r="F315" s="29"/>
      <c r="G315" s="30">
        <v>2000</v>
      </c>
      <c r="H315" s="29">
        <f t="shared" ref="H315:H328" si="42">F315*E315</f>
        <v>0</v>
      </c>
      <c r="I315" s="29">
        <f>G315*E315</f>
        <v>78000</v>
      </c>
      <c r="J315" s="29">
        <f t="shared" ref="J315:J321" si="43">H315+I315</f>
        <v>78000</v>
      </c>
      <c r="K315" s="357">
        <f t="shared" si="39"/>
        <v>0</v>
      </c>
      <c r="L315" s="357">
        <f t="shared" si="40"/>
        <v>0</v>
      </c>
      <c r="Z315" s="49"/>
    </row>
    <row r="316" spans="1:259" outlineLevel="1" x14ac:dyDescent="0.3">
      <c r="A316" s="34"/>
      <c r="B316" s="113" t="s">
        <v>310</v>
      </c>
      <c r="C316" s="118"/>
      <c r="D316" s="114" t="s">
        <v>22</v>
      </c>
      <c r="E316" s="128">
        <f>'[1]41'!D367</f>
        <v>9</v>
      </c>
      <c r="F316" s="29">
        <v>600</v>
      </c>
      <c r="G316" s="30">
        <v>2200</v>
      </c>
      <c r="H316" s="29">
        <f t="shared" si="42"/>
        <v>5400</v>
      </c>
      <c r="I316" s="29">
        <f t="shared" ref="I316:I328" si="44">G316*E316</f>
        <v>19800</v>
      </c>
      <c r="J316" s="29">
        <f>H316+I316</f>
        <v>25200</v>
      </c>
      <c r="K316" s="357">
        <f t="shared" si="39"/>
        <v>0</v>
      </c>
      <c r="L316" s="357">
        <f t="shared" si="40"/>
        <v>0</v>
      </c>
      <c r="Z316" s="49"/>
    </row>
    <row r="317" spans="1:259" ht="31.2" outlineLevel="1" x14ac:dyDescent="0.3">
      <c r="A317" s="34"/>
      <c r="B317" s="113" t="s">
        <v>311</v>
      </c>
      <c r="C317" s="118"/>
      <c r="D317" s="114" t="s">
        <v>22</v>
      </c>
      <c r="E317" s="128">
        <v>1</v>
      </c>
      <c r="F317" s="29"/>
      <c r="G317" s="30">
        <v>24500</v>
      </c>
      <c r="H317" s="29">
        <f t="shared" si="42"/>
        <v>0</v>
      </c>
      <c r="I317" s="29">
        <f t="shared" si="44"/>
        <v>24500</v>
      </c>
      <c r="J317" s="29">
        <f>H317+I317</f>
        <v>24500</v>
      </c>
      <c r="K317" s="357">
        <f t="shared" si="39"/>
        <v>0</v>
      </c>
      <c r="L317" s="357">
        <f t="shared" si="40"/>
        <v>0</v>
      </c>
      <c r="Z317" s="49"/>
    </row>
    <row r="318" spans="1:259" outlineLevel="1" x14ac:dyDescent="0.3">
      <c r="A318" s="34"/>
      <c r="B318" s="113" t="s">
        <v>312</v>
      </c>
      <c r="C318" s="118"/>
      <c r="D318" s="114" t="s">
        <v>22</v>
      </c>
      <c r="E318" s="128">
        <f>'[1]41'!D369</f>
        <v>1</v>
      </c>
      <c r="F318" s="29"/>
      <c r="G318" s="30">
        <v>24500</v>
      </c>
      <c r="H318" s="29">
        <f t="shared" si="42"/>
        <v>0</v>
      </c>
      <c r="I318" s="29">
        <f t="shared" si="44"/>
        <v>24500</v>
      </c>
      <c r="J318" s="29">
        <f>H318+I318</f>
        <v>24500</v>
      </c>
      <c r="K318" s="357">
        <f t="shared" si="39"/>
        <v>0</v>
      </c>
      <c r="L318" s="357">
        <f t="shared" si="40"/>
        <v>0</v>
      </c>
      <c r="Z318" s="49"/>
    </row>
    <row r="319" spans="1:259" outlineLevel="1" x14ac:dyDescent="0.3">
      <c r="A319" s="34"/>
      <c r="B319" s="113" t="s">
        <v>313</v>
      </c>
      <c r="C319" s="118"/>
      <c r="D319" s="114" t="s">
        <v>22</v>
      </c>
      <c r="E319" s="128">
        <f>'[1]41'!D370</f>
        <v>3</v>
      </c>
      <c r="F319" s="29"/>
      <c r="G319" s="30">
        <v>12000</v>
      </c>
      <c r="H319" s="29">
        <f t="shared" si="42"/>
        <v>0</v>
      </c>
      <c r="I319" s="29">
        <f t="shared" si="44"/>
        <v>36000</v>
      </c>
      <c r="J319" s="29">
        <f>H319+I319</f>
        <v>36000</v>
      </c>
      <c r="K319" s="357">
        <f t="shared" si="39"/>
        <v>0</v>
      </c>
      <c r="L319" s="357">
        <f t="shared" si="40"/>
        <v>0</v>
      </c>
      <c r="Z319" s="49"/>
    </row>
    <row r="320" spans="1:259" ht="31.5" customHeight="1" outlineLevel="1" x14ac:dyDescent="0.3">
      <c r="A320" s="26" t="s">
        <v>314</v>
      </c>
      <c r="B320" s="39" t="s">
        <v>315</v>
      </c>
      <c r="C320" s="28"/>
      <c r="D320" s="29" t="s">
        <v>22</v>
      </c>
      <c r="E320" s="80">
        <f>SUM(E321:E321)</f>
        <v>1</v>
      </c>
      <c r="F320" s="28"/>
      <c r="G320" s="30"/>
      <c r="H320" s="29">
        <f t="shared" si="42"/>
        <v>0</v>
      </c>
      <c r="I320" s="29">
        <f t="shared" si="44"/>
        <v>0</v>
      </c>
      <c r="J320" s="29">
        <f t="shared" si="43"/>
        <v>0</v>
      </c>
      <c r="K320" s="357">
        <f t="shared" si="39"/>
        <v>0</v>
      </c>
      <c r="L320" s="357">
        <f t="shared" si="40"/>
        <v>0</v>
      </c>
      <c r="Z320" s="49"/>
    </row>
    <row r="321" spans="1:26" ht="31.2" outlineLevel="1" x14ac:dyDescent="0.3">
      <c r="A321" s="34"/>
      <c r="B321" s="113" t="s">
        <v>316</v>
      </c>
      <c r="C321" s="118"/>
      <c r="D321" s="114" t="s">
        <v>22</v>
      </c>
      <c r="E321" s="128">
        <v>1</v>
      </c>
      <c r="F321" s="29"/>
      <c r="G321" s="30">
        <f>10200*1.18</f>
        <v>12036</v>
      </c>
      <c r="H321" s="29">
        <f t="shared" si="42"/>
        <v>0</v>
      </c>
      <c r="I321" s="29">
        <f t="shared" si="44"/>
        <v>12036</v>
      </c>
      <c r="J321" s="29">
        <f t="shared" si="43"/>
        <v>12036</v>
      </c>
      <c r="K321" s="357">
        <f t="shared" si="39"/>
        <v>0</v>
      </c>
      <c r="L321" s="357">
        <f t="shared" si="40"/>
        <v>0</v>
      </c>
      <c r="Z321" s="49"/>
    </row>
    <row r="322" spans="1:26" outlineLevel="1" x14ac:dyDescent="0.3">
      <c r="A322" s="26" t="s">
        <v>317</v>
      </c>
      <c r="B322" s="39" t="s">
        <v>318</v>
      </c>
      <c r="C322" s="28"/>
      <c r="D322" s="29" t="s">
        <v>22</v>
      </c>
      <c r="E322" s="80">
        <f>SUM(E323:E325)</f>
        <v>5</v>
      </c>
      <c r="F322" s="28">
        <v>1300</v>
      </c>
      <c r="G322" s="50">
        <v>10800</v>
      </c>
      <c r="H322" s="29">
        <f t="shared" si="42"/>
        <v>6500</v>
      </c>
      <c r="I322" s="29">
        <f t="shared" si="44"/>
        <v>54000</v>
      </c>
      <c r="J322" s="29">
        <f>H322+I322</f>
        <v>60500</v>
      </c>
      <c r="K322" s="357">
        <f t="shared" si="39"/>
        <v>0</v>
      </c>
      <c r="L322" s="357">
        <f t="shared" si="40"/>
        <v>0</v>
      </c>
      <c r="Z322" s="49"/>
    </row>
    <row r="323" spans="1:26" outlineLevel="1" x14ac:dyDescent="0.3">
      <c r="A323" s="34"/>
      <c r="B323" s="111" t="s">
        <v>319</v>
      </c>
      <c r="C323" s="154"/>
      <c r="D323" s="29" t="s">
        <v>22</v>
      </c>
      <c r="E323" s="129">
        <v>3</v>
      </c>
      <c r="F323" s="29"/>
      <c r="G323" s="30"/>
      <c r="H323" s="29">
        <f t="shared" si="42"/>
        <v>0</v>
      </c>
      <c r="I323" s="29">
        <f t="shared" si="44"/>
        <v>0</v>
      </c>
      <c r="J323" s="29"/>
      <c r="K323" s="357">
        <f t="shared" si="39"/>
        <v>0</v>
      </c>
      <c r="L323" s="357">
        <f t="shared" si="40"/>
        <v>0</v>
      </c>
      <c r="Z323" s="49"/>
    </row>
    <row r="324" spans="1:26" outlineLevel="1" x14ac:dyDescent="0.3">
      <c r="A324" s="34"/>
      <c r="B324" s="111" t="s">
        <v>320</v>
      </c>
      <c r="C324" s="154"/>
      <c r="D324" s="29" t="s">
        <v>22</v>
      </c>
      <c r="E324" s="129">
        <v>1</v>
      </c>
      <c r="F324" s="29"/>
      <c r="G324" s="30"/>
      <c r="H324" s="29">
        <f t="shared" si="42"/>
        <v>0</v>
      </c>
      <c r="I324" s="29">
        <f t="shared" si="44"/>
        <v>0</v>
      </c>
      <c r="J324" s="29"/>
      <c r="K324" s="357">
        <f t="shared" si="39"/>
        <v>0</v>
      </c>
      <c r="L324" s="357">
        <f t="shared" si="40"/>
        <v>0</v>
      </c>
      <c r="Z324" s="49"/>
    </row>
    <row r="325" spans="1:26" outlineLevel="1" x14ac:dyDescent="0.3">
      <c r="A325" s="34"/>
      <c r="B325" s="111" t="s">
        <v>321</v>
      </c>
      <c r="C325" s="154"/>
      <c r="D325" s="29" t="s">
        <v>22</v>
      </c>
      <c r="E325" s="129">
        <v>1</v>
      </c>
      <c r="F325" s="29"/>
      <c r="G325" s="30"/>
      <c r="H325" s="29">
        <f t="shared" si="42"/>
        <v>0</v>
      </c>
      <c r="I325" s="29">
        <f t="shared" si="44"/>
        <v>0</v>
      </c>
      <c r="J325" s="29"/>
      <c r="K325" s="357">
        <f t="shared" si="39"/>
        <v>0</v>
      </c>
      <c r="L325" s="357">
        <f t="shared" si="40"/>
        <v>0</v>
      </c>
      <c r="Z325" s="49"/>
    </row>
    <row r="326" spans="1:26" outlineLevel="1" x14ac:dyDescent="0.3">
      <c r="A326" s="26" t="s">
        <v>322</v>
      </c>
      <c r="B326" s="39" t="s">
        <v>323</v>
      </c>
      <c r="C326" s="28"/>
      <c r="D326" s="29" t="s">
        <v>22</v>
      </c>
      <c r="E326" s="130">
        <f>E327+E328</f>
        <v>22</v>
      </c>
      <c r="F326" s="28">
        <v>1300</v>
      </c>
      <c r="G326" s="30"/>
      <c r="H326" s="29">
        <f t="shared" si="42"/>
        <v>28600</v>
      </c>
      <c r="I326" s="29">
        <f t="shared" si="44"/>
        <v>0</v>
      </c>
      <c r="J326" s="29">
        <f>H326+I326</f>
        <v>28600</v>
      </c>
      <c r="K326" s="357">
        <f t="shared" si="39"/>
        <v>0</v>
      </c>
      <c r="L326" s="357">
        <f t="shared" si="40"/>
        <v>0</v>
      </c>
      <c r="Z326" s="49"/>
    </row>
    <row r="327" spans="1:26" outlineLevel="1" x14ac:dyDescent="0.3">
      <c r="A327" s="34"/>
      <c r="B327" s="111" t="s">
        <v>324</v>
      </c>
      <c r="C327" s="154"/>
      <c r="D327" s="29" t="s">
        <v>22</v>
      </c>
      <c r="E327" s="129">
        <v>11</v>
      </c>
      <c r="F327" s="29"/>
      <c r="G327" s="30">
        <v>700</v>
      </c>
      <c r="H327" s="29">
        <f t="shared" si="42"/>
        <v>0</v>
      </c>
      <c r="I327" s="29">
        <f t="shared" si="44"/>
        <v>7700</v>
      </c>
      <c r="J327" s="29">
        <f>H327+I327</f>
        <v>7700</v>
      </c>
      <c r="K327" s="357">
        <f t="shared" si="39"/>
        <v>0</v>
      </c>
      <c r="L327" s="357">
        <f t="shared" si="40"/>
        <v>0</v>
      </c>
      <c r="Z327" s="49"/>
    </row>
    <row r="328" spans="1:26" outlineLevel="1" x14ac:dyDescent="0.3">
      <c r="A328" s="34"/>
      <c r="B328" s="111" t="s">
        <v>325</v>
      </c>
      <c r="C328" s="154"/>
      <c r="D328" s="29" t="s">
        <v>22</v>
      </c>
      <c r="E328" s="129">
        <v>11</v>
      </c>
      <c r="F328" s="29"/>
      <c r="G328" s="30">
        <v>2000</v>
      </c>
      <c r="H328" s="29">
        <f t="shared" si="42"/>
        <v>0</v>
      </c>
      <c r="I328" s="29">
        <f t="shared" si="44"/>
        <v>22000</v>
      </c>
      <c r="J328" s="29">
        <f>H328+I328</f>
        <v>22000</v>
      </c>
      <c r="K328" s="357">
        <f t="shared" si="39"/>
        <v>0</v>
      </c>
      <c r="L328" s="357">
        <f t="shared" si="40"/>
        <v>0</v>
      </c>
      <c r="Z328" s="49"/>
    </row>
    <row r="329" spans="1:26" x14ac:dyDescent="0.3">
      <c r="A329" s="97" t="s">
        <v>832</v>
      </c>
      <c r="B329" s="100" t="s">
        <v>326</v>
      </c>
      <c r="C329" s="99"/>
      <c r="D329" s="99"/>
      <c r="E329" s="99"/>
      <c r="F329" s="99"/>
      <c r="G329" s="100"/>
      <c r="H329" s="99">
        <f>SUM(H314:H328)</f>
        <v>54150</v>
      </c>
      <c r="I329" s="99">
        <f>SUM(I314:I328)</f>
        <v>278536</v>
      </c>
      <c r="J329" s="99">
        <f>SUM(J314:J328)</f>
        <v>332686</v>
      </c>
      <c r="K329" s="357">
        <f t="shared" si="39"/>
        <v>0</v>
      </c>
      <c r="L329" s="357">
        <f t="shared" si="40"/>
        <v>0</v>
      </c>
      <c r="M329" s="31"/>
      <c r="Z329" s="49"/>
    </row>
    <row r="330" spans="1:26" ht="16.95" customHeight="1" x14ac:dyDescent="0.3">
      <c r="A330" s="105"/>
      <c r="B330" s="121" t="s">
        <v>72</v>
      </c>
      <c r="C330" s="217"/>
      <c r="D330" s="39"/>
      <c r="E330" s="28"/>
      <c r="F330" s="28"/>
      <c r="G330" s="50"/>
      <c r="H330" s="28"/>
      <c r="I330" s="28"/>
      <c r="J330" s="28">
        <f>ROUND(J329/1.18*0.18,2)</f>
        <v>50748.71</v>
      </c>
      <c r="K330" s="357">
        <f t="shared" si="39"/>
        <v>0</v>
      </c>
      <c r="L330" s="357">
        <f t="shared" si="40"/>
        <v>0</v>
      </c>
      <c r="Z330" s="49"/>
    </row>
    <row r="331" spans="1:26" ht="18.75" customHeight="1" x14ac:dyDescent="0.3">
      <c r="A331" s="103"/>
      <c r="B331" s="90" t="s">
        <v>327</v>
      </c>
      <c r="C331" s="213"/>
      <c r="D331" s="23"/>
      <c r="E331" s="23"/>
      <c r="F331" s="23"/>
      <c r="G331" s="22"/>
      <c r="H331" s="23"/>
      <c r="I331" s="23"/>
      <c r="J331" s="24"/>
      <c r="K331" s="357">
        <f t="shared" si="39"/>
        <v>0</v>
      </c>
      <c r="L331" s="357">
        <f t="shared" si="40"/>
        <v>0</v>
      </c>
      <c r="Z331" s="49"/>
    </row>
    <row r="332" spans="1:26" s="31" customFormat="1" ht="31.5" customHeight="1" outlineLevel="1" x14ac:dyDescent="0.3">
      <c r="A332" s="26" t="s">
        <v>328</v>
      </c>
      <c r="B332" s="131" t="s">
        <v>329</v>
      </c>
      <c r="C332" s="176"/>
      <c r="D332" s="28" t="s">
        <v>38</v>
      </c>
      <c r="E332" s="80">
        <f>'[1]41'!D383</f>
        <v>1263.8942500000003</v>
      </c>
      <c r="F332" s="28">
        <v>800</v>
      </c>
      <c r="G332" s="30">
        <v>600</v>
      </c>
      <c r="H332" s="29">
        <f>F332*E332</f>
        <v>1011115.4000000003</v>
      </c>
      <c r="I332" s="29">
        <f>G332*E332</f>
        <v>758336.55000000016</v>
      </c>
      <c r="J332" s="29">
        <f>I332+H332</f>
        <v>1769451.9500000004</v>
      </c>
      <c r="K332" s="357">
        <f t="shared" si="39"/>
        <v>0</v>
      </c>
      <c r="L332" s="357">
        <f t="shared" si="40"/>
        <v>0</v>
      </c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200"/>
      <c r="Z332" s="49"/>
    </row>
    <row r="333" spans="1:26" outlineLevel="1" x14ac:dyDescent="0.3">
      <c r="A333" s="26" t="s">
        <v>330</v>
      </c>
      <c r="B333" s="27" t="s">
        <v>331</v>
      </c>
      <c r="C333" s="161"/>
      <c r="D333" s="28" t="s">
        <v>38</v>
      </c>
      <c r="E333" s="80">
        <f>'[1]41'!D384</f>
        <v>183.08360000000002</v>
      </c>
      <c r="F333" s="28">
        <v>350</v>
      </c>
      <c r="G333" s="30"/>
      <c r="H333" s="29">
        <f>F333*E333</f>
        <v>64079.260000000009</v>
      </c>
      <c r="I333" s="29">
        <f>G333*E333</f>
        <v>0</v>
      </c>
      <c r="J333" s="29">
        <f>I333+H333</f>
        <v>64079.260000000009</v>
      </c>
      <c r="K333" s="357">
        <f t="shared" si="39"/>
        <v>0</v>
      </c>
      <c r="L333" s="357">
        <f t="shared" si="40"/>
        <v>0</v>
      </c>
      <c r="Z333" s="49"/>
    </row>
    <row r="334" spans="1:26" ht="31.2" outlineLevel="1" x14ac:dyDescent="0.3">
      <c r="A334" s="34"/>
      <c r="B334" s="30" t="s">
        <v>332</v>
      </c>
      <c r="C334" s="28"/>
      <c r="D334" s="132" t="s">
        <v>25</v>
      </c>
      <c r="E334" s="46">
        <f>'[1]41'!D385</f>
        <v>21.97</v>
      </c>
      <c r="F334" s="29"/>
      <c r="G334" s="52">
        <v>4400</v>
      </c>
      <c r="H334" s="29">
        <f>F334*E334</f>
        <v>0</v>
      </c>
      <c r="I334" s="29">
        <f>G334*E334</f>
        <v>96668</v>
      </c>
      <c r="J334" s="29">
        <f>I334+H334</f>
        <v>96668</v>
      </c>
      <c r="K334" s="357">
        <f t="shared" si="39"/>
        <v>0</v>
      </c>
      <c r="L334" s="357">
        <f t="shared" si="40"/>
        <v>0</v>
      </c>
      <c r="Z334" s="49"/>
    </row>
    <row r="335" spans="1:26" outlineLevel="1" x14ac:dyDescent="0.3">
      <c r="A335" s="34"/>
      <c r="B335" s="133" t="s">
        <v>333</v>
      </c>
      <c r="C335" s="227"/>
      <c r="D335" s="132" t="s">
        <v>22</v>
      </c>
      <c r="E335" s="46">
        <f>ROUND(E333*12,2)</f>
        <v>2197</v>
      </c>
      <c r="F335" s="29"/>
      <c r="G335" s="52">
        <v>12</v>
      </c>
      <c r="H335" s="29">
        <f>F335*E335</f>
        <v>0</v>
      </c>
      <c r="I335" s="29">
        <f>G335*E335</f>
        <v>26364</v>
      </c>
      <c r="J335" s="29">
        <f>I335+H335</f>
        <v>26364</v>
      </c>
      <c r="K335" s="357">
        <f t="shared" si="39"/>
        <v>0</v>
      </c>
      <c r="L335" s="357">
        <f t="shared" si="40"/>
        <v>0</v>
      </c>
      <c r="Z335" s="49"/>
    </row>
    <row r="336" spans="1:26" ht="19.5" customHeight="1" x14ac:dyDescent="0.3">
      <c r="A336" s="97" t="s">
        <v>832</v>
      </c>
      <c r="B336" s="100" t="s">
        <v>334</v>
      </c>
      <c r="C336" s="99"/>
      <c r="D336" s="99"/>
      <c r="E336" s="99"/>
      <c r="F336" s="99"/>
      <c r="G336" s="100"/>
      <c r="H336" s="99">
        <f>SUM(H332:H335)</f>
        <v>1075194.6600000001</v>
      </c>
      <c r="I336" s="99">
        <f>SUM(I332:I335)</f>
        <v>881368.55000000016</v>
      </c>
      <c r="J336" s="99">
        <f>SUM(J332:J335)</f>
        <v>1956563.2100000004</v>
      </c>
      <c r="K336" s="357">
        <f t="shared" si="39"/>
        <v>0</v>
      </c>
      <c r="L336" s="357">
        <f t="shared" si="40"/>
        <v>0</v>
      </c>
      <c r="M336" s="31"/>
      <c r="P336" s="74"/>
      <c r="S336" s="74"/>
      <c r="V336" s="74"/>
      <c r="X336" s="74"/>
      <c r="Z336" s="49"/>
    </row>
    <row r="337" spans="1:26" ht="17.399999999999999" customHeight="1" x14ac:dyDescent="0.3">
      <c r="A337" s="105"/>
      <c r="B337" s="121" t="s">
        <v>72</v>
      </c>
      <c r="C337" s="217"/>
      <c r="D337" s="134"/>
      <c r="E337" s="65"/>
      <c r="F337" s="65"/>
      <c r="G337" s="66"/>
      <c r="H337" s="28"/>
      <c r="I337" s="28"/>
      <c r="J337" s="28">
        <f>ROUND(J336/1.18*0.18,2)</f>
        <v>298458.78999999998</v>
      </c>
      <c r="K337" s="357">
        <f t="shared" si="39"/>
        <v>0</v>
      </c>
      <c r="L337" s="357">
        <f t="shared" si="40"/>
        <v>0</v>
      </c>
      <c r="Z337" s="49"/>
    </row>
    <row r="338" spans="1:26" ht="20.25" customHeight="1" x14ac:dyDescent="0.3">
      <c r="A338" s="126"/>
      <c r="B338" s="341" t="s">
        <v>335</v>
      </c>
      <c r="C338" s="341"/>
      <c r="D338" s="341"/>
      <c r="E338" s="341"/>
      <c r="F338" s="341"/>
      <c r="G338" s="341"/>
      <c r="H338" s="23"/>
      <c r="I338" s="23"/>
      <c r="J338" s="24"/>
      <c r="K338" s="357">
        <f t="shared" si="39"/>
        <v>0</v>
      </c>
      <c r="L338" s="357">
        <f t="shared" si="40"/>
        <v>0</v>
      </c>
      <c r="Z338" s="49"/>
    </row>
    <row r="339" spans="1:26" ht="19.5" customHeight="1" outlineLevel="1" x14ac:dyDescent="0.3">
      <c r="A339" s="34"/>
      <c r="B339" s="330" t="s">
        <v>336</v>
      </c>
      <c r="C339" s="135"/>
      <c r="D339" s="136"/>
      <c r="E339" s="137"/>
      <c r="F339" s="138"/>
      <c r="G339" s="139"/>
      <c r="H339" s="140"/>
      <c r="I339" s="140"/>
      <c r="J339" s="140"/>
      <c r="K339" s="357">
        <f t="shared" si="39"/>
        <v>0</v>
      </c>
      <c r="L339" s="357">
        <f t="shared" si="40"/>
        <v>0</v>
      </c>
      <c r="N339" s="32"/>
      <c r="O339" s="32"/>
      <c r="Q339" s="32"/>
      <c r="R339" s="32"/>
      <c r="T339" s="32"/>
      <c r="U339" s="32"/>
      <c r="W339" s="32"/>
      <c r="Z339" s="49"/>
    </row>
    <row r="340" spans="1:26" ht="16.95" customHeight="1" outlineLevel="1" x14ac:dyDescent="0.3">
      <c r="A340" s="26" t="s">
        <v>337</v>
      </c>
      <c r="B340" s="27" t="s">
        <v>338</v>
      </c>
      <c r="C340" s="161"/>
      <c r="D340" s="28" t="s">
        <v>38</v>
      </c>
      <c r="E340" s="29">
        <f>'[1]41'!D391</f>
        <v>141.89999999999998</v>
      </c>
      <c r="F340" s="28">
        <v>120</v>
      </c>
      <c r="G340" s="30"/>
      <c r="H340" s="29">
        <f>F340*E340</f>
        <v>17027.999999999996</v>
      </c>
      <c r="I340" s="29"/>
      <c r="J340" s="29">
        <f t="shared" ref="J340:J350" si="45">I340+H340</f>
        <v>17027.999999999996</v>
      </c>
      <c r="K340" s="357">
        <f t="shared" ref="K340:K403" si="46">IF(H340&gt;0,Z340,0)</f>
        <v>0</v>
      </c>
      <c r="L340" s="357">
        <f t="shared" ref="L340:L403" si="47">IF(I340&gt;0,Z340,0)</f>
        <v>0</v>
      </c>
      <c r="N340" s="33"/>
      <c r="O340" s="33"/>
      <c r="Q340" s="33"/>
      <c r="R340" s="33"/>
      <c r="T340" s="33"/>
      <c r="U340" s="33"/>
      <c r="W340" s="33"/>
      <c r="Z340" s="49"/>
    </row>
    <row r="341" spans="1:26" outlineLevel="1" x14ac:dyDescent="0.3">
      <c r="A341" s="34"/>
      <c r="B341" s="113" t="s">
        <v>339</v>
      </c>
      <c r="C341" s="118"/>
      <c r="D341" s="114" t="s">
        <v>38</v>
      </c>
      <c r="E341" s="29">
        <f>ROUND(E340*1.1,2)</f>
        <v>156.09</v>
      </c>
      <c r="F341" s="29"/>
      <c r="G341" s="30">
        <f>ROUND(88.7*1.1,2)</f>
        <v>97.57</v>
      </c>
      <c r="H341" s="29">
        <f t="shared" ref="H341:H359" si="48">F341*E341</f>
        <v>0</v>
      </c>
      <c r="I341" s="29">
        <f>G341*E341</f>
        <v>15229.701299999999</v>
      </c>
      <c r="J341" s="29">
        <f t="shared" si="45"/>
        <v>15229.701299999999</v>
      </c>
      <c r="K341" s="357">
        <f t="shared" si="46"/>
        <v>0</v>
      </c>
      <c r="L341" s="357">
        <f t="shared" si="47"/>
        <v>0</v>
      </c>
      <c r="Z341" s="49"/>
    </row>
    <row r="342" spans="1:26" outlineLevel="1" x14ac:dyDescent="0.3">
      <c r="A342" s="26" t="s">
        <v>340</v>
      </c>
      <c r="B342" s="27" t="s">
        <v>341</v>
      </c>
      <c r="C342" s="161"/>
      <c r="D342" s="28" t="s">
        <v>38</v>
      </c>
      <c r="E342" s="28">
        <f>'[1]41'!D393</f>
        <v>559.19999999999993</v>
      </c>
      <c r="F342" s="28">
        <v>150</v>
      </c>
      <c r="G342" s="30"/>
      <c r="H342" s="29">
        <f t="shared" si="48"/>
        <v>83879.999999999985</v>
      </c>
      <c r="I342" s="29">
        <f t="shared" ref="I342:I359" si="49">G342*E342</f>
        <v>0</v>
      </c>
      <c r="J342" s="29">
        <f t="shared" si="45"/>
        <v>83879.999999999985</v>
      </c>
      <c r="K342" s="357">
        <f t="shared" si="46"/>
        <v>0</v>
      </c>
      <c r="L342" s="357">
        <f t="shared" si="47"/>
        <v>0</v>
      </c>
      <c r="Z342" s="49"/>
    </row>
    <row r="343" spans="1:26" outlineLevel="1" x14ac:dyDescent="0.3">
      <c r="A343" s="34"/>
      <c r="B343" s="111" t="s">
        <v>342</v>
      </c>
      <c r="C343" s="154"/>
      <c r="D343" s="114" t="s">
        <v>25</v>
      </c>
      <c r="E343" s="29">
        <f>ROUND(E342*0.1,2)</f>
        <v>55.92</v>
      </c>
      <c r="F343" s="29"/>
      <c r="G343" s="41">
        <v>4200</v>
      </c>
      <c r="H343" s="29">
        <f t="shared" si="48"/>
        <v>0</v>
      </c>
      <c r="I343" s="29">
        <f t="shared" si="49"/>
        <v>234864</v>
      </c>
      <c r="J343" s="29">
        <f t="shared" si="45"/>
        <v>234864</v>
      </c>
      <c r="K343" s="357">
        <f t="shared" si="46"/>
        <v>0</v>
      </c>
      <c r="L343" s="357">
        <f t="shared" si="47"/>
        <v>0</v>
      </c>
      <c r="Z343" s="49"/>
    </row>
    <row r="344" spans="1:26" outlineLevel="1" x14ac:dyDescent="0.3">
      <c r="A344" s="34"/>
      <c r="B344" s="111" t="s">
        <v>343</v>
      </c>
      <c r="C344" s="154"/>
      <c r="D344" s="114" t="s">
        <v>38</v>
      </c>
      <c r="E344" s="29">
        <f>'[1]41'!D395</f>
        <v>511.9</v>
      </c>
      <c r="F344" s="29"/>
      <c r="G344" s="41"/>
      <c r="H344" s="29">
        <f t="shared" si="48"/>
        <v>0</v>
      </c>
      <c r="I344" s="29">
        <f t="shared" si="49"/>
        <v>0</v>
      </c>
      <c r="J344" s="29"/>
      <c r="K344" s="357">
        <f t="shared" si="46"/>
        <v>0</v>
      </c>
      <c r="L344" s="357">
        <f t="shared" si="47"/>
        <v>0</v>
      </c>
      <c r="Z344" s="49"/>
    </row>
    <row r="345" spans="1:26" ht="32.25" customHeight="1" outlineLevel="1" x14ac:dyDescent="0.3">
      <c r="A345" s="26" t="s">
        <v>344</v>
      </c>
      <c r="B345" s="39" t="s">
        <v>345</v>
      </c>
      <c r="C345" s="28"/>
      <c r="D345" s="28" t="s">
        <v>38</v>
      </c>
      <c r="E345" s="28">
        <f>'[1]41'!D396</f>
        <v>1654.7999999999997</v>
      </c>
      <c r="F345" s="28">
        <v>340</v>
      </c>
      <c r="G345" s="30"/>
      <c r="H345" s="29">
        <f t="shared" si="48"/>
        <v>562631.99999999988</v>
      </c>
      <c r="I345" s="29">
        <f t="shared" si="49"/>
        <v>0</v>
      </c>
      <c r="J345" s="29">
        <f t="shared" si="45"/>
        <v>562631.99999999988</v>
      </c>
      <c r="K345" s="357">
        <f t="shared" si="46"/>
        <v>0</v>
      </c>
      <c r="L345" s="357">
        <f t="shared" si="47"/>
        <v>0</v>
      </c>
      <c r="Z345" s="49"/>
    </row>
    <row r="346" spans="1:26" outlineLevel="1" x14ac:dyDescent="0.3">
      <c r="A346" s="34"/>
      <c r="B346" s="111" t="s">
        <v>346</v>
      </c>
      <c r="C346" s="154"/>
      <c r="D346" s="114" t="s">
        <v>25</v>
      </c>
      <c r="E346" s="29">
        <f>ROUND(E345*0.04,2)</f>
        <v>66.19</v>
      </c>
      <c r="F346" s="29"/>
      <c r="G346" s="30"/>
      <c r="H346" s="29">
        <f t="shared" si="48"/>
        <v>0</v>
      </c>
      <c r="I346" s="29">
        <f t="shared" si="49"/>
        <v>0</v>
      </c>
      <c r="J346" s="29">
        <f t="shared" si="45"/>
        <v>0</v>
      </c>
      <c r="K346" s="357">
        <f t="shared" si="46"/>
        <v>0</v>
      </c>
      <c r="L346" s="357">
        <f t="shared" si="47"/>
        <v>0</v>
      </c>
      <c r="Z346" s="49"/>
    </row>
    <row r="347" spans="1:26" outlineLevel="1" x14ac:dyDescent="0.3">
      <c r="A347" s="34"/>
      <c r="B347" s="113" t="s">
        <v>347</v>
      </c>
      <c r="C347" s="118"/>
      <c r="D347" s="114" t="s">
        <v>38</v>
      </c>
      <c r="E347" s="29">
        <f>E345</f>
        <v>1654.7999999999997</v>
      </c>
      <c r="F347" s="29"/>
      <c r="G347" s="30">
        <v>31.34</v>
      </c>
      <c r="H347" s="29">
        <f t="shared" si="48"/>
        <v>0</v>
      </c>
      <c r="I347" s="29">
        <f t="shared" si="49"/>
        <v>51861.431999999993</v>
      </c>
      <c r="J347" s="29">
        <f t="shared" si="45"/>
        <v>51861.431999999993</v>
      </c>
      <c r="K347" s="357">
        <f t="shared" si="46"/>
        <v>0</v>
      </c>
      <c r="L347" s="357">
        <f t="shared" si="47"/>
        <v>0</v>
      </c>
      <c r="Z347" s="49"/>
    </row>
    <row r="348" spans="1:26" ht="31.2" outlineLevel="1" x14ac:dyDescent="0.3">
      <c r="A348" s="26" t="s">
        <v>348</v>
      </c>
      <c r="B348" s="39" t="s">
        <v>349</v>
      </c>
      <c r="C348" s="28"/>
      <c r="D348" s="28" t="s">
        <v>38</v>
      </c>
      <c r="E348" s="28">
        <f>'[1]41'!D399</f>
        <v>81</v>
      </c>
      <c r="F348" s="28">
        <v>340</v>
      </c>
      <c r="G348" s="30"/>
      <c r="H348" s="29">
        <f t="shared" si="48"/>
        <v>27540</v>
      </c>
      <c r="I348" s="29">
        <f t="shared" si="49"/>
        <v>0</v>
      </c>
      <c r="J348" s="29">
        <f t="shared" si="45"/>
        <v>27540</v>
      </c>
      <c r="K348" s="357">
        <f t="shared" si="46"/>
        <v>0</v>
      </c>
      <c r="L348" s="357">
        <f t="shared" si="47"/>
        <v>0</v>
      </c>
      <c r="Z348" s="49"/>
    </row>
    <row r="349" spans="1:26" outlineLevel="1" x14ac:dyDescent="0.3">
      <c r="A349" s="34"/>
      <c r="B349" s="111" t="s">
        <v>346</v>
      </c>
      <c r="C349" s="154"/>
      <c r="D349" s="114" t="s">
        <v>25</v>
      </c>
      <c r="E349" s="29">
        <f>ROUND(E348*0.07,2)</f>
        <v>5.67</v>
      </c>
      <c r="F349" s="29"/>
      <c r="G349" s="30"/>
      <c r="H349" s="29">
        <f t="shared" si="48"/>
        <v>0</v>
      </c>
      <c r="I349" s="29">
        <f t="shared" si="49"/>
        <v>0</v>
      </c>
      <c r="J349" s="29">
        <f t="shared" si="45"/>
        <v>0</v>
      </c>
      <c r="K349" s="357">
        <f t="shared" si="46"/>
        <v>0</v>
      </c>
      <c r="L349" s="357">
        <f t="shared" si="47"/>
        <v>0</v>
      </c>
      <c r="Z349" s="49"/>
    </row>
    <row r="350" spans="1:26" outlineLevel="1" x14ac:dyDescent="0.3">
      <c r="A350" s="34"/>
      <c r="B350" s="113" t="s">
        <v>347</v>
      </c>
      <c r="C350" s="118"/>
      <c r="D350" s="114" t="s">
        <v>38</v>
      </c>
      <c r="E350" s="29">
        <f>E348</f>
        <v>81</v>
      </c>
      <c r="F350" s="29"/>
      <c r="G350" s="30">
        <v>31.34</v>
      </c>
      <c r="H350" s="29">
        <f t="shared" si="48"/>
        <v>0</v>
      </c>
      <c r="I350" s="29">
        <f t="shared" si="49"/>
        <v>2538.54</v>
      </c>
      <c r="J350" s="29">
        <f t="shared" si="45"/>
        <v>2538.54</v>
      </c>
      <c r="K350" s="357">
        <f t="shared" si="46"/>
        <v>0</v>
      </c>
      <c r="L350" s="357">
        <f t="shared" si="47"/>
        <v>0</v>
      </c>
      <c r="Z350" s="49"/>
    </row>
    <row r="351" spans="1:26" ht="31.2" outlineLevel="1" x14ac:dyDescent="0.3">
      <c r="A351" s="26" t="s">
        <v>350</v>
      </c>
      <c r="B351" s="39" t="s">
        <v>351</v>
      </c>
      <c r="C351" s="28"/>
      <c r="D351" s="28" t="s">
        <v>38</v>
      </c>
      <c r="E351" s="28">
        <f>'[1]41'!D402</f>
        <v>135.59999999999997</v>
      </c>
      <c r="F351" s="28">
        <v>350</v>
      </c>
      <c r="G351" s="30"/>
      <c r="H351" s="29">
        <f t="shared" si="48"/>
        <v>47459.999999999985</v>
      </c>
      <c r="I351" s="29">
        <f t="shared" si="49"/>
        <v>0</v>
      </c>
      <c r="J351" s="29">
        <f>I351+H351</f>
        <v>47459.999999999985</v>
      </c>
      <c r="K351" s="357">
        <f t="shared" si="46"/>
        <v>0</v>
      </c>
      <c r="L351" s="357">
        <f t="shared" si="47"/>
        <v>0</v>
      </c>
      <c r="Z351" s="49"/>
    </row>
    <row r="352" spans="1:26" outlineLevel="1" x14ac:dyDescent="0.3">
      <c r="A352" s="34"/>
      <c r="B352" s="111" t="s">
        <v>352</v>
      </c>
      <c r="C352" s="154"/>
      <c r="D352" s="114" t="s">
        <v>38</v>
      </c>
      <c r="E352" s="29">
        <f>+ROUND(E351*1.1,2)</f>
        <v>149.16</v>
      </c>
      <c r="F352" s="29"/>
      <c r="G352" s="30">
        <v>250</v>
      </c>
      <c r="H352" s="29">
        <f t="shared" si="48"/>
        <v>0</v>
      </c>
      <c r="I352" s="29">
        <f t="shared" si="49"/>
        <v>37290</v>
      </c>
      <c r="J352" s="29">
        <f>I352+H352</f>
        <v>37290</v>
      </c>
      <c r="K352" s="357">
        <f t="shared" si="46"/>
        <v>0</v>
      </c>
      <c r="L352" s="357">
        <f t="shared" si="47"/>
        <v>0</v>
      </c>
      <c r="Z352" s="49"/>
    </row>
    <row r="353" spans="1:26" outlineLevel="1" x14ac:dyDescent="0.3">
      <c r="A353" s="34"/>
      <c r="B353" s="111" t="s">
        <v>353</v>
      </c>
      <c r="C353" s="154"/>
      <c r="D353" s="114" t="s">
        <v>40</v>
      </c>
      <c r="E353" s="29">
        <f>+ROUND(E352*6,2)</f>
        <v>894.96</v>
      </c>
      <c r="F353" s="29"/>
      <c r="G353" s="30">
        <f>+ROUND(7.5*1.1,2)</f>
        <v>8.25</v>
      </c>
      <c r="H353" s="29">
        <f t="shared" si="48"/>
        <v>0</v>
      </c>
      <c r="I353" s="29">
        <f t="shared" si="49"/>
        <v>7383.42</v>
      </c>
      <c r="J353" s="29">
        <f>I353+H353</f>
        <v>7383.42</v>
      </c>
      <c r="K353" s="357">
        <f t="shared" si="46"/>
        <v>0</v>
      </c>
      <c r="L353" s="357">
        <f t="shared" si="47"/>
        <v>0</v>
      </c>
      <c r="Z353" s="49"/>
    </row>
    <row r="354" spans="1:26" outlineLevel="1" x14ac:dyDescent="0.3">
      <c r="A354" s="34"/>
      <c r="B354" s="111" t="s">
        <v>354</v>
      </c>
      <c r="C354" s="154"/>
      <c r="D354" s="114" t="s">
        <v>40</v>
      </c>
      <c r="E354" s="29">
        <f>+ROUND(E352*0.19,2)</f>
        <v>28.34</v>
      </c>
      <c r="F354" s="29"/>
      <c r="G354" s="30">
        <v>9</v>
      </c>
      <c r="H354" s="29">
        <f t="shared" si="48"/>
        <v>0</v>
      </c>
      <c r="I354" s="29">
        <f t="shared" si="49"/>
        <v>255.06</v>
      </c>
      <c r="J354" s="29">
        <f>I354+H354</f>
        <v>255.06</v>
      </c>
      <c r="K354" s="357">
        <f t="shared" si="46"/>
        <v>0</v>
      </c>
      <c r="L354" s="357">
        <f t="shared" si="47"/>
        <v>0</v>
      </c>
      <c r="Z354" s="49"/>
    </row>
    <row r="355" spans="1:26" ht="22.5" customHeight="1" outlineLevel="1" x14ac:dyDescent="0.3">
      <c r="A355" s="34"/>
      <c r="B355" s="331" t="s">
        <v>355</v>
      </c>
      <c r="C355" s="28"/>
      <c r="D355" s="114"/>
      <c r="E355" s="29"/>
      <c r="F355" s="29"/>
      <c r="G355" s="30"/>
      <c r="H355" s="29">
        <f t="shared" si="48"/>
        <v>0</v>
      </c>
      <c r="I355" s="29">
        <f t="shared" si="49"/>
        <v>0</v>
      </c>
      <c r="J355" s="29"/>
      <c r="K355" s="357">
        <f t="shared" si="46"/>
        <v>0</v>
      </c>
      <c r="L355" s="357">
        <f t="shared" si="47"/>
        <v>0</v>
      </c>
      <c r="Z355" s="49"/>
    </row>
    <row r="356" spans="1:26" outlineLevel="1" x14ac:dyDescent="0.3">
      <c r="A356" s="26" t="s">
        <v>356</v>
      </c>
      <c r="B356" s="39" t="s">
        <v>357</v>
      </c>
      <c r="C356" s="28"/>
      <c r="D356" s="28" t="s">
        <v>38</v>
      </c>
      <c r="E356" s="28">
        <v>2065</v>
      </c>
      <c r="F356" s="28">
        <f>180+50</f>
        <v>230</v>
      </c>
      <c r="G356" s="30"/>
      <c r="H356" s="29">
        <f t="shared" si="48"/>
        <v>474950</v>
      </c>
      <c r="I356" s="29">
        <f t="shared" si="49"/>
        <v>0</v>
      </c>
      <c r="J356" s="29">
        <f>I356+H356</f>
        <v>474950</v>
      </c>
      <c r="K356" s="357">
        <f t="shared" si="46"/>
        <v>0</v>
      </c>
      <c r="L356" s="357">
        <f t="shared" si="47"/>
        <v>0</v>
      </c>
      <c r="Z356" s="49"/>
    </row>
    <row r="357" spans="1:26" outlineLevel="1" x14ac:dyDescent="0.3">
      <c r="A357" s="34"/>
      <c r="B357" s="111" t="s">
        <v>358</v>
      </c>
      <c r="C357" s="154"/>
      <c r="D357" s="114" t="s">
        <v>40</v>
      </c>
      <c r="E357" s="141">
        <f>E356/5*30</f>
        <v>12390</v>
      </c>
      <c r="F357" s="29"/>
      <c r="G357" s="30">
        <v>0</v>
      </c>
      <c r="H357" s="29">
        <f t="shared" si="48"/>
        <v>0</v>
      </c>
      <c r="I357" s="29">
        <f t="shared" si="49"/>
        <v>0</v>
      </c>
      <c r="J357" s="29">
        <f>I357+H357</f>
        <v>0</v>
      </c>
      <c r="K357" s="357">
        <f t="shared" si="46"/>
        <v>0</v>
      </c>
      <c r="L357" s="357">
        <f t="shared" si="47"/>
        <v>0</v>
      </c>
      <c r="N357" s="18">
        <f>E357/30</f>
        <v>413</v>
      </c>
      <c r="Q357" s="18">
        <f>G357/30</f>
        <v>0</v>
      </c>
      <c r="T357" s="18">
        <f>I357/30</f>
        <v>0</v>
      </c>
      <c r="W357" s="18">
        <f>M357/30</f>
        <v>0</v>
      </c>
      <c r="Z357" s="49"/>
    </row>
    <row r="358" spans="1:26" outlineLevel="1" x14ac:dyDescent="0.3">
      <c r="A358" s="26" t="s">
        <v>359</v>
      </c>
      <c r="B358" s="39" t="s">
        <v>360</v>
      </c>
      <c r="C358" s="28"/>
      <c r="D358" s="28" t="s">
        <v>96</v>
      </c>
      <c r="E358" s="28">
        <f>'[1]41'!D409</f>
        <v>1771.92</v>
      </c>
      <c r="F358" s="28">
        <v>25</v>
      </c>
      <c r="G358" s="30"/>
      <c r="H358" s="29">
        <f t="shared" si="48"/>
        <v>44298</v>
      </c>
      <c r="I358" s="29">
        <f t="shared" si="49"/>
        <v>0</v>
      </c>
      <c r="J358" s="29">
        <f>I358+H358</f>
        <v>44298</v>
      </c>
      <c r="K358" s="357">
        <f t="shared" si="46"/>
        <v>0</v>
      </c>
      <c r="L358" s="357">
        <f t="shared" si="47"/>
        <v>0</v>
      </c>
      <c r="M358" s="142"/>
      <c r="Z358" s="49"/>
    </row>
    <row r="359" spans="1:26" outlineLevel="1" x14ac:dyDescent="0.3">
      <c r="A359" s="34"/>
      <c r="B359" s="111" t="s">
        <v>361</v>
      </c>
      <c r="C359" s="154"/>
      <c r="D359" s="114" t="s">
        <v>40</v>
      </c>
      <c r="E359" s="29">
        <f>E358*0.2</f>
        <v>354.38400000000001</v>
      </c>
      <c r="F359" s="29"/>
      <c r="G359" s="30">
        <v>20</v>
      </c>
      <c r="H359" s="29">
        <f t="shared" si="48"/>
        <v>0</v>
      </c>
      <c r="I359" s="29">
        <f t="shared" si="49"/>
        <v>7087.68</v>
      </c>
      <c r="J359" s="29">
        <f>I359+H359</f>
        <v>7087.68</v>
      </c>
      <c r="K359" s="357">
        <f t="shared" si="46"/>
        <v>0</v>
      </c>
      <c r="L359" s="357">
        <f t="shared" si="47"/>
        <v>0</v>
      </c>
      <c r="Z359" s="49"/>
    </row>
    <row r="360" spans="1:26" s="48" customFormat="1" outlineLevel="1" x14ac:dyDescent="0.3">
      <c r="A360" s="47"/>
      <c r="B360" s="64" t="s">
        <v>67</v>
      </c>
      <c r="C360" s="65"/>
      <c r="D360" s="60"/>
      <c r="E360" s="61"/>
      <c r="F360" s="62"/>
      <c r="G360" s="63"/>
      <c r="H360" s="65">
        <f>SUM(H339:H359)</f>
        <v>1257788</v>
      </c>
      <c r="I360" s="62"/>
      <c r="J360" s="66">
        <f>H360</f>
        <v>1257788</v>
      </c>
      <c r="K360" s="357">
        <f t="shared" si="46"/>
        <v>0</v>
      </c>
      <c r="L360" s="357">
        <f t="shared" si="47"/>
        <v>0</v>
      </c>
      <c r="N360" s="49"/>
      <c r="O360" s="49"/>
      <c r="P360" s="49"/>
      <c r="Q360" s="49"/>
      <c r="R360" s="49"/>
      <c r="S360" s="49"/>
      <c r="T360" s="49"/>
      <c r="U360" s="49"/>
      <c r="V360" s="49"/>
      <c r="W360" s="49"/>
      <c r="X360" s="49"/>
      <c r="Y360" s="201"/>
      <c r="Z360" s="49"/>
    </row>
    <row r="361" spans="1:26" s="48" customFormat="1" outlineLevel="1" x14ac:dyDescent="0.3">
      <c r="A361" s="47"/>
      <c r="B361" s="64" t="s">
        <v>68</v>
      </c>
      <c r="C361" s="65"/>
      <c r="D361" s="60"/>
      <c r="E361" s="61"/>
      <c r="F361" s="62"/>
      <c r="G361" s="63"/>
      <c r="H361" s="65"/>
      <c r="I361" s="65">
        <f>SUM(I339:I360)</f>
        <v>356509.83329999994</v>
      </c>
      <c r="J361" s="66">
        <f>I361</f>
        <v>356509.83329999994</v>
      </c>
      <c r="K361" s="357">
        <f t="shared" si="46"/>
        <v>0</v>
      </c>
      <c r="L361" s="357">
        <f t="shared" si="47"/>
        <v>0</v>
      </c>
      <c r="N361" s="49"/>
      <c r="O361" s="49"/>
      <c r="P361" s="49"/>
      <c r="Q361" s="49"/>
      <c r="R361" s="49"/>
      <c r="S361" s="49"/>
      <c r="T361" s="49"/>
      <c r="U361" s="49"/>
      <c r="V361" s="49"/>
      <c r="W361" s="49"/>
      <c r="X361" s="49"/>
      <c r="Y361" s="201"/>
      <c r="Z361" s="49"/>
    </row>
    <row r="362" spans="1:26" s="48" customFormat="1" outlineLevel="1" x14ac:dyDescent="0.3">
      <c r="A362" s="47"/>
      <c r="B362" s="64" t="s">
        <v>69</v>
      </c>
      <c r="C362" s="65"/>
      <c r="D362" s="60"/>
      <c r="E362" s="61"/>
      <c r="F362" s="62"/>
      <c r="G362" s="63"/>
      <c r="H362" s="65"/>
      <c r="I362" s="62"/>
      <c r="J362" s="66">
        <f>H362</f>
        <v>0</v>
      </c>
      <c r="K362" s="357">
        <f t="shared" si="46"/>
        <v>0</v>
      </c>
      <c r="L362" s="357">
        <f t="shared" si="47"/>
        <v>0</v>
      </c>
      <c r="N362" s="49"/>
      <c r="O362" s="49"/>
      <c r="P362" s="49"/>
      <c r="Q362" s="49"/>
      <c r="R362" s="49"/>
      <c r="S362" s="49"/>
      <c r="T362" s="49"/>
      <c r="U362" s="49"/>
      <c r="V362" s="49"/>
      <c r="W362" s="49"/>
      <c r="X362" s="49"/>
      <c r="Y362" s="201"/>
      <c r="Z362" s="49"/>
    </row>
    <row r="363" spans="1:26" s="48" customFormat="1" outlineLevel="1" x14ac:dyDescent="0.3">
      <c r="A363" s="47"/>
      <c r="B363" s="64" t="s">
        <v>70</v>
      </c>
      <c r="C363" s="65"/>
      <c r="D363" s="60"/>
      <c r="E363" s="61"/>
      <c r="F363" s="62"/>
      <c r="G363" s="63"/>
      <c r="H363" s="65"/>
      <c r="I363" s="62"/>
      <c r="J363" s="66">
        <f>H363</f>
        <v>0</v>
      </c>
      <c r="K363" s="357">
        <f t="shared" si="46"/>
        <v>0</v>
      </c>
      <c r="L363" s="357">
        <f t="shared" si="47"/>
        <v>0</v>
      </c>
      <c r="N363" s="49"/>
      <c r="O363" s="49"/>
      <c r="P363" s="49"/>
      <c r="Q363" s="49"/>
      <c r="R363" s="49"/>
      <c r="S363" s="49"/>
      <c r="T363" s="49"/>
      <c r="U363" s="49"/>
      <c r="V363" s="49"/>
      <c r="W363" s="49"/>
      <c r="X363" s="49"/>
      <c r="Y363" s="201"/>
      <c r="Z363" s="49"/>
    </row>
    <row r="364" spans="1:26" ht="27.6" x14ac:dyDescent="0.3">
      <c r="A364" s="97" t="s">
        <v>832</v>
      </c>
      <c r="B364" s="143" t="s">
        <v>362</v>
      </c>
      <c r="C364" s="220"/>
      <c r="D364" s="99"/>
      <c r="E364" s="99"/>
      <c r="F364" s="99"/>
      <c r="G364" s="100"/>
      <c r="H364" s="99">
        <f>H360+H362+H363</f>
        <v>1257788</v>
      </c>
      <c r="I364" s="99">
        <f>I361</f>
        <v>356509.83329999994</v>
      </c>
      <c r="J364" s="99">
        <f>J360+J361+J362+J363</f>
        <v>1614297.8333000001</v>
      </c>
      <c r="K364" s="357">
        <f t="shared" si="46"/>
        <v>0</v>
      </c>
      <c r="L364" s="357">
        <f t="shared" si="47"/>
        <v>0</v>
      </c>
      <c r="M364" s="31"/>
      <c r="Z364" s="49"/>
    </row>
    <row r="365" spans="1:26" x14ac:dyDescent="0.3">
      <c r="A365" s="105"/>
      <c r="B365" s="121" t="s">
        <v>72</v>
      </c>
      <c r="C365" s="217"/>
      <c r="D365" s="134"/>
      <c r="E365" s="65"/>
      <c r="F365" s="65"/>
      <c r="G365" s="66"/>
      <c r="H365" s="65"/>
      <c r="I365" s="65"/>
      <c r="J365" s="28">
        <f>ROUND(J364/1.18*0.18,2)</f>
        <v>246248.82</v>
      </c>
      <c r="K365" s="357">
        <f t="shared" si="46"/>
        <v>0</v>
      </c>
      <c r="L365" s="357">
        <f t="shared" si="47"/>
        <v>0</v>
      </c>
      <c r="Z365" s="49"/>
    </row>
    <row r="366" spans="1:26" ht="46.8" x14ac:dyDescent="0.3">
      <c r="A366" s="144"/>
      <c r="B366" s="90" t="s">
        <v>363</v>
      </c>
      <c r="C366" s="213"/>
      <c r="D366" s="106"/>
      <c r="E366" s="106"/>
      <c r="F366" s="106"/>
      <c r="G366" s="106"/>
      <c r="H366" s="106"/>
      <c r="I366" s="106"/>
      <c r="J366" s="145"/>
      <c r="K366" s="357">
        <f t="shared" si="46"/>
        <v>0</v>
      </c>
      <c r="L366" s="357">
        <f t="shared" si="47"/>
        <v>0</v>
      </c>
      <c r="Z366" s="49"/>
    </row>
    <row r="367" spans="1:26" ht="31.2" outlineLevel="1" x14ac:dyDescent="0.3">
      <c r="A367" s="26" t="s">
        <v>364</v>
      </c>
      <c r="B367" s="39" t="s">
        <v>365</v>
      </c>
      <c r="C367" s="28"/>
      <c r="D367" s="28" t="s">
        <v>38</v>
      </c>
      <c r="E367" s="40">
        <f>'[1]41'!D418</f>
        <v>6.9</v>
      </c>
      <c r="F367" s="28">
        <v>1000</v>
      </c>
      <c r="G367" s="30"/>
      <c r="H367" s="29">
        <f>F367*E367</f>
        <v>6900</v>
      </c>
      <c r="I367" s="29"/>
      <c r="J367" s="29">
        <f>I367+H367</f>
        <v>6900</v>
      </c>
      <c r="K367" s="357">
        <f t="shared" si="46"/>
        <v>0</v>
      </c>
      <c r="L367" s="357">
        <f t="shared" si="47"/>
        <v>0</v>
      </c>
      <c r="Z367" s="49"/>
    </row>
    <row r="368" spans="1:26" outlineLevel="1" x14ac:dyDescent="0.3">
      <c r="A368" s="34"/>
      <c r="B368" s="113" t="s">
        <v>366</v>
      </c>
      <c r="C368" s="118"/>
      <c r="D368" s="114" t="s">
        <v>25</v>
      </c>
      <c r="E368" s="29">
        <f>ROUND(E367*0.1,2)</f>
        <v>0.69</v>
      </c>
      <c r="F368" s="29"/>
      <c r="G368" s="30">
        <v>3450</v>
      </c>
      <c r="H368" s="29">
        <f t="shared" ref="H368:H390" si="50">F368*E368</f>
        <v>0</v>
      </c>
      <c r="I368" s="29">
        <f>G368*E368</f>
        <v>2380.5</v>
      </c>
      <c r="J368" s="29">
        <f>I368+H368</f>
        <v>2380.5</v>
      </c>
      <c r="K368" s="357">
        <f t="shared" si="46"/>
        <v>0</v>
      </c>
      <c r="L368" s="357">
        <f t="shared" si="47"/>
        <v>0</v>
      </c>
      <c r="Z368" s="49"/>
    </row>
    <row r="369" spans="1:26" outlineLevel="1" x14ac:dyDescent="0.3">
      <c r="A369" s="34"/>
      <c r="B369" s="113" t="s">
        <v>367</v>
      </c>
      <c r="C369" s="118"/>
      <c r="D369" s="114" t="s">
        <v>25</v>
      </c>
      <c r="E369" s="29">
        <f>ROUND(E368*0.05,2)</f>
        <v>0.03</v>
      </c>
      <c r="F369" s="29"/>
      <c r="G369" s="30">
        <v>850</v>
      </c>
      <c r="H369" s="29">
        <f t="shared" si="50"/>
        <v>0</v>
      </c>
      <c r="I369" s="29">
        <f t="shared" ref="I369:I390" si="51">G369*E369</f>
        <v>25.5</v>
      </c>
      <c r="J369" s="29">
        <f>I369+H369</f>
        <v>25.5</v>
      </c>
      <c r="K369" s="357">
        <f t="shared" si="46"/>
        <v>0</v>
      </c>
      <c r="L369" s="357">
        <f t="shared" si="47"/>
        <v>0</v>
      </c>
      <c r="Z369" s="49"/>
    </row>
    <row r="370" spans="1:26" outlineLevel="1" x14ac:dyDescent="0.3">
      <c r="A370" s="26" t="s">
        <v>368</v>
      </c>
      <c r="B370" s="27" t="s">
        <v>369</v>
      </c>
      <c r="C370" s="161"/>
      <c r="D370" s="28" t="s">
        <v>38</v>
      </c>
      <c r="E370" s="28">
        <f>'[1]41'!D421</f>
        <v>6.9</v>
      </c>
      <c r="F370" s="28">
        <v>120</v>
      </c>
      <c r="G370" s="30"/>
      <c r="H370" s="29">
        <f t="shared" si="50"/>
        <v>828</v>
      </c>
      <c r="I370" s="29">
        <f t="shared" si="51"/>
        <v>0</v>
      </c>
      <c r="J370" s="29">
        <f t="shared" ref="J370:J385" si="52">I370+H370</f>
        <v>828</v>
      </c>
      <c r="K370" s="357">
        <f t="shared" si="46"/>
        <v>0</v>
      </c>
      <c r="L370" s="357">
        <f t="shared" si="47"/>
        <v>0</v>
      </c>
      <c r="Z370" s="49"/>
    </row>
    <row r="371" spans="1:26" outlineLevel="1" x14ac:dyDescent="0.3">
      <c r="A371" s="34"/>
      <c r="B371" s="113" t="s">
        <v>370</v>
      </c>
      <c r="C371" s="118"/>
      <c r="D371" s="114" t="s">
        <v>38</v>
      </c>
      <c r="E371" s="29">
        <f>ROUND(E370*1.1*2,2)</f>
        <v>15.18</v>
      </c>
      <c r="F371" s="29"/>
      <c r="G371" s="30">
        <f>ROUND(88.7*1.1,2)</f>
        <v>97.57</v>
      </c>
      <c r="H371" s="29">
        <f t="shared" si="50"/>
        <v>0</v>
      </c>
      <c r="I371" s="29">
        <f t="shared" si="51"/>
        <v>1481.1125999999999</v>
      </c>
      <c r="J371" s="29">
        <f t="shared" si="52"/>
        <v>1481.1125999999999</v>
      </c>
      <c r="K371" s="357">
        <f t="shared" si="46"/>
        <v>0</v>
      </c>
      <c r="L371" s="357">
        <f t="shared" si="47"/>
        <v>0</v>
      </c>
      <c r="Z371" s="49"/>
    </row>
    <row r="372" spans="1:26" outlineLevel="1" x14ac:dyDescent="0.3">
      <c r="A372" s="26" t="s">
        <v>371</v>
      </c>
      <c r="B372" s="27" t="s">
        <v>372</v>
      </c>
      <c r="C372" s="161"/>
      <c r="D372" s="28" t="s">
        <v>38</v>
      </c>
      <c r="E372" s="28">
        <f>'[1]41'!D423</f>
        <v>1.7</v>
      </c>
      <c r="F372" s="29"/>
      <c r="G372" s="30"/>
      <c r="H372" s="29">
        <f t="shared" si="50"/>
        <v>0</v>
      </c>
      <c r="I372" s="29">
        <f t="shared" si="51"/>
        <v>0</v>
      </c>
      <c r="J372" s="29">
        <f t="shared" si="52"/>
        <v>0</v>
      </c>
      <c r="K372" s="357">
        <f t="shared" si="46"/>
        <v>0</v>
      </c>
      <c r="L372" s="357">
        <f t="shared" si="47"/>
        <v>0</v>
      </c>
      <c r="Z372" s="49"/>
    </row>
    <row r="373" spans="1:26" ht="27.6" outlineLevel="1" x14ac:dyDescent="0.3">
      <c r="A373" s="34"/>
      <c r="B373" s="115" t="s">
        <v>373</v>
      </c>
      <c r="C373" s="162"/>
      <c r="D373" s="114" t="s">
        <v>38</v>
      </c>
      <c r="E373" s="77">
        <f>ROUND(E372*2*1.03,2)</f>
        <v>3.5</v>
      </c>
      <c r="F373" s="77"/>
      <c r="G373" s="41">
        <f>ROUND(261.9*1.1,2)</f>
        <v>288.08999999999997</v>
      </c>
      <c r="H373" s="29">
        <f t="shared" si="50"/>
        <v>0</v>
      </c>
      <c r="I373" s="29">
        <f t="shared" si="51"/>
        <v>1008.3149999999999</v>
      </c>
      <c r="J373" s="77">
        <f t="shared" si="52"/>
        <v>1008.3149999999999</v>
      </c>
      <c r="K373" s="357">
        <f t="shared" si="46"/>
        <v>0</v>
      </c>
      <c r="L373" s="357">
        <f t="shared" si="47"/>
        <v>0</v>
      </c>
      <c r="Z373" s="49"/>
    </row>
    <row r="374" spans="1:26" outlineLevel="1" x14ac:dyDescent="0.3">
      <c r="A374" s="34"/>
      <c r="B374" s="113" t="s">
        <v>249</v>
      </c>
      <c r="C374" s="118"/>
      <c r="D374" s="114" t="s">
        <v>38</v>
      </c>
      <c r="E374" s="77">
        <f>ROUND(E372*1.015,2)</f>
        <v>1.73</v>
      </c>
      <c r="F374" s="77"/>
      <c r="G374" s="41">
        <v>109.41</v>
      </c>
      <c r="H374" s="29">
        <f t="shared" si="50"/>
        <v>0</v>
      </c>
      <c r="I374" s="29">
        <f t="shared" si="51"/>
        <v>189.27930000000001</v>
      </c>
      <c r="J374" s="77">
        <f t="shared" si="52"/>
        <v>189.27930000000001</v>
      </c>
      <c r="K374" s="357">
        <f t="shared" si="46"/>
        <v>0</v>
      </c>
      <c r="L374" s="357">
        <f t="shared" si="47"/>
        <v>0</v>
      </c>
      <c r="Z374" s="49"/>
    </row>
    <row r="375" spans="1:26" outlineLevel="1" x14ac:dyDescent="0.3">
      <c r="A375" s="34"/>
      <c r="B375" s="113" t="s">
        <v>250</v>
      </c>
      <c r="C375" s="118"/>
      <c r="D375" s="29" t="s">
        <v>38</v>
      </c>
      <c r="E375" s="77">
        <f>ROUND(E372*1.01,2)</f>
        <v>1.72</v>
      </c>
      <c r="F375" s="77"/>
      <c r="G375" s="41">
        <v>154.75</v>
      </c>
      <c r="H375" s="29">
        <f t="shared" si="50"/>
        <v>0</v>
      </c>
      <c r="I375" s="29">
        <f t="shared" si="51"/>
        <v>266.17</v>
      </c>
      <c r="J375" s="77">
        <f t="shared" si="52"/>
        <v>266.17</v>
      </c>
      <c r="K375" s="357">
        <f t="shared" si="46"/>
        <v>0</v>
      </c>
      <c r="L375" s="357">
        <f t="shared" si="47"/>
        <v>0</v>
      </c>
      <c r="Z375" s="49"/>
    </row>
    <row r="376" spans="1:26" outlineLevel="1" x14ac:dyDescent="0.3">
      <c r="A376" s="34"/>
      <c r="B376" s="111" t="s">
        <v>374</v>
      </c>
      <c r="C376" s="154"/>
      <c r="D376" s="114" t="s">
        <v>25</v>
      </c>
      <c r="E376" s="29">
        <f>ROUND(E372*0.15,2)</f>
        <v>0.26</v>
      </c>
      <c r="F376" s="29"/>
      <c r="G376" s="41">
        <v>4400</v>
      </c>
      <c r="H376" s="29">
        <f t="shared" si="50"/>
        <v>0</v>
      </c>
      <c r="I376" s="29">
        <f t="shared" si="51"/>
        <v>1144</v>
      </c>
      <c r="J376" s="29">
        <f t="shared" si="52"/>
        <v>1144</v>
      </c>
      <c r="K376" s="357">
        <f t="shared" si="46"/>
        <v>0</v>
      </c>
      <c r="L376" s="357">
        <f t="shared" si="47"/>
        <v>0</v>
      </c>
      <c r="Z376" s="49"/>
    </row>
    <row r="377" spans="1:26" outlineLevel="1" x14ac:dyDescent="0.3">
      <c r="A377" s="34"/>
      <c r="B377" s="111" t="s">
        <v>375</v>
      </c>
      <c r="C377" s="154"/>
      <c r="D377" s="114" t="s">
        <v>38</v>
      </c>
      <c r="E377" s="29">
        <f>+ROUND(E372*1.1,2)</f>
        <v>1.87</v>
      </c>
      <c r="F377" s="29"/>
      <c r="G377" s="41">
        <f>10.1*1.1</f>
        <v>11.110000000000001</v>
      </c>
      <c r="H377" s="29">
        <f t="shared" si="50"/>
        <v>0</v>
      </c>
      <c r="I377" s="29">
        <f t="shared" si="51"/>
        <v>20.775700000000004</v>
      </c>
      <c r="J377" s="29">
        <f t="shared" si="52"/>
        <v>20.775700000000004</v>
      </c>
      <c r="K377" s="357">
        <f t="shared" si="46"/>
        <v>0</v>
      </c>
      <c r="L377" s="357">
        <f t="shared" si="47"/>
        <v>0</v>
      </c>
      <c r="Z377" s="49"/>
    </row>
    <row r="378" spans="1:26" outlineLevel="1" x14ac:dyDescent="0.3">
      <c r="A378" s="26" t="s">
        <v>376</v>
      </c>
      <c r="B378" s="39" t="s">
        <v>377</v>
      </c>
      <c r="C378" s="28"/>
      <c r="D378" s="28" t="s">
        <v>38</v>
      </c>
      <c r="E378" s="28">
        <f>'[1]41'!D429</f>
        <v>6.9</v>
      </c>
      <c r="F378" s="28">
        <v>280</v>
      </c>
      <c r="G378" s="30"/>
      <c r="H378" s="29">
        <f t="shared" si="50"/>
        <v>1932</v>
      </c>
      <c r="I378" s="29">
        <f t="shared" si="51"/>
        <v>0</v>
      </c>
      <c r="J378" s="29">
        <f t="shared" si="52"/>
        <v>1932</v>
      </c>
      <c r="K378" s="357">
        <f t="shared" si="46"/>
        <v>0</v>
      </c>
      <c r="L378" s="357">
        <f t="shared" si="47"/>
        <v>0</v>
      </c>
      <c r="Z378" s="49"/>
    </row>
    <row r="379" spans="1:26" outlineLevel="1" x14ac:dyDescent="0.3">
      <c r="A379" s="34"/>
      <c r="B379" s="111" t="s">
        <v>378</v>
      </c>
      <c r="C379" s="154"/>
      <c r="D379" s="114" t="s">
        <v>25</v>
      </c>
      <c r="E379" s="29">
        <f>E378*0.04</f>
        <v>0.27600000000000002</v>
      </c>
      <c r="F379" s="29"/>
      <c r="G379" s="30"/>
      <c r="H379" s="29">
        <f t="shared" si="50"/>
        <v>0</v>
      </c>
      <c r="I379" s="29">
        <f t="shared" si="51"/>
        <v>0</v>
      </c>
      <c r="J379" s="29">
        <f t="shared" si="52"/>
        <v>0</v>
      </c>
      <c r="K379" s="357">
        <f t="shared" si="46"/>
        <v>0</v>
      </c>
      <c r="L379" s="357">
        <f t="shared" si="47"/>
        <v>0</v>
      </c>
      <c r="Z379" s="49"/>
    </row>
    <row r="380" spans="1:26" outlineLevel="1" x14ac:dyDescent="0.3">
      <c r="A380" s="34"/>
      <c r="B380" s="113" t="s">
        <v>347</v>
      </c>
      <c r="C380" s="118"/>
      <c r="D380" s="114" t="s">
        <v>38</v>
      </c>
      <c r="E380" s="29">
        <f>E378</f>
        <v>6.9</v>
      </c>
      <c r="F380" s="29"/>
      <c r="G380" s="30">
        <v>31.34</v>
      </c>
      <c r="H380" s="29">
        <f t="shared" si="50"/>
        <v>0</v>
      </c>
      <c r="I380" s="29">
        <f t="shared" si="51"/>
        <v>216.24600000000001</v>
      </c>
      <c r="J380" s="29">
        <f t="shared" si="52"/>
        <v>216.24600000000001</v>
      </c>
      <c r="K380" s="357">
        <f t="shared" si="46"/>
        <v>0</v>
      </c>
      <c r="L380" s="357">
        <f t="shared" si="47"/>
        <v>0</v>
      </c>
      <c r="Z380" s="49"/>
    </row>
    <row r="381" spans="1:26" outlineLevel="1" x14ac:dyDescent="0.3">
      <c r="A381" s="26" t="s">
        <v>379</v>
      </c>
      <c r="B381" s="39" t="s">
        <v>380</v>
      </c>
      <c r="C381" s="28"/>
      <c r="D381" s="28" t="s">
        <v>38</v>
      </c>
      <c r="E381" s="28">
        <f>'[1]41'!D432</f>
        <v>39.1</v>
      </c>
      <c r="F381" s="28">
        <v>170</v>
      </c>
      <c r="G381" s="30"/>
      <c r="H381" s="29">
        <f t="shared" si="50"/>
        <v>6647</v>
      </c>
      <c r="I381" s="29">
        <f t="shared" si="51"/>
        <v>0</v>
      </c>
      <c r="J381" s="29">
        <f t="shared" si="52"/>
        <v>6647</v>
      </c>
      <c r="K381" s="357">
        <f t="shared" si="46"/>
        <v>0</v>
      </c>
      <c r="L381" s="357">
        <f t="shared" si="47"/>
        <v>0</v>
      </c>
      <c r="Z381" s="49"/>
    </row>
    <row r="382" spans="1:26" outlineLevel="1" x14ac:dyDescent="0.3">
      <c r="A382" s="34"/>
      <c r="B382" s="111" t="s">
        <v>358</v>
      </c>
      <c r="C382" s="154"/>
      <c r="D382" s="114" t="s">
        <v>40</v>
      </c>
      <c r="E382" s="141">
        <f>E381*6</f>
        <v>234.60000000000002</v>
      </c>
      <c r="F382" s="29"/>
      <c r="G382" s="30">
        <v>7</v>
      </c>
      <c r="H382" s="29">
        <f t="shared" si="50"/>
        <v>0</v>
      </c>
      <c r="I382" s="29">
        <f t="shared" si="51"/>
        <v>1642.2000000000003</v>
      </c>
      <c r="J382" s="29">
        <f t="shared" si="52"/>
        <v>1642.2000000000003</v>
      </c>
      <c r="K382" s="357">
        <f t="shared" si="46"/>
        <v>0</v>
      </c>
      <c r="L382" s="357">
        <f t="shared" si="47"/>
        <v>0</v>
      </c>
      <c r="Z382" s="49"/>
    </row>
    <row r="383" spans="1:26" outlineLevel="1" x14ac:dyDescent="0.3">
      <c r="A383" s="34"/>
      <c r="B383" s="111" t="s">
        <v>381</v>
      </c>
      <c r="C383" s="154"/>
      <c r="D383" s="114" t="s">
        <v>40</v>
      </c>
      <c r="E383" s="29">
        <f>E381*0.2</f>
        <v>7.82</v>
      </c>
      <c r="F383" s="29"/>
      <c r="G383" s="30">
        <v>20</v>
      </c>
      <c r="H383" s="29">
        <f t="shared" si="50"/>
        <v>0</v>
      </c>
      <c r="I383" s="29">
        <f t="shared" si="51"/>
        <v>156.4</v>
      </c>
      <c r="J383" s="29">
        <f t="shared" si="52"/>
        <v>156.4</v>
      </c>
      <c r="K383" s="357">
        <f t="shared" si="46"/>
        <v>0</v>
      </c>
      <c r="L383" s="357">
        <f t="shared" si="47"/>
        <v>0</v>
      </c>
      <c r="Z383" s="49"/>
    </row>
    <row r="384" spans="1:26" outlineLevel="1" x14ac:dyDescent="0.3">
      <c r="A384" s="34"/>
      <c r="B384" s="111" t="s">
        <v>382</v>
      </c>
      <c r="C384" s="154"/>
      <c r="D384" s="114" t="s">
        <v>40</v>
      </c>
      <c r="E384" s="141">
        <f>E381*9*2</f>
        <v>703.80000000000007</v>
      </c>
      <c r="F384" s="29"/>
      <c r="G384" s="30">
        <v>10</v>
      </c>
      <c r="H384" s="29">
        <f t="shared" si="50"/>
        <v>0</v>
      </c>
      <c r="I384" s="29">
        <f t="shared" si="51"/>
        <v>7038.0000000000009</v>
      </c>
      <c r="J384" s="29">
        <f t="shared" si="52"/>
        <v>7038.0000000000009</v>
      </c>
      <c r="K384" s="357">
        <f t="shared" si="46"/>
        <v>0</v>
      </c>
      <c r="L384" s="357">
        <f t="shared" si="47"/>
        <v>0</v>
      </c>
      <c r="Z384" s="49"/>
    </row>
    <row r="385" spans="1:26" outlineLevel="1" x14ac:dyDescent="0.3">
      <c r="A385" s="34"/>
      <c r="B385" s="113" t="s">
        <v>383</v>
      </c>
      <c r="C385" s="118"/>
      <c r="D385" s="114" t="s">
        <v>42</v>
      </c>
      <c r="E385" s="75">
        <f>E381*0.4</f>
        <v>15.64</v>
      </c>
      <c r="F385" s="29"/>
      <c r="G385" s="30">
        <v>120</v>
      </c>
      <c r="H385" s="29">
        <f t="shared" si="50"/>
        <v>0</v>
      </c>
      <c r="I385" s="29">
        <f t="shared" si="51"/>
        <v>1876.8000000000002</v>
      </c>
      <c r="J385" s="29">
        <f t="shared" si="52"/>
        <v>1876.8000000000002</v>
      </c>
      <c r="K385" s="357">
        <f t="shared" si="46"/>
        <v>0</v>
      </c>
      <c r="L385" s="357">
        <f t="shared" si="47"/>
        <v>0</v>
      </c>
      <c r="Z385" s="49"/>
    </row>
    <row r="386" spans="1:26" ht="31.2" outlineLevel="1" x14ac:dyDescent="0.3">
      <c r="A386" s="26" t="s">
        <v>384</v>
      </c>
      <c r="B386" s="39" t="s">
        <v>385</v>
      </c>
      <c r="C386" s="28"/>
      <c r="D386" s="28" t="s">
        <v>38</v>
      </c>
      <c r="E386" s="146">
        <f>'[1]41'!D437</f>
        <v>8.9</v>
      </c>
      <c r="F386" s="28">
        <v>180</v>
      </c>
      <c r="G386" s="30"/>
      <c r="H386" s="29">
        <f t="shared" si="50"/>
        <v>1602</v>
      </c>
      <c r="I386" s="29">
        <f t="shared" si="51"/>
        <v>0</v>
      </c>
      <c r="J386" s="29">
        <f>I386+H386</f>
        <v>1602</v>
      </c>
      <c r="K386" s="357">
        <f t="shared" si="46"/>
        <v>0</v>
      </c>
      <c r="L386" s="357">
        <f t="shared" si="47"/>
        <v>0</v>
      </c>
      <c r="Z386" s="49"/>
    </row>
    <row r="387" spans="1:26" outlineLevel="1" x14ac:dyDescent="0.3">
      <c r="A387" s="34"/>
      <c r="B387" s="111" t="s">
        <v>358</v>
      </c>
      <c r="C387" s="154"/>
      <c r="D387" s="114" t="s">
        <v>40</v>
      </c>
      <c r="E387" s="141">
        <f>+ROUND(30*E386,2)</f>
        <v>267</v>
      </c>
      <c r="F387" s="29"/>
      <c r="G387" s="30">
        <v>7</v>
      </c>
      <c r="H387" s="29">
        <f t="shared" si="50"/>
        <v>0</v>
      </c>
      <c r="I387" s="29">
        <f t="shared" si="51"/>
        <v>1869</v>
      </c>
      <c r="J387" s="29">
        <f>I387+H387</f>
        <v>1869</v>
      </c>
      <c r="K387" s="357">
        <f t="shared" si="46"/>
        <v>0</v>
      </c>
      <c r="L387" s="357">
        <f t="shared" si="47"/>
        <v>0</v>
      </c>
      <c r="Z387" s="49"/>
    </row>
    <row r="388" spans="1:26" outlineLevel="1" x14ac:dyDescent="0.3">
      <c r="A388" s="34"/>
      <c r="B388" s="111" t="s">
        <v>386</v>
      </c>
      <c r="C388" s="154"/>
      <c r="D388" s="114" t="s">
        <v>40</v>
      </c>
      <c r="E388" s="29">
        <f>E386*0.2</f>
        <v>1.7800000000000002</v>
      </c>
      <c r="F388" s="29"/>
      <c r="G388" s="30">
        <v>20</v>
      </c>
      <c r="H388" s="29">
        <f t="shared" si="50"/>
        <v>0</v>
      </c>
      <c r="I388" s="29">
        <f t="shared" si="51"/>
        <v>35.600000000000009</v>
      </c>
      <c r="J388" s="29">
        <f>I388+H388</f>
        <v>35.600000000000009</v>
      </c>
      <c r="K388" s="357">
        <f t="shared" si="46"/>
        <v>0</v>
      </c>
      <c r="L388" s="357">
        <f t="shared" si="47"/>
        <v>0</v>
      </c>
      <c r="Z388" s="49"/>
    </row>
    <row r="389" spans="1:26" outlineLevel="1" x14ac:dyDescent="0.3">
      <c r="A389" s="34"/>
      <c r="B389" s="111" t="s">
        <v>382</v>
      </c>
      <c r="C389" s="154"/>
      <c r="D389" s="114" t="s">
        <v>40</v>
      </c>
      <c r="E389" s="141">
        <f>E386*9*2</f>
        <v>160.20000000000002</v>
      </c>
      <c r="F389" s="29"/>
      <c r="G389" s="30">
        <v>10</v>
      </c>
      <c r="H389" s="29">
        <f t="shared" si="50"/>
        <v>0</v>
      </c>
      <c r="I389" s="29">
        <f t="shared" si="51"/>
        <v>1602.0000000000002</v>
      </c>
      <c r="J389" s="29">
        <f>I389+H389</f>
        <v>1602.0000000000002</v>
      </c>
      <c r="K389" s="357">
        <f t="shared" si="46"/>
        <v>0</v>
      </c>
      <c r="L389" s="357">
        <f t="shared" si="47"/>
        <v>0</v>
      </c>
      <c r="Z389" s="49"/>
    </row>
    <row r="390" spans="1:26" outlineLevel="1" x14ac:dyDescent="0.3">
      <c r="A390" s="34"/>
      <c r="B390" s="113" t="s">
        <v>383</v>
      </c>
      <c r="C390" s="118"/>
      <c r="D390" s="114" t="s">
        <v>42</v>
      </c>
      <c r="E390" s="75">
        <f>E386*0.4</f>
        <v>3.5600000000000005</v>
      </c>
      <c r="F390" s="29"/>
      <c r="G390" s="30">
        <v>120</v>
      </c>
      <c r="H390" s="29">
        <f t="shared" si="50"/>
        <v>0</v>
      </c>
      <c r="I390" s="29">
        <f t="shared" si="51"/>
        <v>427.20000000000005</v>
      </c>
      <c r="J390" s="29">
        <f>I390+H390</f>
        <v>427.20000000000005</v>
      </c>
      <c r="K390" s="357">
        <f t="shared" si="46"/>
        <v>0</v>
      </c>
      <c r="L390" s="357">
        <f t="shared" si="47"/>
        <v>0</v>
      </c>
      <c r="Z390" s="49"/>
    </row>
    <row r="391" spans="1:26" ht="49.5" customHeight="1" x14ac:dyDescent="0.3">
      <c r="A391" s="97" t="s">
        <v>832</v>
      </c>
      <c r="B391" s="143" t="s">
        <v>387</v>
      </c>
      <c r="C391" s="220"/>
      <c r="D391" s="99"/>
      <c r="E391" s="99"/>
      <c r="F391" s="99"/>
      <c r="G391" s="100"/>
      <c r="H391" s="99">
        <f>SUM(H367:H390)</f>
        <v>17909</v>
      </c>
      <c r="I391" s="99">
        <f>SUM(I367:I390)</f>
        <v>21379.098600000001</v>
      </c>
      <c r="J391" s="99">
        <f>SUM(J367:J390)</f>
        <v>39288.098599999998</v>
      </c>
      <c r="K391" s="357">
        <f t="shared" si="46"/>
        <v>0</v>
      </c>
      <c r="L391" s="357">
        <f t="shared" si="47"/>
        <v>0</v>
      </c>
      <c r="M391" s="31"/>
      <c r="P391" s="74"/>
      <c r="S391" s="74"/>
      <c r="V391" s="74"/>
      <c r="X391" s="74"/>
      <c r="Z391" s="49"/>
    </row>
    <row r="392" spans="1:26" ht="18.600000000000001" customHeight="1" x14ac:dyDescent="0.3">
      <c r="A392" s="105"/>
      <c r="B392" s="121" t="s">
        <v>72</v>
      </c>
      <c r="C392" s="217"/>
      <c r="D392" s="134"/>
      <c r="E392" s="65"/>
      <c r="F392" s="65"/>
      <c r="G392" s="66"/>
      <c r="H392" s="65"/>
      <c r="I392" s="65"/>
      <c r="J392" s="65">
        <f>ROUND(J391/1.18*0.18,2)</f>
        <v>5993.1</v>
      </c>
      <c r="K392" s="357">
        <f t="shared" si="46"/>
        <v>0</v>
      </c>
      <c r="L392" s="357">
        <f t="shared" si="47"/>
        <v>0</v>
      </c>
      <c r="Z392" s="49"/>
    </row>
    <row r="393" spans="1:26" ht="39" customHeight="1" x14ac:dyDescent="0.3">
      <c r="A393" s="126"/>
      <c r="B393" s="90" t="s">
        <v>388</v>
      </c>
      <c r="C393" s="213"/>
      <c r="D393" s="147"/>
      <c r="E393" s="147"/>
      <c r="F393" s="148"/>
      <c r="G393" s="149"/>
      <c r="H393" s="150"/>
      <c r="I393" s="150"/>
      <c r="J393" s="151"/>
      <c r="K393" s="357">
        <f t="shared" si="46"/>
        <v>0</v>
      </c>
      <c r="L393" s="357">
        <f t="shared" si="47"/>
        <v>0</v>
      </c>
      <c r="Z393" s="49"/>
    </row>
    <row r="394" spans="1:26" ht="21.75" customHeight="1" outlineLevel="1" x14ac:dyDescent="0.3">
      <c r="A394" s="26" t="s">
        <v>389</v>
      </c>
      <c r="B394" s="127" t="s">
        <v>390</v>
      </c>
      <c r="C394" s="135"/>
      <c r="D394" s="135" t="s">
        <v>38</v>
      </c>
      <c r="E394" s="135">
        <f>'[1]41'!D445</f>
        <v>561.30000000000007</v>
      </c>
      <c r="F394" s="135">
        <v>370</v>
      </c>
      <c r="G394" s="152"/>
      <c r="H394" s="153">
        <f>F394*E394</f>
        <v>207681.00000000003</v>
      </c>
      <c r="I394" s="153"/>
      <c r="J394" s="153">
        <f t="shared" ref="J394:J408" si="53">I394+H394</f>
        <v>207681.00000000003</v>
      </c>
      <c r="K394" s="357">
        <f t="shared" si="46"/>
        <v>0</v>
      </c>
      <c r="L394" s="357">
        <f t="shared" si="47"/>
        <v>0</v>
      </c>
      <c r="Z394" s="49"/>
    </row>
    <row r="395" spans="1:26" outlineLevel="1" x14ac:dyDescent="0.3">
      <c r="A395" s="34"/>
      <c r="B395" s="111" t="s">
        <v>358</v>
      </c>
      <c r="C395" s="154"/>
      <c r="D395" s="114" t="s">
        <v>40</v>
      </c>
      <c r="E395" s="141">
        <f>E394*6</f>
        <v>3367.8</v>
      </c>
      <c r="F395" s="29"/>
      <c r="G395" s="30"/>
      <c r="H395" s="153">
        <f t="shared" ref="H395:H408" si="54">F395*E395</f>
        <v>0</v>
      </c>
      <c r="I395" s="29">
        <f>ROUND(E395*G395,2)</f>
        <v>0</v>
      </c>
      <c r="J395" s="29">
        <f t="shared" si="53"/>
        <v>0</v>
      </c>
      <c r="K395" s="357">
        <f t="shared" si="46"/>
        <v>0</v>
      </c>
      <c r="L395" s="357">
        <f t="shared" si="47"/>
        <v>0</v>
      </c>
      <c r="Z395" s="49"/>
    </row>
    <row r="396" spans="1:26" outlineLevel="1" x14ac:dyDescent="0.3">
      <c r="A396" s="34"/>
      <c r="B396" s="111" t="s">
        <v>386</v>
      </c>
      <c r="C396" s="154"/>
      <c r="D396" s="114" t="s">
        <v>40</v>
      </c>
      <c r="E396" s="29">
        <f>E395*0.2</f>
        <v>673.56000000000006</v>
      </c>
      <c r="F396" s="29"/>
      <c r="G396" s="30"/>
      <c r="H396" s="153">
        <f t="shared" si="54"/>
        <v>0</v>
      </c>
      <c r="I396" s="29">
        <f>ROUND(E396*G396,2)</f>
        <v>0</v>
      </c>
      <c r="J396" s="29">
        <f>I396+H396</f>
        <v>0</v>
      </c>
      <c r="K396" s="357">
        <f t="shared" si="46"/>
        <v>0</v>
      </c>
      <c r="L396" s="357">
        <f t="shared" si="47"/>
        <v>0</v>
      </c>
      <c r="Z396" s="49"/>
    </row>
    <row r="397" spans="1:26" outlineLevel="1" x14ac:dyDescent="0.3">
      <c r="A397" s="34"/>
      <c r="B397" s="111" t="s">
        <v>382</v>
      </c>
      <c r="C397" s="154"/>
      <c r="D397" s="114" t="s">
        <v>40</v>
      </c>
      <c r="E397" s="141">
        <f>E394*3</f>
        <v>1683.9</v>
      </c>
      <c r="F397" s="29"/>
      <c r="G397" s="30"/>
      <c r="H397" s="153">
        <f t="shared" si="54"/>
        <v>0</v>
      </c>
      <c r="I397" s="29">
        <f>ROUND(E397*G397,2)</f>
        <v>0</v>
      </c>
      <c r="J397" s="29">
        <f>I397+H397</f>
        <v>0</v>
      </c>
      <c r="K397" s="357">
        <f t="shared" si="46"/>
        <v>0</v>
      </c>
      <c r="L397" s="357">
        <f t="shared" si="47"/>
        <v>0</v>
      </c>
      <c r="Z397" s="49"/>
    </row>
    <row r="398" spans="1:26" outlineLevel="1" x14ac:dyDescent="0.3">
      <c r="A398" s="34"/>
      <c r="B398" s="113" t="s">
        <v>391</v>
      </c>
      <c r="C398" s="118"/>
      <c r="D398" s="114" t="s">
        <v>42</v>
      </c>
      <c r="E398" s="75">
        <f>E394*0.4</f>
        <v>224.52000000000004</v>
      </c>
      <c r="F398" s="29"/>
      <c r="G398" s="30"/>
      <c r="H398" s="153">
        <f t="shared" si="54"/>
        <v>0</v>
      </c>
      <c r="I398" s="29">
        <f>ROUND(E398*G398,2)</f>
        <v>0</v>
      </c>
      <c r="J398" s="29">
        <f>I398+H398</f>
        <v>0</v>
      </c>
      <c r="K398" s="357">
        <f t="shared" si="46"/>
        <v>0</v>
      </c>
      <c r="L398" s="357">
        <f t="shared" si="47"/>
        <v>0</v>
      </c>
      <c r="Z398" s="49"/>
    </row>
    <row r="399" spans="1:26" ht="32.25" customHeight="1" outlineLevel="1" x14ac:dyDescent="0.3">
      <c r="A399" s="26" t="s">
        <v>392</v>
      </c>
      <c r="B399" s="39" t="s">
        <v>393</v>
      </c>
      <c r="C399" s="28"/>
      <c r="D399" s="28" t="s">
        <v>38</v>
      </c>
      <c r="E399" s="146">
        <f>'[1]41'!D450</f>
        <v>19.799999999999997</v>
      </c>
      <c r="F399" s="28">
        <v>180</v>
      </c>
      <c r="G399" s="30"/>
      <c r="H399" s="153">
        <f t="shared" si="54"/>
        <v>3563.9999999999995</v>
      </c>
      <c r="I399" s="29"/>
      <c r="J399" s="29">
        <f>I399+H399</f>
        <v>3563.9999999999995</v>
      </c>
      <c r="K399" s="357">
        <f t="shared" si="46"/>
        <v>0</v>
      </c>
      <c r="L399" s="357">
        <f t="shared" si="47"/>
        <v>0</v>
      </c>
      <c r="Z399" s="49"/>
    </row>
    <row r="400" spans="1:26" outlineLevel="1" x14ac:dyDescent="0.3">
      <c r="A400" s="34"/>
      <c r="B400" s="111" t="s">
        <v>386</v>
      </c>
      <c r="C400" s="154"/>
      <c r="D400" s="114" t="s">
        <v>40</v>
      </c>
      <c r="E400" s="29">
        <f>E399*0.2</f>
        <v>3.9599999999999995</v>
      </c>
      <c r="F400" s="29"/>
      <c r="G400" s="30">
        <v>20</v>
      </c>
      <c r="H400" s="153">
        <f t="shared" si="54"/>
        <v>0</v>
      </c>
      <c r="I400" s="29">
        <f>ROUND(E400*G400,2)</f>
        <v>79.2</v>
      </c>
      <c r="J400" s="29">
        <f t="shared" si="53"/>
        <v>79.2</v>
      </c>
      <c r="K400" s="357">
        <f t="shared" si="46"/>
        <v>0</v>
      </c>
      <c r="L400" s="357">
        <f t="shared" si="47"/>
        <v>0</v>
      </c>
      <c r="Z400" s="49"/>
    </row>
    <row r="401" spans="1:26" outlineLevel="1" x14ac:dyDescent="0.3">
      <c r="A401" s="34"/>
      <c r="B401" s="111" t="s">
        <v>382</v>
      </c>
      <c r="C401" s="154"/>
      <c r="D401" s="114" t="s">
        <v>40</v>
      </c>
      <c r="E401" s="141">
        <f>E399*9*2</f>
        <v>356.4</v>
      </c>
      <c r="F401" s="29"/>
      <c r="G401" s="30">
        <v>10</v>
      </c>
      <c r="H401" s="153">
        <f t="shared" si="54"/>
        <v>0</v>
      </c>
      <c r="I401" s="29">
        <f>ROUND(E401*G401,2)</f>
        <v>3564</v>
      </c>
      <c r="J401" s="29">
        <f t="shared" si="53"/>
        <v>3564</v>
      </c>
      <c r="K401" s="357">
        <f t="shared" si="46"/>
        <v>0</v>
      </c>
      <c r="L401" s="357">
        <f t="shared" si="47"/>
        <v>0</v>
      </c>
      <c r="Z401" s="49"/>
    </row>
    <row r="402" spans="1:26" outlineLevel="1" x14ac:dyDescent="0.3">
      <c r="A402" s="34"/>
      <c r="B402" s="113" t="s">
        <v>391</v>
      </c>
      <c r="C402" s="118"/>
      <c r="D402" s="114" t="s">
        <v>42</v>
      </c>
      <c r="E402" s="75">
        <f>E399*0.4</f>
        <v>7.919999999999999</v>
      </c>
      <c r="F402" s="29"/>
      <c r="G402" s="30">
        <v>120</v>
      </c>
      <c r="H402" s="153">
        <f t="shared" si="54"/>
        <v>0</v>
      </c>
      <c r="I402" s="29">
        <f>ROUND(E402*G402,2)</f>
        <v>950.4</v>
      </c>
      <c r="J402" s="29">
        <f t="shared" si="53"/>
        <v>950.4</v>
      </c>
      <c r="K402" s="357">
        <f t="shared" si="46"/>
        <v>0</v>
      </c>
      <c r="L402" s="357">
        <f t="shared" si="47"/>
        <v>0</v>
      </c>
      <c r="Z402" s="49"/>
    </row>
    <row r="403" spans="1:26" ht="33" customHeight="1" outlineLevel="1" x14ac:dyDescent="0.3">
      <c r="A403" s="26" t="s">
        <v>394</v>
      </c>
      <c r="B403" s="39" t="s">
        <v>385</v>
      </c>
      <c r="C403" s="28"/>
      <c r="D403" s="28" t="s">
        <v>38</v>
      </c>
      <c r="E403" s="146">
        <f>'[1]41'!D454</f>
        <v>203.1</v>
      </c>
      <c r="F403" s="28">
        <v>180</v>
      </c>
      <c r="G403" s="30"/>
      <c r="H403" s="153">
        <f t="shared" si="54"/>
        <v>36558</v>
      </c>
      <c r="I403" s="29"/>
      <c r="J403" s="29">
        <f t="shared" si="53"/>
        <v>36558</v>
      </c>
      <c r="K403" s="357">
        <f t="shared" si="46"/>
        <v>0</v>
      </c>
      <c r="L403" s="357">
        <f t="shared" si="47"/>
        <v>0</v>
      </c>
      <c r="Z403" s="49"/>
    </row>
    <row r="404" spans="1:26" ht="17.25" customHeight="1" outlineLevel="1" x14ac:dyDescent="0.3">
      <c r="A404" s="34"/>
      <c r="B404" s="111" t="s">
        <v>386</v>
      </c>
      <c r="C404" s="154"/>
      <c r="D404" s="114" t="s">
        <v>40</v>
      </c>
      <c r="E404" s="29">
        <f>E403*0.2</f>
        <v>40.620000000000005</v>
      </c>
      <c r="F404" s="29"/>
      <c r="G404" s="30">
        <v>20</v>
      </c>
      <c r="H404" s="153">
        <f t="shared" si="54"/>
        <v>0</v>
      </c>
      <c r="I404" s="29">
        <f>ROUND(E404*G404,2)</f>
        <v>812.4</v>
      </c>
      <c r="J404" s="29">
        <f t="shared" si="53"/>
        <v>812.4</v>
      </c>
      <c r="K404" s="357">
        <f t="shared" ref="K404:K467" si="55">IF(H404&gt;0,Z404,0)</f>
        <v>0</v>
      </c>
      <c r="L404" s="357">
        <f t="shared" ref="L404:L467" si="56">IF(I404&gt;0,Z404,0)</f>
        <v>0</v>
      </c>
      <c r="Z404" s="49"/>
    </row>
    <row r="405" spans="1:26" ht="17.25" customHeight="1" outlineLevel="1" x14ac:dyDescent="0.3">
      <c r="A405" s="34"/>
      <c r="B405" s="111" t="s">
        <v>382</v>
      </c>
      <c r="C405" s="154"/>
      <c r="D405" s="114" t="s">
        <v>40</v>
      </c>
      <c r="E405" s="141">
        <f>E403*9*2</f>
        <v>3655.7999999999997</v>
      </c>
      <c r="F405" s="29"/>
      <c r="G405" s="30">
        <v>10</v>
      </c>
      <c r="H405" s="153">
        <f t="shared" si="54"/>
        <v>0</v>
      </c>
      <c r="I405" s="29">
        <f>ROUND(E405*G405,2)</f>
        <v>36558</v>
      </c>
      <c r="J405" s="29">
        <f t="shared" si="53"/>
        <v>36558</v>
      </c>
      <c r="K405" s="357">
        <f t="shared" si="55"/>
        <v>0</v>
      </c>
      <c r="L405" s="357">
        <f t="shared" si="56"/>
        <v>0</v>
      </c>
      <c r="Z405" s="49"/>
    </row>
    <row r="406" spans="1:26" ht="17.25" customHeight="1" outlineLevel="1" x14ac:dyDescent="0.3">
      <c r="A406" s="34"/>
      <c r="B406" s="113" t="s">
        <v>383</v>
      </c>
      <c r="C406" s="118"/>
      <c r="D406" s="114" t="s">
        <v>42</v>
      </c>
      <c r="E406" s="75">
        <f>E403*0.4</f>
        <v>81.240000000000009</v>
      </c>
      <c r="F406" s="29"/>
      <c r="G406" s="30">
        <v>120</v>
      </c>
      <c r="H406" s="153">
        <f t="shared" si="54"/>
        <v>0</v>
      </c>
      <c r="I406" s="29">
        <f>ROUND(E406*G406,2)</f>
        <v>9748.7999999999993</v>
      </c>
      <c r="J406" s="29">
        <f t="shared" si="53"/>
        <v>9748.7999999999993</v>
      </c>
      <c r="K406" s="357">
        <f t="shared" si="55"/>
        <v>0</v>
      </c>
      <c r="L406" s="357">
        <f t="shared" si="56"/>
        <v>0</v>
      </c>
      <c r="Z406" s="49"/>
    </row>
    <row r="407" spans="1:26" ht="17.25" customHeight="1" outlineLevel="1" x14ac:dyDescent="0.3">
      <c r="A407" s="26" t="s">
        <v>395</v>
      </c>
      <c r="B407" s="39" t="s">
        <v>396</v>
      </c>
      <c r="C407" s="28"/>
      <c r="D407" s="154" t="s">
        <v>22</v>
      </c>
      <c r="E407" s="28">
        <v>39</v>
      </c>
      <c r="F407" s="28">
        <v>350</v>
      </c>
      <c r="G407" s="30"/>
      <c r="H407" s="153">
        <f t="shared" si="54"/>
        <v>13650</v>
      </c>
      <c r="I407" s="29"/>
      <c r="J407" s="29">
        <f t="shared" si="53"/>
        <v>13650</v>
      </c>
      <c r="K407" s="357">
        <f t="shared" si="55"/>
        <v>0</v>
      </c>
      <c r="L407" s="357">
        <f t="shared" si="56"/>
        <v>0</v>
      </c>
      <c r="Z407" s="49"/>
    </row>
    <row r="408" spans="1:26" ht="17.25" customHeight="1" outlineLevel="1" x14ac:dyDescent="0.3">
      <c r="A408" s="34"/>
      <c r="B408" s="113" t="s">
        <v>397</v>
      </c>
      <c r="C408" s="118"/>
      <c r="D408" s="114" t="s">
        <v>22</v>
      </c>
      <c r="E408" s="29">
        <v>39</v>
      </c>
      <c r="F408" s="29"/>
      <c r="G408" s="30">
        <v>450</v>
      </c>
      <c r="H408" s="153">
        <f t="shared" si="54"/>
        <v>0</v>
      </c>
      <c r="I408" s="29">
        <f>ROUND(E408*G408,2)</f>
        <v>17550</v>
      </c>
      <c r="J408" s="29">
        <f t="shared" si="53"/>
        <v>17550</v>
      </c>
      <c r="K408" s="357">
        <f t="shared" si="55"/>
        <v>0</v>
      </c>
      <c r="L408" s="357">
        <f t="shared" si="56"/>
        <v>0</v>
      </c>
      <c r="Z408" s="49"/>
    </row>
    <row r="409" spans="1:26" ht="21.75" customHeight="1" x14ac:dyDescent="0.3">
      <c r="A409" s="97" t="s">
        <v>832</v>
      </c>
      <c r="B409" s="143" t="s">
        <v>398</v>
      </c>
      <c r="C409" s="220"/>
      <c r="D409" s="99"/>
      <c r="E409" s="99"/>
      <c r="F409" s="99"/>
      <c r="G409" s="100"/>
      <c r="H409" s="99">
        <f>SUM(H394:H408)</f>
        <v>261453.00000000003</v>
      </c>
      <c r="I409" s="99">
        <f>SUM(I394:I408)</f>
        <v>69262.8</v>
      </c>
      <c r="J409" s="99">
        <f>SUM(J394:J408)</f>
        <v>330715.8</v>
      </c>
      <c r="K409" s="357">
        <f t="shared" si="55"/>
        <v>0</v>
      </c>
      <c r="L409" s="357">
        <f t="shared" si="56"/>
        <v>0</v>
      </c>
      <c r="M409" s="31"/>
      <c r="P409" s="74"/>
      <c r="S409" s="74"/>
      <c r="V409" s="74"/>
      <c r="X409" s="74"/>
      <c r="Z409" s="49"/>
    </row>
    <row r="410" spans="1:26" ht="16.95" customHeight="1" x14ac:dyDescent="0.3">
      <c r="A410" s="105"/>
      <c r="B410" s="121" t="s">
        <v>72</v>
      </c>
      <c r="C410" s="217"/>
      <c r="D410" s="39"/>
      <c r="E410" s="28"/>
      <c r="F410" s="28"/>
      <c r="G410" s="50"/>
      <c r="H410" s="28"/>
      <c r="I410" s="28"/>
      <c r="J410" s="28">
        <f>ROUND(J409/1.18*0.18,2)</f>
        <v>50448.17</v>
      </c>
      <c r="K410" s="357">
        <f t="shared" si="55"/>
        <v>0</v>
      </c>
      <c r="L410" s="357">
        <f t="shared" si="56"/>
        <v>0</v>
      </c>
      <c r="Z410" s="49"/>
    </row>
    <row r="411" spans="1:26" ht="21" customHeight="1" x14ac:dyDescent="0.3">
      <c r="A411" s="103"/>
      <c r="B411" s="90" t="s">
        <v>399</v>
      </c>
      <c r="C411" s="213"/>
      <c r="D411" s="23"/>
      <c r="E411" s="23"/>
      <c r="F411" s="23"/>
      <c r="G411" s="22"/>
      <c r="H411" s="23"/>
      <c r="I411" s="23"/>
      <c r="J411" s="24"/>
      <c r="K411" s="357">
        <f t="shared" si="55"/>
        <v>0</v>
      </c>
      <c r="L411" s="357">
        <f t="shared" si="56"/>
        <v>0</v>
      </c>
      <c r="Z411" s="49"/>
    </row>
    <row r="412" spans="1:26" ht="33" customHeight="1" outlineLevel="1" x14ac:dyDescent="0.3">
      <c r="A412" s="26" t="s">
        <v>400</v>
      </c>
      <c r="B412" s="155" t="s">
        <v>401</v>
      </c>
      <c r="C412" s="221"/>
      <c r="D412" s="28" t="s">
        <v>25</v>
      </c>
      <c r="E412" s="28">
        <f>'[1]41'!D463</f>
        <v>14.422000000000004</v>
      </c>
      <c r="F412" s="28">
        <v>1400</v>
      </c>
      <c r="G412" s="30"/>
      <c r="H412" s="29">
        <f>ROUND(F412*E412,2)</f>
        <v>20190.8</v>
      </c>
      <c r="I412" s="29"/>
      <c r="J412" s="29">
        <f>I412+H412</f>
        <v>20190.8</v>
      </c>
      <c r="K412" s="357">
        <f t="shared" si="55"/>
        <v>0</v>
      </c>
      <c r="L412" s="357">
        <f t="shared" si="56"/>
        <v>0</v>
      </c>
      <c r="Z412" s="49"/>
    </row>
    <row r="413" spans="1:26" outlineLevel="1" x14ac:dyDescent="0.3">
      <c r="A413" s="34"/>
      <c r="B413" s="30" t="s">
        <v>402</v>
      </c>
      <c r="C413" s="28"/>
      <c r="D413" s="114" t="s">
        <v>25</v>
      </c>
      <c r="E413" s="29">
        <f>'[1]41'!D464</f>
        <v>25.959600000000005</v>
      </c>
      <c r="F413" s="29"/>
      <c r="G413" s="30">
        <f>180*1.5</f>
        <v>270</v>
      </c>
      <c r="H413" s="29"/>
      <c r="I413" s="29">
        <f>ROUND(E413*G413,2)</f>
        <v>7009.09</v>
      </c>
      <c r="J413" s="29">
        <f>I413+H413</f>
        <v>7009.09</v>
      </c>
      <c r="K413" s="357">
        <f t="shared" si="55"/>
        <v>0</v>
      </c>
      <c r="L413" s="357">
        <f t="shared" si="56"/>
        <v>0</v>
      </c>
      <c r="Z413" s="49"/>
    </row>
    <row r="414" spans="1:26" outlineLevel="1" x14ac:dyDescent="0.3">
      <c r="A414" s="34"/>
      <c r="B414" s="111" t="s">
        <v>403</v>
      </c>
      <c r="C414" s="154"/>
      <c r="D414" s="114" t="s">
        <v>25</v>
      </c>
      <c r="E414" s="29">
        <f>1.02*E412</f>
        <v>14.710440000000004</v>
      </c>
      <c r="F414" s="29"/>
      <c r="G414" s="30">
        <v>4200</v>
      </c>
      <c r="H414" s="29"/>
      <c r="I414" s="29">
        <f>ROUND(E414*G414,2)</f>
        <v>61783.85</v>
      </c>
      <c r="J414" s="29">
        <f>I414+H414</f>
        <v>61783.85</v>
      </c>
      <c r="K414" s="357">
        <f t="shared" si="55"/>
        <v>0</v>
      </c>
      <c r="L414" s="357">
        <f t="shared" si="56"/>
        <v>0</v>
      </c>
      <c r="Z414" s="49"/>
    </row>
    <row r="415" spans="1:26" outlineLevel="1" x14ac:dyDescent="0.3">
      <c r="A415" s="26" t="s">
        <v>404</v>
      </c>
      <c r="B415" s="156" t="s">
        <v>405</v>
      </c>
      <c r="C415" s="222"/>
      <c r="D415" s="28" t="s">
        <v>25</v>
      </c>
      <c r="E415" s="28">
        <v>0</v>
      </c>
      <c r="F415" s="28">
        <v>1000</v>
      </c>
      <c r="G415" s="30"/>
      <c r="H415" s="29">
        <f>ROUND(F415*E415,2)</f>
        <v>0</v>
      </c>
      <c r="I415" s="29"/>
      <c r="J415" s="29">
        <f>I415+H415</f>
        <v>0</v>
      </c>
      <c r="K415" s="357">
        <f t="shared" si="55"/>
        <v>0</v>
      </c>
      <c r="L415" s="357">
        <f t="shared" si="56"/>
        <v>0</v>
      </c>
      <c r="Z415" s="49"/>
    </row>
    <row r="416" spans="1:26" outlineLevel="1" x14ac:dyDescent="0.3">
      <c r="A416" s="34"/>
      <c r="B416" s="35" t="s">
        <v>406</v>
      </c>
      <c r="C416" s="161"/>
      <c r="D416" s="29" t="s">
        <v>25</v>
      </c>
      <c r="E416" s="29">
        <f>E415*1.02</f>
        <v>0</v>
      </c>
      <c r="F416" s="29"/>
      <c r="G416" s="30">
        <v>3200</v>
      </c>
      <c r="H416" s="29"/>
      <c r="I416" s="29">
        <f>ROUND(E416*G416,2)</f>
        <v>0</v>
      </c>
      <c r="J416" s="29">
        <f>H416+I416</f>
        <v>0</v>
      </c>
      <c r="K416" s="357">
        <f t="shared" si="55"/>
        <v>0</v>
      </c>
      <c r="L416" s="357">
        <f t="shared" si="56"/>
        <v>0</v>
      </c>
      <c r="Z416" s="49"/>
    </row>
    <row r="417" spans="1:26" outlineLevel="1" x14ac:dyDescent="0.3">
      <c r="A417" s="34"/>
      <c r="B417" s="35" t="s">
        <v>407</v>
      </c>
      <c r="C417" s="161"/>
      <c r="D417" s="29" t="s">
        <v>34</v>
      </c>
      <c r="E417" s="29">
        <v>0</v>
      </c>
      <c r="F417" s="29"/>
      <c r="G417" s="30">
        <v>42000</v>
      </c>
      <c r="H417" s="29"/>
      <c r="I417" s="29">
        <f>ROUND(E417*G417,2)</f>
        <v>0</v>
      </c>
      <c r="J417" s="29">
        <f>H417+I417</f>
        <v>0</v>
      </c>
      <c r="K417" s="357">
        <f t="shared" si="55"/>
        <v>0</v>
      </c>
      <c r="L417" s="357">
        <f t="shared" si="56"/>
        <v>0</v>
      </c>
      <c r="Z417" s="49"/>
    </row>
    <row r="418" spans="1:26" outlineLevel="1" x14ac:dyDescent="0.3">
      <c r="A418" s="34"/>
      <c r="B418" s="111" t="s">
        <v>408</v>
      </c>
      <c r="C418" s="154"/>
      <c r="D418" s="114" t="s">
        <v>25</v>
      </c>
      <c r="E418" s="29">
        <v>0</v>
      </c>
      <c r="F418" s="29"/>
      <c r="G418" s="30">
        <v>2950</v>
      </c>
      <c r="H418" s="29"/>
      <c r="I418" s="29">
        <f>ROUND(E418*G418,2)</f>
        <v>0</v>
      </c>
      <c r="J418" s="29">
        <f>I418+H418</f>
        <v>0</v>
      </c>
      <c r="K418" s="357">
        <f t="shared" si="55"/>
        <v>0</v>
      </c>
      <c r="L418" s="357">
        <f t="shared" si="56"/>
        <v>0</v>
      </c>
      <c r="Z418" s="49"/>
    </row>
    <row r="419" spans="1:26" outlineLevel="1" x14ac:dyDescent="0.3">
      <c r="A419" s="34"/>
      <c r="B419" s="111" t="s">
        <v>402</v>
      </c>
      <c r="C419" s="154"/>
      <c r="D419" s="114" t="s">
        <v>25</v>
      </c>
      <c r="E419" s="29">
        <f>E418</f>
        <v>0</v>
      </c>
      <c r="F419" s="29"/>
      <c r="G419" s="30">
        <v>250</v>
      </c>
      <c r="H419" s="29"/>
      <c r="I419" s="29">
        <f>ROUND(E419*G419,2)</f>
        <v>0</v>
      </c>
      <c r="J419" s="29">
        <f>I419+H419</f>
        <v>0</v>
      </c>
      <c r="K419" s="357">
        <f t="shared" si="55"/>
        <v>0</v>
      </c>
      <c r="L419" s="357">
        <f t="shared" si="56"/>
        <v>0</v>
      </c>
      <c r="Z419" s="49"/>
    </row>
    <row r="420" spans="1:26" x14ac:dyDescent="0.3">
      <c r="A420" s="97" t="s">
        <v>832</v>
      </c>
      <c r="B420" s="143" t="s">
        <v>409</v>
      </c>
      <c r="C420" s="220"/>
      <c r="D420" s="99"/>
      <c r="E420" s="99"/>
      <c r="F420" s="99"/>
      <c r="G420" s="100"/>
      <c r="H420" s="99">
        <f>SUM(H412:H419)</f>
        <v>20190.8</v>
      </c>
      <c r="I420" s="99">
        <f>SUM(I412:I419)</f>
        <v>68792.94</v>
      </c>
      <c r="J420" s="99">
        <f>ROUND(SUM(J412:J419),2)</f>
        <v>88983.74</v>
      </c>
      <c r="K420" s="357">
        <f t="shared" si="55"/>
        <v>0</v>
      </c>
      <c r="L420" s="357">
        <f t="shared" si="56"/>
        <v>0</v>
      </c>
      <c r="M420" s="31"/>
      <c r="Z420" s="49"/>
    </row>
    <row r="421" spans="1:26" ht="16.2" customHeight="1" x14ac:dyDescent="0.3">
      <c r="A421" s="105"/>
      <c r="B421" s="121" t="s">
        <v>72</v>
      </c>
      <c r="C421" s="217"/>
      <c r="D421" s="134"/>
      <c r="E421" s="65"/>
      <c r="F421" s="28"/>
      <c r="G421" s="50"/>
      <c r="H421" s="28"/>
      <c r="I421" s="28"/>
      <c r="J421" s="28">
        <f>ROUND(J420/1.18*0.18,2)</f>
        <v>13573.79</v>
      </c>
      <c r="K421" s="357">
        <f t="shared" si="55"/>
        <v>0</v>
      </c>
      <c r="L421" s="357">
        <f t="shared" si="56"/>
        <v>0</v>
      </c>
      <c r="Z421" s="49"/>
    </row>
    <row r="422" spans="1:26" s="25" customFormat="1" ht="27" customHeight="1" x14ac:dyDescent="0.3">
      <c r="A422" s="126"/>
      <c r="B422" s="341" t="s">
        <v>410</v>
      </c>
      <c r="C422" s="341"/>
      <c r="D422" s="341"/>
      <c r="E422" s="341"/>
      <c r="F422" s="157"/>
      <c r="G422" s="22"/>
      <c r="H422" s="158"/>
      <c r="I422" s="159"/>
      <c r="J422" s="158"/>
      <c r="K422" s="357">
        <f t="shared" si="55"/>
        <v>0</v>
      </c>
      <c r="L422" s="357">
        <f t="shared" si="56"/>
        <v>0</v>
      </c>
      <c r="Y422" s="201"/>
      <c r="Z422" s="49"/>
    </row>
    <row r="423" spans="1:26" hidden="1" outlineLevel="1" x14ac:dyDescent="0.3">
      <c r="A423" s="34" t="s">
        <v>337</v>
      </c>
      <c r="B423" s="127" t="s">
        <v>411</v>
      </c>
      <c r="C423" s="135"/>
      <c r="D423" s="135" t="s">
        <v>22</v>
      </c>
      <c r="E423" s="135">
        <v>0</v>
      </c>
      <c r="F423" s="92">
        <v>19000</v>
      </c>
      <c r="G423" s="160"/>
      <c r="H423" s="29">
        <f>ROUND(F423*E423,2)</f>
        <v>0</v>
      </c>
      <c r="I423" s="107"/>
      <c r="J423" s="107">
        <f>H423+I423</f>
        <v>0</v>
      </c>
      <c r="K423" s="357">
        <f t="shared" si="55"/>
        <v>0</v>
      </c>
      <c r="L423" s="357">
        <f t="shared" si="56"/>
        <v>0</v>
      </c>
      <c r="Z423" s="49"/>
    </row>
    <row r="424" spans="1:26" hidden="1" outlineLevel="1" x14ac:dyDescent="0.3">
      <c r="A424" s="34"/>
      <c r="B424" s="113" t="s">
        <v>412</v>
      </c>
      <c r="C424" s="118"/>
      <c r="D424" s="114" t="s">
        <v>22</v>
      </c>
      <c r="E424" s="29">
        <v>0</v>
      </c>
      <c r="F424" s="29"/>
      <c r="G424" s="30">
        <v>63000</v>
      </c>
      <c r="H424" s="107"/>
      <c r="I424" s="29">
        <f>ROUND(E424*G424,2)</f>
        <v>0</v>
      </c>
      <c r="J424" s="107">
        <f t="shared" ref="J424:J495" si="57">H424+I424</f>
        <v>0</v>
      </c>
      <c r="K424" s="357">
        <f t="shared" si="55"/>
        <v>0</v>
      </c>
      <c r="L424" s="357">
        <f t="shared" si="56"/>
        <v>0</v>
      </c>
      <c r="Z424" s="49"/>
    </row>
    <row r="425" spans="1:26" hidden="1" outlineLevel="1" x14ac:dyDescent="0.3">
      <c r="A425" s="34"/>
      <c r="B425" s="113" t="s">
        <v>413</v>
      </c>
      <c r="C425" s="118"/>
      <c r="D425" s="114" t="s">
        <v>22</v>
      </c>
      <c r="E425" s="29">
        <v>0</v>
      </c>
      <c r="F425" s="29"/>
      <c r="G425" s="30">
        <v>6000</v>
      </c>
      <c r="H425" s="107"/>
      <c r="I425" s="29">
        <f>ROUND(E425*G425,2)</f>
        <v>0</v>
      </c>
      <c r="J425" s="107">
        <f t="shared" si="57"/>
        <v>0</v>
      </c>
      <c r="K425" s="357">
        <f t="shared" si="55"/>
        <v>0</v>
      </c>
      <c r="L425" s="357">
        <f t="shared" si="56"/>
        <v>0</v>
      </c>
      <c r="Z425" s="49"/>
    </row>
    <row r="426" spans="1:26" hidden="1" outlineLevel="1" x14ac:dyDescent="0.3">
      <c r="A426" s="34"/>
      <c r="B426" s="113" t="s">
        <v>414</v>
      </c>
      <c r="C426" s="118"/>
      <c r="D426" s="114" t="s">
        <v>22</v>
      </c>
      <c r="E426" s="29">
        <v>0</v>
      </c>
      <c r="F426" s="29"/>
      <c r="G426" s="30">
        <v>380</v>
      </c>
      <c r="H426" s="107"/>
      <c r="I426" s="29">
        <f>ROUND(E426*G426,2)</f>
        <v>0</v>
      </c>
      <c r="J426" s="107">
        <f t="shared" si="57"/>
        <v>0</v>
      </c>
      <c r="K426" s="357">
        <f t="shared" si="55"/>
        <v>0</v>
      </c>
      <c r="L426" s="357">
        <f t="shared" si="56"/>
        <v>0</v>
      </c>
      <c r="Z426" s="49"/>
    </row>
    <row r="427" spans="1:26" hidden="1" outlineLevel="1" x14ac:dyDescent="0.3">
      <c r="A427" s="34" t="s">
        <v>340</v>
      </c>
      <c r="B427" s="27" t="s">
        <v>415</v>
      </c>
      <c r="C427" s="161"/>
      <c r="D427" s="28" t="s">
        <v>22</v>
      </c>
      <c r="E427" s="28">
        <v>0</v>
      </c>
      <c r="F427" s="92">
        <v>250</v>
      </c>
      <c r="G427" s="160"/>
      <c r="H427" s="29">
        <f>ROUND(F427*E427,2)</f>
        <v>0</v>
      </c>
      <c r="I427" s="107"/>
      <c r="J427" s="107">
        <f>H427+I427</f>
        <v>0</v>
      </c>
      <c r="K427" s="357">
        <f t="shared" si="55"/>
        <v>0</v>
      </c>
      <c r="L427" s="357">
        <f t="shared" si="56"/>
        <v>0</v>
      </c>
      <c r="Z427" s="49"/>
    </row>
    <row r="428" spans="1:26" hidden="1" outlineLevel="1" x14ac:dyDescent="0.3">
      <c r="A428" s="34"/>
      <c r="B428" s="113" t="s">
        <v>416</v>
      </c>
      <c r="C428" s="118"/>
      <c r="D428" s="114" t="s">
        <v>22</v>
      </c>
      <c r="E428" s="29">
        <v>0</v>
      </c>
      <c r="F428" s="29"/>
      <c r="G428" s="30">
        <v>4900</v>
      </c>
      <c r="H428" s="107"/>
      <c r="I428" s="29">
        <f t="shared" ref="I428:I448" si="58">ROUND(E428*G428,2)</f>
        <v>0</v>
      </c>
      <c r="J428" s="107">
        <f>H428+I428</f>
        <v>0</v>
      </c>
      <c r="K428" s="357">
        <f t="shared" si="55"/>
        <v>0</v>
      </c>
      <c r="L428" s="357">
        <f t="shared" si="56"/>
        <v>0</v>
      </c>
      <c r="Z428" s="49"/>
    </row>
    <row r="429" spans="1:26" hidden="1" outlineLevel="1" x14ac:dyDescent="0.3">
      <c r="A429" s="34"/>
      <c r="B429" s="113" t="s">
        <v>417</v>
      </c>
      <c r="C429" s="118"/>
      <c r="D429" s="114" t="s">
        <v>22</v>
      </c>
      <c r="E429" s="29">
        <v>0</v>
      </c>
      <c r="F429" s="29"/>
      <c r="G429" s="30">
        <v>4900</v>
      </c>
      <c r="H429" s="107"/>
      <c r="I429" s="29">
        <f t="shared" si="58"/>
        <v>0</v>
      </c>
      <c r="J429" s="107">
        <f>H429+I429</f>
        <v>0</v>
      </c>
      <c r="K429" s="357">
        <f t="shared" si="55"/>
        <v>0</v>
      </c>
      <c r="L429" s="357">
        <f t="shared" si="56"/>
        <v>0</v>
      </c>
      <c r="Z429" s="49"/>
    </row>
    <row r="430" spans="1:26" hidden="1" outlineLevel="1" x14ac:dyDescent="0.3">
      <c r="A430" s="34"/>
      <c r="B430" s="113" t="s">
        <v>418</v>
      </c>
      <c r="C430" s="118"/>
      <c r="D430" s="114" t="s">
        <v>22</v>
      </c>
      <c r="E430" s="29">
        <v>0</v>
      </c>
      <c r="F430" s="29"/>
      <c r="G430" s="30">
        <v>1400</v>
      </c>
      <c r="H430" s="107"/>
      <c r="I430" s="29">
        <f t="shared" si="58"/>
        <v>0</v>
      </c>
      <c r="J430" s="107">
        <f>H430+I430</f>
        <v>0</v>
      </c>
      <c r="K430" s="357">
        <f t="shared" si="55"/>
        <v>0</v>
      </c>
      <c r="L430" s="357">
        <f t="shared" si="56"/>
        <v>0</v>
      </c>
      <c r="Z430" s="49"/>
    </row>
    <row r="431" spans="1:26" hidden="1" outlineLevel="1" x14ac:dyDescent="0.3">
      <c r="A431" s="34" t="s">
        <v>344</v>
      </c>
      <c r="B431" s="27" t="s">
        <v>419</v>
      </c>
      <c r="C431" s="161"/>
      <c r="D431" s="28" t="s">
        <v>22</v>
      </c>
      <c r="E431" s="28">
        <v>0</v>
      </c>
      <c r="F431" s="92">
        <v>1000</v>
      </c>
      <c r="G431" s="160"/>
      <c r="H431" s="29">
        <f>ROUND(F431*E431,2)</f>
        <v>0</v>
      </c>
      <c r="I431" s="107">
        <f>G431*E431</f>
        <v>0</v>
      </c>
      <c r="J431" s="107">
        <f t="shared" si="57"/>
        <v>0</v>
      </c>
      <c r="K431" s="357">
        <f t="shared" si="55"/>
        <v>0</v>
      </c>
      <c r="L431" s="357">
        <f t="shared" si="56"/>
        <v>0</v>
      </c>
      <c r="Z431" s="49"/>
    </row>
    <row r="432" spans="1:26" hidden="1" outlineLevel="1" x14ac:dyDescent="0.3">
      <c r="A432" s="34"/>
      <c r="B432" s="113" t="s">
        <v>420</v>
      </c>
      <c r="C432" s="118"/>
      <c r="D432" s="114" t="s">
        <v>22</v>
      </c>
      <c r="E432" s="29">
        <v>0</v>
      </c>
      <c r="F432" s="29"/>
      <c r="G432" s="30">
        <v>5500</v>
      </c>
      <c r="H432" s="107"/>
      <c r="I432" s="29">
        <f>ROUND(E432*G432,2)</f>
        <v>0</v>
      </c>
      <c r="J432" s="107">
        <f>H432+I432</f>
        <v>0</v>
      </c>
      <c r="K432" s="357">
        <f t="shared" si="55"/>
        <v>0</v>
      </c>
      <c r="L432" s="357">
        <f t="shared" si="56"/>
        <v>0</v>
      </c>
      <c r="Z432" s="49"/>
    </row>
    <row r="433" spans="1:26" hidden="1" outlineLevel="1" x14ac:dyDescent="0.3">
      <c r="A433" s="34"/>
      <c r="B433" s="113" t="s">
        <v>421</v>
      </c>
      <c r="C433" s="118"/>
      <c r="D433" s="114" t="s">
        <v>22</v>
      </c>
      <c r="E433" s="29">
        <v>0</v>
      </c>
      <c r="F433" s="29"/>
      <c r="G433" s="30">
        <v>6000</v>
      </c>
      <c r="H433" s="107"/>
      <c r="I433" s="29">
        <f>ROUND(E433*G433,2)</f>
        <v>0</v>
      </c>
      <c r="J433" s="107">
        <f>H433+I433</f>
        <v>0</v>
      </c>
      <c r="K433" s="357">
        <f t="shared" si="55"/>
        <v>0</v>
      </c>
      <c r="L433" s="357">
        <f t="shared" si="56"/>
        <v>0</v>
      </c>
      <c r="Z433" s="49"/>
    </row>
    <row r="434" spans="1:26" hidden="1" outlineLevel="1" x14ac:dyDescent="0.3">
      <c r="A434" s="34"/>
      <c r="B434" s="113" t="s">
        <v>422</v>
      </c>
      <c r="C434" s="118"/>
      <c r="D434" s="114" t="s">
        <v>22</v>
      </c>
      <c r="E434" s="29">
        <v>0</v>
      </c>
      <c r="F434" s="29"/>
      <c r="G434" s="30">
        <v>2350</v>
      </c>
      <c r="H434" s="107"/>
      <c r="I434" s="29">
        <f t="shared" si="58"/>
        <v>0</v>
      </c>
      <c r="J434" s="107">
        <f t="shared" si="57"/>
        <v>0</v>
      </c>
      <c r="K434" s="357">
        <f t="shared" si="55"/>
        <v>0</v>
      </c>
      <c r="L434" s="357">
        <f t="shared" si="56"/>
        <v>0</v>
      </c>
      <c r="Z434" s="49"/>
    </row>
    <row r="435" spans="1:26" ht="32.4" hidden="1" customHeight="1" outlineLevel="1" x14ac:dyDescent="0.3">
      <c r="A435" s="34"/>
      <c r="B435" s="113" t="s">
        <v>423</v>
      </c>
      <c r="C435" s="118"/>
      <c r="D435" s="114" t="s">
        <v>22</v>
      </c>
      <c r="E435" s="29">
        <v>0</v>
      </c>
      <c r="F435" s="29"/>
      <c r="G435" s="30">
        <v>955</v>
      </c>
      <c r="H435" s="107"/>
      <c r="I435" s="29">
        <f t="shared" si="58"/>
        <v>0</v>
      </c>
      <c r="J435" s="107">
        <f t="shared" si="57"/>
        <v>0</v>
      </c>
      <c r="K435" s="357">
        <f t="shared" si="55"/>
        <v>0</v>
      </c>
      <c r="L435" s="357">
        <f t="shared" si="56"/>
        <v>0</v>
      </c>
      <c r="Z435" s="49"/>
    </row>
    <row r="436" spans="1:26" ht="30" hidden="1" customHeight="1" outlineLevel="1" x14ac:dyDescent="0.3">
      <c r="A436" s="34"/>
      <c r="B436" s="113" t="s">
        <v>424</v>
      </c>
      <c r="C436" s="118"/>
      <c r="D436" s="114" t="s">
        <v>22</v>
      </c>
      <c r="E436" s="29">
        <v>0</v>
      </c>
      <c r="F436" s="29"/>
      <c r="G436" s="30">
        <v>130</v>
      </c>
      <c r="H436" s="29"/>
      <c r="I436" s="29">
        <f t="shared" si="58"/>
        <v>0</v>
      </c>
      <c r="J436" s="107">
        <f>H436+I436</f>
        <v>0</v>
      </c>
      <c r="K436" s="357">
        <f t="shared" si="55"/>
        <v>0</v>
      </c>
      <c r="L436" s="357">
        <f t="shared" si="56"/>
        <v>0</v>
      </c>
      <c r="Z436" s="49"/>
    </row>
    <row r="437" spans="1:26" ht="20.399999999999999" hidden="1" customHeight="1" outlineLevel="1" x14ac:dyDescent="0.3">
      <c r="A437" s="34"/>
      <c r="B437" s="113" t="s">
        <v>425</v>
      </c>
      <c r="C437" s="118"/>
      <c r="D437" s="114" t="s">
        <v>22</v>
      </c>
      <c r="E437" s="29">
        <v>0</v>
      </c>
      <c r="F437" s="29"/>
      <c r="G437" s="30">
        <v>610</v>
      </c>
      <c r="H437" s="29"/>
      <c r="I437" s="29">
        <f t="shared" si="58"/>
        <v>0</v>
      </c>
      <c r="J437" s="29">
        <f>H437+I437</f>
        <v>0</v>
      </c>
      <c r="K437" s="357">
        <f t="shared" si="55"/>
        <v>0</v>
      </c>
      <c r="L437" s="357">
        <f t="shared" si="56"/>
        <v>0</v>
      </c>
      <c r="Z437" s="49"/>
    </row>
    <row r="438" spans="1:26" ht="24.6" hidden="1" customHeight="1" outlineLevel="1" x14ac:dyDescent="0.3">
      <c r="A438" s="34"/>
      <c r="B438" s="113" t="s">
        <v>426</v>
      </c>
      <c r="C438" s="118"/>
      <c r="D438" s="114" t="s">
        <v>22</v>
      </c>
      <c r="E438" s="29">
        <v>0</v>
      </c>
      <c r="F438" s="29"/>
      <c r="G438" s="30">
        <v>303</v>
      </c>
      <c r="H438" s="29"/>
      <c r="I438" s="29">
        <f t="shared" si="58"/>
        <v>0</v>
      </c>
      <c r="J438" s="29">
        <f>H438+I438</f>
        <v>0</v>
      </c>
      <c r="K438" s="357">
        <f t="shared" si="55"/>
        <v>0</v>
      </c>
      <c r="L438" s="357">
        <f t="shared" si="56"/>
        <v>0</v>
      </c>
      <c r="Z438" s="49"/>
    </row>
    <row r="439" spans="1:26" ht="27.75" hidden="1" customHeight="1" outlineLevel="1" x14ac:dyDescent="0.3">
      <c r="A439" s="34"/>
      <c r="B439" s="113" t="s">
        <v>427</v>
      </c>
      <c r="C439" s="118"/>
      <c r="D439" s="114" t="s">
        <v>22</v>
      </c>
      <c r="E439" s="29">
        <v>0</v>
      </c>
      <c r="F439" s="29"/>
      <c r="G439" s="30">
        <v>1061</v>
      </c>
      <c r="H439" s="29"/>
      <c r="I439" s="29">
        <f t="shared" si="58"/>
        <v>0</v>
      </c>
      <c r="J439" s="29">
        <f>H439+I439</f>
        <v>0</v>
      </c>
      <c r="K439" s="357">
        <f t="shared" si="55"/>
        <v>0</v>
      </c>
      <c r="L439" s="357">
        <f t="shared" si="56"/>
        <v>0</v>
      </c>
      <c r="Z439" s="49"/>
    </row>
    <row r="440" spans="1:26" ht="24.6" hidden="1" customHeight="1" outlineLevel="1" x14ac:dyDescent="0.3">
      <c r="A440" s="34"/>
      <c r="B440" s="113" t="s">
        <v>428</v>
      </c>
      <c r="C440" s="118"/>
      <c r="D440" s="114" t="s">
        <v>22</v>
      </c>
      <c r="E440" s="29">
        <v>0</v>
      </c>
      <c r="F440" s="29"/>
      <c r="G440" s="30">
        <v>386</v>
      </c>
      <c r="H440" s="29"/>
      <c r="I440" s="29">
        <f t="shared" si="58"/>
        <v>0</v>
      </c>
      <c r="J440" s="29">
        <f>H440+I440</f>
        <v>0</v>
      </c>
      <c r="K440" s="357">
        <f t="shared" si="55"/>
        <v>0</v>
      </c>
      <c r="L440" s="357">
        <f t="shared" si="56"/>
        <v>0</v>
      </c>
      <c r="M440" s="25"/>
      <c r="Z440" s="49"/>
    </row>
    <row r="441" spans="1:26" hidden="1" outlineLevel="1" x14ac:dyDescent="0.3">
      <c r="A441" s="34" t="s">
        <v>348</v>
      </c>
      <c r="B441" s="27" t="s">
        <v>429</v>
      </c>
      <c r="C441" s="161"/>
      <c r="D441" s="28" t="s">
        <v>22</v>
      </c>
      <c r="E441" s="28">
        <v>0</v>
      </c>
      <c r="F441" s="28">
        <v>500</v>
      </c>
      <c r="G441" s="30"/>
      <c r="H441" s="29">
        <f>ROUND(F441*E441,2)</f>
        <v>0</v>
      </c>
      <c r="I441" s="29">
        <f>G441*E441</f>
        <v>0</v>
      </c>
      <c r="J441" s="29">
        <f t="shared" si="57"/>
        <v>0</v>
      </c>
      <c r="K441" s="357">
        <f t="shared" si="55"/>
        <v>0</v>
      </c>
      <c r="L441" s="357">
        <f t="shared" si="56"/>
        <v>0</v>
      </c>
      <c r="Z441" s="49"/>
    </row>
    <row r="442" spans="1:26" hidden="1" outlineLevel="1" x14ac:dyDescent="0.3">
      <c r="A442" s="34"/>
      <c r="B442" s="113" t="s">
        <v>430</v>
      </c>
      <c r="C442" s="118"/>
      <c r="D442" s="114" t="s">
        <v>22</v>
      </c>
      <c r="E442" s="29">
        <v>0</v>
      </c>
      <c r="F442" s="29"/>
      <c r="G442" s="30">
        <f>950*1.1</f>
        <v>1045</v>
      </c>
      <c r="H442" s="29"/>
      <c r="I442" s="29">
        <f t="shared" si="58"/>
        <v>0</v>
      </c>
      <c r="J442" s="29">
        <f t="shared" si="57"/>
        <v>0</v>
      </c>
      <c r="K442" s="357">
        <f t="shared" si="55"/>
        <v>0</v>
      </c>
      <c r="L442" s="357">
        <f t="shared" si="56"/>
        <v>0</v>
      </c>
      <c r="Z442" s="49"/>
    </row>
    <row r="443" spans="1:26" hidden="1" outlineLevel="1" x14ac:dyDescent="0.3">
      <c r="A443" s="34" t="s">
        <v>350</v>
      </c>
      <c r="B443" s="27" t="s">
        <v>431</v>
      </c>
      <c r="C443" s="161"/>
      <c r="D443" s="28" t="s">
        <v>22</v>
      </c>
      <c r="E443" s="28">
        <v>0</v>
      </c>
      <c r="F443" s="28">
        <v>250</v>
      </c>
      <c r="G443" s="30"/>
      <c r="H443" s="29">
        <f>ROUND(F443*E443,2)</f>
        <v>0</v>
      </c>
      <c r="I443" s="29">
        <f>G443*E443</f>
        <v>0</v>
      </c>
      <c r="J443" s="29">
        <f t="shared" si="57"/>
        <v>0</v>
      </c>
      <c r="K443" s="357">
        <f t="shared" si="55"/>
        <v>0</v>
      </c>
      <c r="L443" s="357">
        <f t="shared" si="56"/>
        <v>0</v>
      </c>
      <c r="Z443" s="49"/>
    </row>
    <row r="444" spans="1:26" hidden="1" outlineLevel="1" x14ac:dyDescent="0.3">
      <c r="A444" s="34"/>
      <c r="B444" s="113" t="s">
        <v>432</v>
      </c>
      <c r="C444" s="118"/>
      <c r="D444" s="114" t="s">
        <v>22</v>
      </c>
      <c r="E444" s="29">
        <v>0</v>
      </c>
      <c r="F444" s="29"/>
      <c r="G444" s="30">
        <v>674.3</v>
      </c>
      <c r="H444" s="29"/>
      <c r="I444" s="29">
        <f t="shared" si="58"/>
        <v>0</v>
      </c>
      <c r="J444" s="29">
        <f t="shared" si="57"/>
        <v>0</v>
      </c>
      <c r="K444" s="357">
        <f t="shared" si="55"/>
        <v>0</v>
      </c>
      <c r="L444" s="357">
        <f t="shared" si="56"/>
        <v>0</v>
      </c>
      <c r="Z444" s="49"/>
    </row>
    <row r="445" spans="1:26" hidden="1" outlineLevel="1" x14ac:dyDescent="0.3">
      <c r="A445" s="34"/>
      <c r="B445" s="113" t="s">
        <v>433</v>
      </c>
      <c r="C445" s="118"/>
      <c r="D445" s="114" t="s">
        <v>22</v>
      </c>
      <c r="E445" s="29">
        <v>0</v>
      </c>
      <c r="F445" s="29"/>
      <c r="G445" s="30">
        <v>850</v>
      </c>
      <c r="H445" s="29"/>
      <c r="I445" s="29">
        <f t="shared" si="58"/>
        <v>0</v>
      </c>
      <c r="J445" s="29">
        <f>H445+I445</f>
        <v>0</v>
      </c>
      <c r="K445" s="357">
        <f t="shared" si="55"/>
        <v>0</v>
      </c>
      <c r="L445" s="357">
        <f t="shared" si="56"/>
        <v>0</v>
      </c>
      <c r="Z445" s="49"/>
    </row>
    <row r="446" spans="1:26" hidden="1" outlineLevel="1" x14ac:dyDescent="0.3">
      <c r="A446" s="34"/>
      <c r="B446" s="113" t="s">
        <v>434</v>
      </c>
      <c r="C446" s="118"/>
      <c r="D446" s="114" t="s">
        <v>22</v>
      </c>
      <c r="E446" s="29">
        <v>0</v>
      </c>
      <c r="F446" s="29"/>
      <c r="G446" s="30">
        <v>851</v>
      </c>
      <c r="H446" s="29"/>
      <c r="I446" s="29">
        <f>ROUND(E446*G446,2)</f>
        <v>0</v>
      </c>
      <c r="J446" s="29">
        <f>H446+I446</f>
        <v>0</v>
      </c>
      <c r="K446" s="357">
        <f t="shared" si="55"/>
        <v>0</v>
      </c>
      <c r="L446" s="357">
        <f t="shared" si="56"/>
        <v>0</v>
      </c>
      <c r="Z446" s="49"/>
    </row>
    <row r="447" spans="1:26" ht="17.25" hidden="1" customHeight="1" outlineLevel="1" x14ac:dyDescent="0.3">
      <c r="A447" s="34"/>
      <c r="B447" s="113" t="s">
        <v>435</v>
      </c>
      <c r="C447" s="118"/>
      <c r="D447" s="114" t="s">
        <v>22</v>
      </c>
      <c r="E447" s="29">
        <v>0</v>
      </c>
      <c r="F447" s="29"/>
      <c r="G447" s="30">
        <v>449</v>
      </c>
      <c r="H447" s="29"/>
      <c r="I447" s="29">
        <f t="shared" si="58"/>
        <v>0</v>
      </c>
      <c r="J447" s="29">
        <f t="shared" si="57"/>
        <v>0</v>
      </c>
      <c r="K447" s="357">
        <f t="shared" si="55"/>
        <v>0</v>
      </c>
      <c r="L447" s="357">
        <f t="shared" si="56"/>
        <v>0</v>
      </c>
      <c r="Z447" s="49"/>
    </row>
    <row r="448" spans="1:26" ht="17.25" hidden="1" customHeight="1" outlineLevel="1" x14ac:dyDescent="0.3">
      <c r="A448" s="34"/>
      <c r="B448" s="113" t="s">
        <v>436</v>
      </c>
      <c r="C448" s="118"/>
      <c r="D448" s="114" t="s">
        <v>22</v>
      </c>
      <c r="E448" s="29">
        <v>0</v>
      </c>
      <c r="F448" s="29"/>
      <c r="G448" s="30">
        <v>914</v>
      </c>
      <c r="H448" s="29"/>
      <c r="I448" s="29">
        <f t="shared" si="58"/>
        <v>0</v>
      </c>
      <c r="J448" s="29">
        <f t="shared" si="57"/>
        <v>0</v>
      </c>
      <c r="K448" s="357">
        <f t="shared" si="55"/>
        <v>0</v>
      </c>
      <c r="L448" s="357">
        <f t="shared" si="56"/>
        <v>0</v>
      </c>
      <c r="Z448" s="49"/>
    </row>
    <row r="449" spans="1:26" ht="17.25" hidden="1" customHeight="1" outlineLevel="1" x14ac:dyDescent="0.3">
      <c r="A449" s="34"/>
      <c r="B449" s="113" t="s">
        <v>437</v>
      </c>
      <c r="C449" s="118"/>
      <c r="D449" s="114" t="s">
        <v>22</v>
      </c>
      <c r="E449" s="29">
        <v>0</v>
      </c>
      <c r="F449" s="29"/>
      <c r="G449" s="30">
        <v>914</v>
      </c>
      <c r="H449" s="29"/>
      <c r="I449" s="29">
        <f>ROUND(E449*G449,2)</f>
        <v>0</v>
      </c>
      <c r="J449" s="29">
        <f>H449+I449</f>
        <v>0</v>
      </c>
      <c r="K449" s="357">
        <f t="shared" si="55"/>
        <v>0</v>
      </c>
      <c r="L449" s="357">
        <f t="shared" si="56"/>
        <v>0</v>
      </c>
      <c r="Z449" s="49"/>
    </row>
    <row r="450" spans="1:26" ht="17.25" hidden="1" customHeight="1" outlineLevel="1" x14ac:dyDescent="0.3">
      <c r="A450" s="34"/>
      <c r="B450" s="113" t="s">
        <v>438</v>
      </c>
      <c r="C450" s="118"/>
      <c r="D450" s="114" t="s">
        <v>22</v>
      </c>
      <c r="E450" s="29">
        <v>0</v>
      </c>
      <c r="F450" s="29"/>
      <c r="G450" s="30">
        <v>100</v>
      </c>
      <c r="H450" s="29"/>
      <c r="I450" s="29">
        <f>ROUND(E450*G450,2)</f>
        <v>0</v>
      </c>
      <c r="J450" s="29">
        <f>H450+I450</f>
        <v>0</v>
      </c>
      <c r="K450" s="357">
        <f t="shared" si="55"/>
        <v>0</v>
      </c>
      <c r="L450" s="357">
        <f t="shared" si="56"/>
        <v>0</v>
      </c>
      <c r="Z450" s="49"/>
    </row>
    <row r="451" spans="1:26" ht="17.25" hidden="1" customHeight="1" outlineLevel="1" x14ac:dyDescent="0.3">
      <c r="A451" s="34"/>
      <c r="B451" s="113" t="s">
        <v>439</v>
      </c>
      <c r="C451" s="118"/>
      <c r="D451" s="114" t="s">
        <v>22</v>
      </c>
      <c r="E451" s="29">
        <v>0</v>
      </c>
      <c r="F451" s="29"/>
      <c r="G451" s="30">
        <v>200</v>
      </c>
      <c r="H451" s="29"/>
      <c r="I451" s="29">
        <f>ROUND(E451*G451,2)</f>
        <v>0</v>
      </c>
      <c r="J451" s="29">
        <f>H451+I451</f>
        <v>0</v>
      </c>
      <c r="K451" s="357">
        <f t="shared" si="55"/>
        <v>0</v>
      </c>
      <c r="L451" s="357">
        <f t="shared" si="56"/>
        <v>0</v>
      </c>
      <c r="Z451" s="49"/>
    </row>
    <row r="452" spans="1:26" ht="17.25" hidden="1" customHeight="1" outlineLevel="1" x14ac:dyDescent="0.3">
      <c r="A452" s="34"/>
      <c r="B452" s="113"/>
      <c r="C452" s="118"/>
      <c r="D452" s="114"/>
      <c r="E452" s="29"/>
      <c r="F452" s="29"/>
      <c r="G452" s="30"/>
      <c r="H452" s="29"/>
      <c r="I452" s="29"/>
      <c r="J452" s="29"/>
      <c r="K452" s="357">
        <f t="shared" si="55"/>
        <v>0</v>
      </c>
      <c r="L452" s="357">
        <f t="shared" si="56"/>
        <v>0</v>
      </c>
      <c r="Z452" s="49"/>
    </row>
    <row r="453" spans="1:26" hidden="1" outlineLevel="1" x14ac:dyDescent="0.3">
      <c r="A453" s="34" t="s">
        <v>440</v>
      </c>
      <c r="B453" s="156" t="s">
        <v>441</v>
      </c>
      <c r="C453" s="222"/>
      <c r="D453" s="28" t="s">
        <v>22</v>
      </c>
      <c r="E453" s="28">
        <v>0</v>
      </c>
      <c r="F453" s="28">
        <v>35</v>
      </c>
      <c r="G453" s="30"/>
      <c r="H453" s="29">
        <f>ROUND(F453*E453,2)</f>
        <v>0</v>
      </c>
      <c r="I453" s="29">
        <f>G453*E453</f>
        <v>0</v>
      </c>
      <c r="J453" s="29">
        <f t="shared" si="57"/>
        <v>0</v>
      </c>
      <c r="K453" s="357">
        <f t="shared" si="55"/>
        <v>0</v>
      </c>
      <c r="L453" s="357">
        <f t="shared" si="56"/>
        <v>0</v>
      </c>
      <c r="Z453" s="49"/>
    </row>
    <row r="454" spans="1:26" ht="31.2" hidden="1" outlineLevel="1" x14ac:dyDescent="0.3">
      <c r="A454" s="34"/>
      <c r="B454" s="113" t="s">
        <v>442</v>
      </c>
      <c r="C454" s="118"/>
      <c r="D454" s="114" t="s">
        <v>22</v>
      </c>
      <c r="E454" s="29">
        <v>0</v>
      </c>
      <c r="F454" s="29"/>
      <c r="G454" s="30">
        <v>50</v>
      </c>
      <c r="H454" s="29"/>
      <c r="I454" s="29">
        <f t="shared" ref="I454:I466" si="59">ROUND(E454*G454,2)</f>
        <v>0</v>
      </c>
      <c r="J454" s="29">
        <f t="shared" si="57"/>
        <v>0</v>
      </c>
      <c r="K454" s="357">
        <f t="shared" si="55"/>
        <v>0</v>
      </c>
      <c r="L454" s="357">
        <f t="shared" si="56"/>
        <v>0</v>
      </c>
      <c r="Z454" s="49"/>
    </row>
    <row r="455" spans="1:26" ht="31.2" hidden="1" outlineLevel="1" x14ac:dyDescent="0.3">
      <c r="A455" s="34"/>
      <c r="B455" s="113" t="s">
        <v>443</v>
      </c>
      <c r="C455" s="118"/>
      <c r="D455" s="114" t="s">
        <v>22</v>
      </c>
      <c r="E455" s="29">
        <v>0</v>
      </c>
      <c r="F455" s="29"/>
      <c r="G455" s="30">
        <v>30.46</v>
      </c>
      <c r="H455" s="29"/>
      <c r="I455" s="29">
        <f t="shared" si="59"/>
        <v>0</v>
      </c>
      <c r="J455" s="29">
        <f t="shared" si="57"/>
        <v>0</v>
      </c>
      <c r="K455" s="357">
        <f t="shared" si="55"/>
        <v>0</v>
      </c>
      <c r="L455" s="357">
        <f t="shared" si="56"/>
        <v>0</v>
      </c>
      <c r="Z455" s="49"/>
    </row>
    <row r="456" spans="1:26" ht="31.2" hidden="1" outlineLevel="1" x14ac:dyDescent="0.3">
      <c r="A456" s="34"/>
      <c r="B456" s="113" t="s">
        <v>444</v>
      </c>
      <c r="C456" s="118"/>
      <c r="D456" s="114" t="s">
        <v>22</v>
      </c>
      <c r="E456" s="29">
        <v>0</v>
      </c>
      <c r="F456" s="29"/>
      <c r="G456" s="30">
        <v>30.46</v>
      </c>
      <c r="H456" s="29"/>
      <c r="I456" s="29">
        <f t="shared" si="59"/>
        <v>0</v>
      </c>
      <c r="J456" s="29">
        <f>H456+I456</f>
        <v>0</v>
      </c>
      <c r="K456" s="357">
        <f t="shared" si="55"/>
        <v>0</v>
      </c>
      <c r="L456" s="357">
        <f t="shared" si="56"/>
        <v>0</v>
      </c>
      <c r="Z456" s="49"/>
    </row>
    <row r="457" spans="1:26" ht="31.2" hidden="1" outlineLevel="1" x14ac:dyDescent="0.3">
      <c r="A457" s="34"/>
      <c r="B457" s="113" t="s">
        <v>445</v>
      </c>
      <c r="C457" s="118"/>
      <c r="D457" s="114" t="s">
        <v>22</v>
      </c>
      <c r="E457" s="29">
        <v>0</v>
      </c>
      <c r="F457" s="29"/>
      <c r="G457" s="30">
        <v>41.85</v>
      </c>
      <c r="H457" s="29"/>
      <c r="I457" s="29">
        <f t="shared" si="59"/>
        <v>0</v>
      </c>
      <c r="J457" s="29">
        <f t="shared" si="57"/>
        <v>0</v>
      </c>
      <c r="K457" s="357">
        <f t="shared" si="55"/>
        <v>0</v>
      </c>
      <c r="L457" s="357">
        <f t="shared" si="56"/>
        <v>0</v>
      </c>
      <c r="Z457" s="49"/>
    </row>
    <row r="458" spans="1:26" hidden="1" outlineLevel="1" x14ac:dyDescent="0.3">
      <c r="A458" s="34"/>
      <c r="B458" s="113" t="s">
        <v>446</v>
      </c>
      <c r="C458" s="118"/>
      <c r="D458" s="114" t="s">
        <v>22</v>
      </c>
      <c r="E458" s="29">
        <v>0</v>
      </c>
      <c r="F458" s="29"/>
      <c r="G458" s="30">
        <f>59*1.1</f>
        <v>64.900000000000006</v>
      </c>
      <c r="H458" s="29"/>
      <c r="I458" s="29">
        <f t="shared" si="59"/>
        <v>0</v>
      </c>
      <c r="J458" s="29">
        <f t="shared" si="57"/>
        <v>0</v>
      </c>
      <c r="K458" s="357">
        <f t="shared" si="55"/>
        <v>0</v>
      </c>
      <c r="L458" s="357">
        <f t="shared" si="56"/>
        <v>0</v>
      </c>
      <c r="Z458" s="49"/>
    </row>
    <row r="459" spans="1:26" hidden="1" outlineLevel="1" x14ac:dyDescent="0.3">
      <c r="A459" s="34"/>
      <c r="B459" s="113" t="s">
        <v>447</v>
      </c>
      <c r="C459" s="118"/>
      <c r="D459" s="114" t="s">
        <v>22</v>
      </c>
      <c r="E459" s="29">
        <v>0</v>
      </c>
      <c r="F459" s="29"/>
      <c r="G459" s="30">
        <v>37.25</v>
      </c>
      <c r="H459" s="29"/>
      <c r="I459" s="29">
        <f t="shared" si="59"/>
        <v>0</v>
      </c>
      <c r="J459" s="29">
        <f t="shared" si="57"/>
        <v>0</v>
      </c>
      <c r="K459" s="357">
        <f t="shared" si="55"/>
        <v>0</v>
      </c>
      <c r="L459" s="357">
        <f t="shared" si="56"/>
        <v>0</v>
      </c>
      <c r="Z459" s="49"/>
    </row>
    <row r="460" spans="1:26" hidden="1" outlineLevel="1" x14ac:dyDescent="0.3">
      <c r="A460" s="34"/>
      <c r="B460" s="113" t="s">
        <v>448</v>
      </c>
      <c r="C460" s="118"/>
      <c r="D460" s="114" t="s">
        <v>22</v>
      </c>
      <c r="E460" s="29">
        <v>0</v>
      </c>
      <c r="F460" s="29"/>
      <c r="G460" s="30">
        <v>277</v>
      </c>
      <c r="H460" s="29"/>
      <c r="I460" s="29">
        <f t="shared" si="59"/>
        <v>0</v>
      </c>
      <c r="J460" s="29">
        <f t="shared" si="57"/>
        <v>0</v>
      </c>
      <c r="K460" s="357">
        <f t="shared" si="55"/>
        <v>0</v>
      </c>
      <c r="L460" s="357">
        <f t="shared" si="56"/>
        <v>0</v>
      </c>
      <c r="Z460" s="49"/>
    </row>
    <row r="461" spans="1:26" ht="31.2" hidden="1" outlineLevel="1" x14ac:dyDescent="0.3">
      <c r="A461" s="34"/>
      <c r="B461" s="113" t="s">
        <v>449</v>
      </c>
      <c r="C461" s="118"/>
      <c r="D461" s="114" t="s">
        <v>22</v>
      </c>
      <c r="E461" s="29">
        <v>0</v>
      </c>
      <c r="F461" s="29"/>
      <c r="G461" s="30">
        <v>65.900000000000006</v>
      </c>
      <c r="H461" s="29"/>
      <c r="I461" s="29">
        <f t="shared" si="59"/>
        <v>0</v>
      </c>
      <c r="J461" s="29">
        <f t="shared" si="57"/>
        <v>0</v>
      </c>
      <c r="K461" s="357">
        <f t="shared" si="55"/>
        <v>0</v>
      </c>
      <c r="L461" s="357">
        <f t="shared" si="56"/>
        <v>0</v>
      </c>
      <c r="Z461" s="49"/>
    </row>
    <row r="462" spans="1:26" hidden="1" outlineLevel="1" x14ac:dyDescent="0.3">
      <c r="A462" s="34"/>
      <c r="B462" s="113" t="s">
        <v>450</v>
      </c>
      <c r="C462" s="118"/>
      <c r="D462" s="114" t="s">
        <v>22</v>
      </c>
      <c r="E462" s="29">
        <v>0</v>
      </c>
      <c r="F462" s="29"/>
      <c r="G462" s="30">
        <v>127</v>
      </c>
      <c r="H462" s="29"/>
      <c r="I462" s="29">
        <f t="shared" si="59"/>
        <v>0</v>
      </c>
      <c r="J462" s="29">
        <f t="shared" si="57"/>
        <v>0</v>
      </c>
      <c r="K462" s="357">
        <f t="shared" si="55"/>
        <v>0</v>
      </c>
      <c r="L462" s="357">
        <f t="shared" si="56"/>
        <v>0</v>
      </c>
      <c r="Z462" s="49"/>
    </row>
    <row r="463" spans="1:26" hidden="1" outlineLevel="1" x14ac:dyDescent="0.3">
      <c r="A463" s="34"/>
      <c r="B463" s="113" t="s">
        <v>451</v>
      </c>
      <c r="C463" s="118"/>
      <c r="D463" s="114" t="s">
        <v>22</v>
      </c>
      <c r="E463" s="29">
        <v>0</v>
      </c>
      <c r="F463" s="29"/>
      <c r="G463" s="30">
        <v>20</v>
      </c>
      <c r="H463" s="29"/>
      <c r="I463" s="29">
        <f t="shared" si="59"/>
        <v>0</v>
      </c>
      <c r="J463" s="29">
        <f t="shared" si="57"/>
        <v>0</v>
      </c>
      <c r="K463" s="357">
        <f t="shared" si="55"/>
        <v>0</v>
      </c>
      <c r="L463" s="357">
        <f t="shared" si="56"/>
        <v>0</v>
      </c>
      <c r="Z463" s="49"/>
    </row>
    <row r="464" spans="1:26" hidden="1" outlineLevel="1" x14ac:dyDescent="0.3">
      <c r="A464" s="34"/>
      <c r="B464" s="113" t="s">
        <v>452</v>
      </c>
      <c r="C464" s="118"/>
      <c r="D464" s="114" t="s">
        <v>22</v>
      </c>
      <c r="E464" s="29">
        <v>0</v>
      </c>
      <c r="F464" s="29"/>
      <c r="G464" s="30">
        <v>30</v>
      </c>
      <c r="H464" s="29"/>
      <c r="I464" s="29">
        <f t="shared" si="59"/>
        <v>0</v>
      </c>
      <c r="J464" s="29">
        <f>H464+I464</f>
        <v>0</v>
      </c>
      <c r="K464" s="357">
        <f t="shared" si="55"/>
        <v>0</v>
      </c>
      <c r="L464" s="357">
        <f t="shared" si="56"/>
        <v>0</v>
      </c>
      <c r="Z464" s="49"/>
    </row>
    <row r="465" spans="1:26" hidden="1" outlineLevel="1" x14ac:dyDescent="0.3">
      <c r="A465" s="34"/>
      <c r="B465" s="113" t="s">
        <v>453</v>
      </c>
      <c r="C465" s="118"/>
      <c r="D465" s="114" t="s">
        <v>22</v>
      </c>
      <c r="E465" s="29">
        <v>0</v>
      </c>
      <c r="F465" s="29"/>
      <c r="G465" s="30">
        <v>78</v>
      </c>
      <c r="H465" s="29"/>
      <c r="I465" s="29">
        <f t="shared" si="59"/>
        <v>0</v>
      </c>
      <c r="J465" s="29">
        <f>H465+I465</f>
        <v>0</v>
      </c>
      <c r="K465" s="357">
        <f t="shared" si="55"/>
        <v>0</v>
      </c>
      <c r="L465" s="357">
        <f t="shared" si="56"/>
        <v>0</v>
      </c>
      <c r="Z465" s="49"/>
    </row>
    <row r="466" spans="1:26" ht="18.75" hidden="1" customHeight="1" outlineLevel="1" x14ac:dyDescent="0.3">
      <c r="A466" s="34"/>
      <c r="B466" s="113" t="s">
        <v>454</v>
      </c>
      <c r="C466" s="118"/>
      <c r="D466" s="114" t="s">
        <v>22</v>
      </c>
      <c r="E466" s="29">
        <v>0</v>
      </c>
      <c r="F466" s="29"/>
      <c r="G466" s="30">
        <v>90</v>
      </c>
      <c r="H466" s="29"/>
      <c r="I466" s="29">
        <f t="shared" si="59"/>
        <v>0</v>
      </c>
      <c r="J466" s="29">
        <f>H466+I466</f>
        <v>0</v>
      </c>
      <c r="K466" s="357">
        <f t="shared" si="55"/>
        <v>0</v>
      </c>
      <c r="L466" s="357">
        <f t="shared" si="56"/>
        <v>0</v>
      </c>
      <c r="Z466" s="49"/>
    </row>
    <row r="467" spans="1:26" hidden="1" outlineLevel="1" x14ac:dyDescent="0.3">
      <c r="A467" s="34"/>
      <c r="B467" s="113" t="s">
        <v>455</v>
      </c>
      <c r="C467" s="118"/>
      <c r="D467" s="114" t="s">
        <v>22</v>
      </c>
      <c r="E467" s="29">
        <v>0</v>
      </c>
      <c r="F467" s="29"/>
      <c r="G467" s="30">
        <v>90</v>
      </c>
      <c r="H467" s="29"/>
      <c r="I467" s="29">
        <f>ROUND(E467*G467,2)</f>
        <v>0</v>
      </c>
      <c r="J467" s="29">
        <f>H467+I467</f>
        <v>0</v>
      </c>
      <c r="K467" s="357">
        <f t="shared" si="55"/>
        <v>0</v>
      </c>
      <c r="L467" s="357">
        <f t="shared" si="56"/>
        <v>0</v>
      </c>
      <c r="Z467" s="49"/>
    </row>
    <row r="468" spans="1:26" hidden="1" outlineLevel="1" x14ac:dyDescent="0.3">
      <c r="A468" s="34"/>
      <c r="B468" s="113" t="s">
        <v>456</v>
      </c>
      <c r="C468" s="118"/>
      <c r="D468" s="114" t="s">
        <v>22</v>
      </c>
      <c r="E468" s="29">
        <v>0</v>
      </c>
      <c r="F468" s="29"/>
      <c r="G468" s="30">
        <v>100</v>
      </c>
      <c r="H468" s="29"/>
      <c r="I468" s="29">
        <f>ROUND(E468*G468,2)</f>
        <v>0</v>
      </c>
      <c r="J468" s="29">
        <f>H468+I468</f>
        <v>0</v>
      </c>
      <c r="K468" s="357">
        <f t="shared" ref="K468:K531" si="60">IF(H468&gt;0,Z468,0)</f>
        <v>0</v>
      </c>
      <c r="L468" s="357">
        <f t="shared" ref="L468:L531" si="61">IF(I468&gt;0,Z468,0)</f>
        <v>0</v>
      </c>
      <c r="Z468" s="49"/>
    </row>
    <row r="469" spans="1:26" hidden="1" outlineLevel="1" x14ac:dyDescent="0.3">
      <c r="A469" s="34" t="s">
        <v>356</v>
      </c>
      <c r="B469" s="27" t="s">
        <v>457</v>
      </c>
      <c r="C469" s="161"/>
      <c r="D469" s="28" t="s">
        <v>458</v>
      </c>
      <c r="E469" s="28">
        <v>0</v>
      </c>
      <c r="F469" s="28">
        <v>35</v>
      </c>
      <c r="G469" s="30"/>
      <c r="H469" s="29">
        <f>ROUND(F469*E469,2)</f>
        <v>0</v>
      </c>
      <c r="I469" s="29">
        <f>G469*E469</f>
        <v>0</v>
      </c>
      <c r="J469" s="29">
        <f t="shared" si="57"/>
        <v>0</v>
      </c>
      <c r="K469" s="357">
        <f t="shared" si="60"/>
        <v>0</v>
      </c>
      <c r="L469" s="357">
        <f t="shared" si="61"/>
        <v>0</v>
      </c>
      <c r="Z469" s="49"/>
    </row>
    <row r="470" spans="1:26" hidden="1" outlineLevel="1" x14ac:dyDescent="0.3">
      <c r="A470" s="34"/>
      <c r="B470" s="113" t="s">
        <v>459</v>
      </c>
      <c r="C470" s="118"/>
      <c r="D470" s="114" t="s">
        <v>458</v>
      </c>
      <c r="E470" s="29">
        <v>0</v>
      </c>
      <c r="F470" s="29"/>
      <c r="G470" s="30">
        <v>31</v>
      </c>
      <c r="H470" s="29"/>
      <c r="I470" s="29">
        <f t="shared" ref="I470:I488" si="62">ROUND(E470*G470,2)</f>
        <v>0</v>
      </c>
      <c r="J470" s="29">
        <f t="shared" si="57"/>
        <v>0</v>
      </c>
      <c r="K470" s="357">
        <f t="shared" si="60"/>
        <v>0</v>
      </c>
      <c r="L470" s="357">
        <f t="shared" si="61"/>
        <v>0</v>
      </c>
      <c r="Z470" s="49"/>
    </row>
    <row r="471" spans="1:26" hidden="1" outlineLevel="1" x14ac:dyDescent="0.3">
      <c r="A471" s="34"/>
      <c r="B471" s="113" t="s">
        <v>460</v>
      </c>
      <c r="C471" s="118"/>
      <c r="D471" s="114" t="s">
        <v>458</v>
      </c>
      <c r="E471" s="29">
        <v>0</v>
      </c>
      <c r="F471" s="29"/>
      <c r="G471" s="30">
        <f>459.7*1.1</f>
        <v>505.67</v>
      </c>
      <c r="H471" s="29"/>
      <c r="I471" s="29">
        <f t="shared" si="62"/>
        <v>0</v>
      </c>
      <c r="J471" s="29">
        <f t="shared" si="57"/>
        <v>0</v>
      </c>
      <c r="K471" s="357">
        <f t="shared" si="60"/>
        <v>0</v>
      </c>
      <c r="L471" s="357">
        <f t="shared" si="61"/>
        <v>0</v>
      </c>
      <c r="Z471" s="49"/>
    </row>
    <row r="472" spans="1:26" hidden="1" outlineLevel="1" x14ac:dyDescent="0.3">
      <c r="A472" s="34"/>
      <c r="B472" s="113" t="s">
        <v>461</v>
      </c>
      <c r="C472" s="118"/>
      <c r="D472" s="114" t="s">
        <v>458</v>
      </c>
      <c r="E472" s="29">
        <v>0</v>
      </c>
      <c r="F472" s="29"/>
      <c r="G472" s="30">
        <f>10.16*1.1</f>
        <v>11.176000000000002</v>
      </c>
      <c r="H472" s="29"/>
      <c r="I472" s="29">
        <f t="shared" si="62"/>
        <v>0</v>
      </c>
      <c r="J472" s="29">
        <f t="shared" si="57"/>
        <v>0</v>
      </c>
      <c r="K472" s="357">
        <f t="shared" si="60"/>
        <v>0</v>
      </c>
      <c r="L472" s="357">
        <f t="shared" si="61"/>
        <v>0</v>
      </c>
      <c r="Z472" s="49"/>
    </row>
    <row r="473" spans="1:26" hidden="1" outlineLevel="1" x14ac:dyDescent="0.3">
      <c r="A473" s="34"/>
      <c r="B473" s="113" t="s">
        <v>462</v>
      </c>
      <c r="C473" s="118"/>
      <c r="D473" s="114" t="s">
        <v>458</v>
      </c>
      <c r="E473" s="29">
        <v>0</v>
      </c>
      <c r="F473" s="29"/>
      <c r="G473" s="30">
        <f>11.4*1.1</f>
        <v>12.540000000000001</v>
      </c>
      <c r="H473" s="29"/>
      <c r="I473" s="29">
        <f t="shared" si="62"/>
        <v>0</v>
      </c>
      <c r="J473" s="29">
        <f>H473+I473</f>
        <v>0</v>
      </c>
      <c r="K473" s="357">
        <f t="shared" si="60"/>
        <v>0</v>
      </c>
      <c r="L473" s="357">
        <f t="shared" si="61"/>
        <v>0</v>
      </c>
      <c r="Z473" s="49"/>
    </row>
    <row r="474" spans="1:26" hidden="1" outlineLevel="1" x14ac:dyDescent="0.3">
      <c r="A474" s="34"/>
      <c r="B474" s="113" t="s">
        <v>463</v>
      </c>
      <c r="C474" s="118"/>
      <c r="D474" s="114" t="s">
        <v>458</v>
      </c>
      <c r="E474" s="29">
        <v>0</v>
      </c>
      <c r="F474" s="29"/>
      <c r="G474" s="30">
        <f>19.4*1.1</f>
        <v>21.34</v>
      </c>
      <c r="H474" s="29"/>
      <c r="I474" s="29">
        <f t="shared" si="62"/>
        <v>0</v>
      </c>
      <c r="J474" s="29">
        <f>H474+I474</f>
        <v>0</v>
      </c>
      <c r="K474" s="357">
        <f t="shared" si="60"/>
        <v>0</v>
      </c>
      <c r="L474" s="357">
        <f t="shared" si="61"/>
        <v>0</v>
      </c>
      <c r="Z474" s="49"/>
    </row>
    <row r="475" spans="1:26" hidden="1" outlineLevel="1" x14ac:dyDescent="0.3">
      <c r="A475" s="34"/>
      <c r="B475" s="113" t="s">
        <v>464</v>
      </c>
      <c r="C475" s="118"/>
      <c r="D475" s="114" t="s">
        <v>458</v>
      </c>
      <c r="E475" s="29">
        <v>0</v>
      </c>
      <c r="F475" s="29"/>
      <c r="G475" s="30">
        <f>50.41*1.1</f>
        <v>55.451000000000001</v>
      </c>
      <c r="H475" s="29"/>
      <c r="I475" s="29">
        <f t="shared" si="62"/>
        <v>0</v>
      </c>
      <c r="J475" s="29">
        <f t="shared" si="57"/>
        <v>0</v>
      </c>
      <c r="K475" s="357">
        <f t="shared" si="60"/>
        <v>0</v>
      </c>
      <c r="L475" s="357">
        <f t="shared" si="61"/>
        <v>0</v>
      </c>
      <c r="Z475" s="49"/>
    </row>
    <row r="476" spans="1:26" hidden="1" outlineLevel="1" x14ac:dyDescent="0.3">
      <c r="A476" s="34"/>
      <c r="B476" s="113" t="s">
        <v>465</v>
      </c>
      <c r="C476" s="118"/>
      <c r="D476" s="114" t="s">
        <v>458</v>
      </c>
      <c r="E476" s="29">
        <v>0</v>
      </c>
      <c r="F476" s="29"/>
      <c r="G476" s="30">
        <v>205</v>
      </c>
      <c r="H476" s="29"/>
      <c r="I476" s="29">
        <f t="shared" si="62"/>
        <v>0</v>
      </c>
      <c r="J476" s="29">
        <f>H476+I476</f>
        <v>0</v>
      </c>
      <c r="K476" s="357">
        <f t="shared" si="60"/>
        <v>0</v>
      </c>
      <c r="L476" s="357">
        <f t="shared" si="61"/>
        <v>0</v>
      </c>
      <c r="Z476" s="49"/>
    </row>
    <row r="477" spans="1:26" hidden="1" outlineLevel="1" x14ac:dyDescent="0.3">
      <c r="A477" s="34"/>
      <c r="B477" s="113" t="s">
        <v>466</v>
      </c>
      <c r="C477" s="118"/>
      <c r="D477" s="114" t="s">
        <v>458</v>
      </c>
      <c r="E477" s="29">
        <v>0</v>
      </c>
      <c r="F477" s="29"/>
      <c r="G477" s="30">
        <f>22.48*1.1</f>
        <v>24.728000000000002</v>
      </c>
      <c r="H477" s="29"/>
      <c r="I477" s="29">
        <f t="shared" si="62"/>
        <v>0</v>
      </c>
      <c r="J477" s="29">
        <f t="shared" si="57"/>
        <v>0</v>
      </c>
      <c r="K477" s="357">
        <f t="shared" si="60"/>
        <v>0</v>
      </c>
      <c r="L477" s="357">
        <f t="shared" si="61"/>
        <v>0</v>
      </c>
      <c r="Z477" s="49"/>
    </row>
    <row r="478" spans="1:26" hidden="1" outlineLevel="1" x14ac:dyDescent="0.3">
      <c r="A478" s="34"/>
      <c r="B478" s="113" t="s">
        <v>467</v>
      </c>
      <c r="C478" s="118"/>
      <c r="D478" s="114" t="s">
        <v>458</v>
      </c>
      <c r="E478" s="29">
        <v>0</v>
      </c>
      <c r="F478" s="29"/>
      <c r="G478" s="30">
        <f>15.53*1.1</f>
        <v>17.083000000000002</v>
      </c>
      <c r="H478" s="29"/>
      <c r="I478" s="29">
        <f t="shared" si="62"/>
        <v>0</v>
      </c>
      <c r="J478" s="29">
        <f t="shared" si="57"/>
        <v>0</v>
      </c>
      <c r="K478" s="357">
        <f t="shared" si="60"/>
        <v>0</v>
      </c>
      <c r="L478" s="357">
        <f t="shared" si="61"/>
        <v>0</v>
      </c>
      <c r="Z478" s="49"/>
    </row>
    <row r="479" spans="1:26" ht="17.25" hidden="1" customHeight="1" outlineLevel="1" x14ac:dyDescent="0.3">
      <c r="A479" s="34"/>
      <c r="B479" s="113" t="s">
        <v>468</v>
      </c>
      <c r="C479" s="118"/>
      <c r="D479" s="114" t="s">
        <v>22</v>
      </c>
      <c r="E479" s="29">
        <v>0</v>
      </c>
      <c r="F479" s="29"/>
      <c r="G479" s="30">
        <v>8</v>
      </c>
      <c r="H479" s="29"/>
      <c r="I479" s="29">
        <f t="shared" si="62"/>
        <v>0</v>
      </c>
      <c r="J479" s="29">
        <f>H479+I479</f>
        <v>0</v>
      </c>
      <c r="K479" s="357">
        <f t="shared" si="60"/>
        <v>0</v>
      </c>
      <c r="L479" s="357">
        <f t="shared" si="61"/>
        <v>0</v>
      </c>
      <c r="Z479" s="49"/>
    </row>
    <row r="480" spans="1:26" hidden="1" outlineLevel="1" x14ac:dyDescent="0.3">
      <c r="A480" s="34"/>
      <c r="B480" s="113" t="s">
        <v>469</v>
      </c>
      <c r="C480" s="118"/>
      <c r="D480" s="114" t="s">
        <v>458</v>
      </c>
      <c r="E480" s="29">
        <v>0</v>
      </c>
      <c r="F480" s="29"/>
      <c r="G480" s="30">
        <v>194</v>
      </c>
      <c r="H480" s="29"/>
      <c r="I480" s="29">
        <f t="shared" si="62"/>
        <v>0</v>
      </c>
      <c r="J480" s="29">
        <f t="shared" si="57"/>
        <v>0</v>
      </c>
      <c r="K480" s="357">
        <f t="shared" si="60"/>
        <v>0</v>
      </c>
      <c r="L480" s="357">
        <f t="shared" si="61"/>
        <v>0</v>
      </c>
      <c r="Z480" s="49"/>
    </row>
    <row r="481" spans="1:26" hidden="1" outlineLevel="1" x14ac:dyDescent="0.3">
      <c r="A481" s="34"/>
      <c r="B481" s="113" t="s">
        <v>470</v>
      </c>
      <c r="C481" s="118"/>
      <c r="D481" s="114" t="s">
        <v>458</v>
      </c>
      <c r="E481" s="29">
        <v>0</v>
      </c>
      <c r="F481" s="29"/>
      <c r="G481" s="30">
        <v>45</v>
      </c>
      <c r="H481" s="29"/>
      <c r="I481" s="29">
        <f t="shared" si="62"/>
        <v>0</v>
      </c>
      <c r="J481" s="29">
        <f t="shared" si="57"/>
        <v>0</v>
      </c>
      <c r="K481" s="357">
        <f t="shared" si="60"/>
        <v>0</v>
      </c>
      <c r="L481" s="357">
        <f t="shared" si="61"/>
        <v>0</v>
      </c>
      <c r="Z481" s="49"/>
    </row>
    <row r="482" spans="1:26" hidden="1" outlineLevel="1" x14ac:dyDescent="0.3">
      <c r="A482" s="34"/>
      <c r="B482" s="113" t="s">
        <v>471</v>
      </c>
      <c r="C482" s="118"/>
      <c r="D482" s="114" t="s">
        <v>458</v>
      </c>
      <c r="E482" s="29">
        <v>0</v>
      </c>
      <c r="F482" s="29"/>
      <c r="G482" s="30">
        <v>78</v>
      </c>
      <c r="H482" s="29"/>
      <c r="I482" s="29">
        <f t="shared" si="62"/>
        <v>0</v>
      </c>
      <c r="J482" s="29">
        <f t="shared" si="57"/>
        <v>0</v>
      </c>
      <c r="K482" s="357">
        <f t="shared" si="60"/>
        <v>0</v>
      </c>
      <c r="L482" s="357">
        <f t="shared" si="61"/>
        <v>0</v>
      </c>
      <c r="Z482" s="49"/>
    </row>
    <row r="483" spans="1:26" hidden="1" outlineLevel="1" x14ac:dyDescent="0.3">
      <c r="A483" s="34"/>
      <c r="B483" s="113" t="s">
        <v>220</v>
      </c>
      <c r="C483" s="118"/>
      <c r="D483" s="114" t="s">
        <v>40</v>
      </c>
      <c r="E483" s="29">
        <v>0</v>
      </c>
      <c r="F483" s="29"/>
      <c r="G483" s="30">
        <v>42</v>
      </c>
      <c r="H483" s="29"/>
      <c r="I483" s="29">
        <f>ROUND(E483*G483,2)</f>
        <v>0</v>
      </c>
      <c r="J483" s="29">
        <f t="shared" si="57"/>
        <v>0</v>
      </c>
      <c r="K483" s="357">
        <f t="shared" si="60"/>
        <v>0</v>
      </c>
      <c r="L483" s="357">
        <f t="shared" si="61"/>
        <v>0</v>
      </c>
      <c r="Z483" s="49"/>
    </row>
    <row r="484" spans="1:26" hidden="1" outlineLevel="1" x14ac:dyDescent="0.3">
      <c r="A484" s="34"/>
      <c r="B484" s="113" t="s">
        <v>472</v>
      </c>
      <c r="C484" s="118"/>
      <c r="D484" s="114" t="s">
        <v>458</v>
      </c>
      <c r="E484" s="29">
        <v>0</v>
      </c>
      <c r="F484" s="29"/>
      <c r="G484" s="30">
        <v>9.8699999999999992</v>
      </c>
      <c r="H484" s="29"/>
      <c r="I484" s="29">
        <f>ROUND(E484*G484,2)</f>
        <v>0</v>
      </c>
      <c r="J484" s="29">
        <f t="shared" si="57"/>
        <v>0</v>
      </c>
      <c r="K484" s="357">
        <f t="shared" si="60"/>
        <v>0</v>
      </c>
      <c r="L484" s="357">
        <f t="shared" si="61"/>
        <v>0</v>
      </c>
      <c r="Z484" s="49"/>
    </row>
    <row r="485" spans="1:26" hidden="1" outlineLevel="1" x14ac:dyDescent="0.3">
      <c r="A485" s="34"/>
      <c r="B485" s="113" t="s">
        <v>473</v>
      </c>
      <c r="C485" s="118"/>
      <c r="D485" s="114" t="s">
        <v>458</v>
      </c>
      <c r="E485" s="29">
        <v>0</v>
      </c>
      <c r="F485" s="29"/>
      <c r="G485" s="30">
        <v>9.8699999999999992</v>
      </c>
      <c r="H485" s="29"/>
      <c r="I485" s="29">
        <f>ROUND(E485*G485,2)</f>
        <v>0</v>
      </c>
      <c r="J485" s="29">
        <f t="shared" si="57"/>
        <v>0</v>
      </c>
      <c r="K485" s="357">
        <f t="shared" si="60"/>
        <v>0</v>
      </c>
      <c r="L485" s="357">
        <f t="shared" si="61"/>
        <v>0</v>
      </c>
      <c r="Z485" s="49"/>
    </row>
    <row r="486" spans="1:26" hidden="1" outlineLevel="1" x14ac:dyDescent="0.3">
      <c r="A486" s="34"/>
      <c r="B486" s="113" t="s">
        <v>474</v>
      </c>
      <c r="C486" s="118"/>
      <c r="D486" s="114" t="s">
        <v>458</v>
      </c>
      <c r="E486" s="29">
        <v>0</v>
      </c>
      <c r="F486" s="29"/>
      <c r="G486" s="30">
        <v>9.8699999999999992</v>
      </c>
      <c r="H486" s="29"/>
      <c r="I486" s="29">
        <f>ROUND(E486*G486,2)</f>
        <v>0</v>
      </c>
      <c r="J486" s="29">
        <f t="shared" si="57"/>
        <v>0</v>
      </c>
      <c r="K486" s="357">
        <f t="shared" si="60"/>
        <v>0</v>
      </c>
      <c r="L486" s="357">
        <f t="shared" si="61"/>
        <v>0</v>
      </c>
      <c r="Z486" s="49"/>
    </row>
    <row r="487" spans="1:26" hidden="1" outlineLevel="1" x14ac:dyDescent="0.3">
      <c r="A487" s="34"/>
      <c r="B487" s="113" t="s">
        <v>475</v>
      </c>
      <c r="C487" s="118"/>
      <c r="D487" s="114" t="s">
        <v>458</v>
      </c>
      <c r="E487" s="29">
        <v>0</v>
      </c>
      <c r="F487" s="29"/>
      <c r="G487" s="30">
        <v>56</v>
      </c>
      <c r="H487" s="29"/>
      <c r="I487" s="29">
        <f t="shared" si="62"/>
        <v>0</v>
      </c>
      <c r="J487" s="29">
        <f t="shared" si="57"/>
        <v>0</v>
      </c>
      <c r="K487" s="357">
        <f t="shared" si="60"/>
        <v>0</v>
      </c>
      <c r="L487" s="357">
        <f t="shared" si="61"/>
        <v>0</v>
      </c>
      <c r="Z487" s="49"/>
    </row>
    <row r="488" spans="1:26" hidden="1" outlineLevel="1" x14ac:dyDescent="0.3">
      <c r="A488" s="34"/>
      <c r="B488" s="113" t="s">
        <v>476</v>
      </c>
      <c r="C488" s="118"/>
      <c r="D488" s="114" t="s">
        <v>458</v>
      </c>
      <c r="E488" s="29">
        <v>0</v>
      </c>
      <c r="F488" s="29"/>
      <c r="G488" s="30">
        <v>70</v>
      </c>
      <c r="H488" s="29"/>
      <c r="I488" s="29">
        <f t="shared" si="62"/>
        <v>0</v>
      </c>
      <c r="J488" s="29">
        <f t="shared" si="57"/>
        <v>0</v>
      </c>
      <c r="K488" s="357">
        <f t="shared" si="60"/>
        <v>0</v>
      </c>
      <c r="L488" s="357">
        <f t="shared" si="61"/>
        <v>0</v>
      </c>
      <c r="Z488" s="49"/>
    </row>
    <row r="489" spans="1:26" hidden="1" outlineLevel="1" x14ac:dyDescent="0.3">
      <c r="A489" s="34"/>
      <c r="B489" s="113" t="s">
        <v>477</v>
      </c>
      <c r="C489" s="118"/>
      <c r="D489" s="114" t="s">
        <v>458</v>
      </c>
      <c r="E489" s="29">
        <v>0</v>
      </c>
      <c r="F489" s="29"/>
      <c r="G489" s="30">
        <v>170</v>
      </c>
      <c r="H489" s="29"/>
      <c r="I489" s="29">
        <f>ROUND(E489*G489,2)</f>
        <v>0</v>
      </c>
      <c r="J489" s="29">
        <f t="shared" si="57"/>
        <v>0</v>
      </c>
      <c r="K489" s="357">
        <f t="shared" si="60"/>
        <v>0</v>
      </c>
      <c r="L489" s="357">
        <f t="shared" si="61"/>
        <v>0</v>
      </c>
      <c r="Z489" s="49"/>
    </row>
    <row r="490" spans="1:26" hidden="1" outlineLevel="1" x14ac:dyDescent="0.3">
      <c r="A490" s="34" t="s">
        <v>359</v>
      </c>
      <c r="B490" s="27" t="s">
        <v>478</v>
      </c>
      <c r="C490" s="161"/>
      <c r="D490" s="28" t="s">
        <v>22</v>
      </c>
      <c r="E490" s="29"/>
      <c r="F490" s="29"/>
      <c r="G490" s="30"/>
      <c r="H490" s="29">
        <f>F490*E490</f>
        <v>0</v>
      </c>
      <c r="I490" s="29"/>
      <c r="J490" s="29">
        <f t="shared" si="57"/>
        <v>0</v>
      </c>
      <c r="K490" s="357">
        <f t="shared" si="60"/>
        <v>0</v>
      </c>
      <c r="L490" s="357">
        <f t="shared" si="61"/>
        <v>0</v>
      </c>
      <c r="Z490" s="49"/>
    </row>
    <row r="491" spans="1:26" hidden="1" outlineLevel="1" x14ac:dyDescent="0.3">
      <c r="A491" s="34"/>
      <c r="B491" s="113" t="s">
        <v>479</v>
      </c>
      <c r="C491" s="118"/>
      <c r="D491" s="114" t="s">
        <v>22</v>
      </c>
      <c r="E491" s="29">
        <v>0</v>
      </c>
      <c r="F491" s="29"/>
      <c r="G491" s="30">
        <v>462</v>
      </c>
      <c r="H491" s="29"/>
      <c r="I491" s="29">
        <f>ROUND(E491*G491,2)</f>
        <v>0</v>
      </c>
      <c r="J491" s="29">
        <f t="shared" si="57"/>
        <v>0</v>
      </c>
      <c r="K491" s="357">
        <f t="shared" si="60"/>
        <v>0</v>
      </c>
      <c r="L491" s="357">
        <f t="shared" si="61"/>
        <v>0</v>
      </c>
      <c r="Z491" s="49"/>
    </row>
    <row r="492" spans="1:26" hidden="1" outlineLevel="1" x14ac:dyDescent="0.3">
      <c r="A492" s="34"/>
      <c r="B492" s="113" t="s">
        <v>480</v>
      </c>
      <c r="C492" s="118"/>
      <c r="D492" s="114" t="s">
        <v>22</v>
      </c>
      <c r="E492" s="29">
        <v>0</v>
      </c>
      <c r="F492" s="29"/>
      <c r="G492" s="30">
        <v>216</v>
      </c>
      <c r="H492" s="29"/>
      <c r="I492" s="29">
        <f>ROUND(E492*G492,2)</f>
        <v>0</v>
      </c>
      <c r="J492" s="29">
        <f t="shared" si="57"/>
        <v>0</v>
      </c>
      <c r="K492" s="357">
        <f t="shared" si="60"/>
        <v>0</v>
      </c>
      <c r="L492" s="357">
        <f t="shared" si="61"/>
        <v>0</v>
      </c>
      <c r="Z492" s="49"/>
    </row>
    <row r="493" spans="1:26" hidden="1" outlineLevel="1" x14ac:dyDescent="0.3">
      <c r="A493" s="34"/>
      <c r="B493" s="113" t="s">
        <v>481</v>
      </c>
      <c r="C493" s="118"/>
      <c r="D493" s="114" t="s">
        <v>22</v>
      </c>
      <c r="E493" s="29">
        <v>0</v>
      </c>
      <c r="F493" s="29"/>
      <c r="G493" s="30">
        <v>216</v>
      </c>
      <c r="H493" s="29"/>
      <c r="I493" s="29">
        <f>ROUND(E493*G493,2)</f>
        <v>0</v>
      </c>
      <c r="J493" s="29">
        <f t="shared" si="57"/>
        <v>0</v>
      </c>
      <c r="K493" s="357">
        <f t="shared" si="60"/>
        <v>0</v>
      </c>
      <c r="L493" s="357">
        <f t="shared" si="61"/>
        <v>0</v>
      </c>
      <c r="Z493" s="49"/>
    </row>
    <row r="494" spans="1:26" hidden="1" outlineLevel="1" x14ac:dyDescent="0.3">
      <c r="A494" s="34"/>
      <c r="B494" s="113" t="s">
        <v>482</v>
      </c>
      <c r="C494" s="118"/>
      <c r="D494" s="114" t="s">
        <v>22</v>
      </c>
      <c r="E494" s="29">
        <v>0</v>
      </c>
      <c r="F494" s="29"/>
      <c r="G494" s="30">
        <v>300</v>
      </c>
      <c r="H494" s="29"/>
      <c r="I494" s="29">
        <f>ROUND(E494*G494,2)</f>
        <v>0</v>
      </c>
      <c r="J494" s="29">
        <f t="shared" si="57"/>
        <v>0</v>
      </c>
      <c r="K494" s="357">
        <f t="shared" si="60"/>
        <v>0</v>
      </c>
      <c r="L494" s="357">
        <f t="shared" si="61"/>
        <v>0</v>
      </c>
      <c r="Z494" s="49"/>
    </row>
    <row r="495" spans="1:26" hidden="1" outlineLevel="1" x14ac:dyDescent="0.3">
      <c r="A495" s="34" t="s">
        <v>483</v>
      </c>
      <c r="B495" s="27" t="s">
        <v>484</v>
      </c>
      <c r="C495" s="161"/>
      <c r="D495" s="28" t="s">
        <v>485</v>
      </c>
      <c r="E495" s="28">
        <v>0</v>
      </c>
      <c r="F495" s="29"/>
      <c r="G495" s="30">
        <f>30000</f>
        <v>30000</v>
      </c>
      <c r="H495" s="29"/>
      <c r="I495" s="29">
        <f>ROUND(E495*G495,2)</f>
        <v>0</v>
      </c>
      <c r="J495" s="29">
        <f t="shared" si="57"/>
        <v>0</v>
      </c>
      <c r="K495" s="357">
        <f t="shared" si="60"/>
        <v>0</v>
      </c>
      <c r="L495" s="357">
        <f t="shared" si="61"/>
        <v>0</v>
      </c>
      <c r="Z495" s="49"/>
    </row>
    <row r="496" spans="1:26" hidden="1" outlineLevel="1" x14ac:dyDescent="0.3">
      <c r="A496" s="34" t="s">
        <v>486</v>
      </c>
      <c r="B496" s="161" t="s">
        <v>487</v>
      </c>
      <c r="C496" s="161"/>
      <c r="D496" s="28"/>
      <c r="E496" s="29"/>
      <c r="F496" s="28">
        <v>0</v>
      </c>
      <c r="G496" s="30"/>
      <c r="H496" s="29">
        <f>F496</f>
        <v>0</v>
      </c>
      <c r="I496" s="29">
        <v>0</v>
      </c>
      <c r="J496" s="29">
        <f>H496+I496</f>
        <v>0</v>
      </c>
      <c r="K496" s="357">
        <f t="shared" si="60"/>
        <v>0</v>
      </c>
      <c r="L496" s="357">
        <f t="shared" si="61"/>
        <v>0</v>
      </c>
      <c r="Z496" s="49"/>
    </row>
    <row r="497" spans="1:26" hidden="1" outlineLevel="1" x14ac:dyDescent="0.3">
      <c r="A497" s="34"/>
      <c r="B497" s="113" t="s">
        <v>488</v>
      </c>
      <c r="C497" s="118"/>
      <c r="D497" s="114" t="s">
        <v>22</v>
      </c>
      <c r="E497" s="29">
        <v>0</v>
      </c>
      <c r="F497" s="29"/>
      <c r="G497" s="30">
        <f>1144.07*1.1</f>
        <v>1258.4770000000001</v>
      </c>
      <c r="H497" s="29"/>
      <c r="I497" s="29">
        <f>G497*E497</f>
        <v>0</v>
      </c>
      <c r="J497" s="29">
        <f>H497+I497</f>
        <v>0</v>
      </c>
      <c r="K497" s="357">
        <f t="shared" si="60"/>
        <v>0</v>
      </c>
      <c r="L497" s="357">
        <f t="shared" si="61"/>
        <v>0</v>
      </c>
      <c r="Z497" s="49"/>
    </row>
    <row r="498" spans="1:26" hidden="1" outlineLevel="1" x14ac:dyDescent="0.3">
      <c r="A498" s="34"/>
      <c r="B498" s="113" t="s">
        <v>489</v>
      </c>
      <c r="C498" s="118"/>
      <c r="D498" s="114" t="s">
        <v>22</v>
      </c>
      <c r="E498" s="29">
        <v>0</v>
      </c>
      <c r="F498" s="29"/>
      <c r="G498" s="30">
        <f>1144.07*1.1</f>
        <v>1258.4770000000001</v>
      </c>
      <c r="H498" s="29"/>
      <c r="I498" s="29">
        <f>G498*E498</f>
        <v>0</v>
      </c>
      <c r="J498" s="29">
        <f>H498+I498</f>
        <v>0</v>
      </c>
      <c r="K498" s="357">
        <f t="shared" si="60"/>
        <v>0</v>
      </c>
      <c r="L498" s="357">
        <f t="shared" si="61"/>
        <v>0</v>
      </c>
      <c r="Z498" s="49"/>
    </row>
    <row r="499" spans="1:26" hidden="1" outlineLevel="1" x14ac:dyDescent="0.3">
      <c r="A499" s="34"/>
      <c r="B499" s="113" t="s">
        <v>490</v>
      </c>
      <c r="C499" s="118"/>
      <c r="D499" s="114" t="s">
        <v>22</v>
      </c>
      <c r="E499" s="29">
        <v>0</v>
      </c>
      <c r="F499" s="29"/>
      <c r="G499" s="30">
        <f>1144.07*1.1</f>
        <v>1258.4770000000001</v>
      </c>
      <c r="H499" s="29"/>
      <c r="I499" s="29">
        <f>G499*E499</f>
        <v>0</v>
      </c>
      <c r="J499" s="29">
        <f>H499+I499</f>
        <v>0</v>
      </c>
      <c r="K499" s="357">
        <f t="shared" si="60"/>
        <v>0</v>
      </c>
      <c r="L499" s="357">
        <f t="shared" si="61"/>
        <v>0</v>
      </c>
      <c r="Z499" s="49"/>
    </row>
    <row r="500" spans="1:26" hidden="1" outlineLevel="1" x14ac:dyDescent="0.3">
      <c r="A500" s="34"/>
      <c r="B500" s="113" t="s">
        <v>491</v>
      </c>
      <c r="C500" s="118"/>
      <c r="D500" s="114" t="s">
        <v>22</v>
      </c>
      <c r="E500" s="29">
        <v>0</v>
      </c>
      <c r="F500" s="29"/>
      <c r="G500" s="30">
        <f>1101.7*1.18</f>
        <v>1300.0060000000001</v>
      </c>
      <c r="H500" s="29"/>
      <c r="I500" s="29">
        <f>G500*E500</f>
        <v>0</v>
      </c>
      <c r="J500" s="29">
        <f>H500+I500</f>
        <v>0</v>
      </c>
      <c r="K500" s="357">
        <f t="shared" si="60"/>
        <v>0</v>
      </c>
      <c r="L500" s="357">
        <f t="shared" si="61"/>
        <v>0</v>
      </c>
      <c r="Z500" s="49"/>
    </row>
    <row r="501" spans="1:26" hidden="1" outlineLevel="1" x14ac:dyDescent="0.3">
      <c r="A501" s="34"/>
      <c r="B501" s="35" t="s">
        <v>492</v>
      </c>
      <c r="C501" s="161"/>
      <c r="D501" s="114" t="s">
        <v>22</v>
      </c>
      <c r="E501" s="29">
        <v>0</v>
      </c>
      <c r="F501" s="29"/>
      <c r="G501" s="30">
        <f>120</f>
        <v>120</v>
      </c>
      <c r="H501" s="29"/>
      <c r="I501" s="29">
        <f t="shared" ref="I501:I518" si="63">G501*E501</f>
        <v>0</v>
      </c>
      <c r="J501" s="29">
        <f t="shared" ref="J501:J518" si="64">H501+I501</f>
        <v>0</v>
      </c>
      <c r="K501" s="357">
        <f t="shared" si="60"/>
        <v>0</v>
      </c>
      <c r="L501" s="357">
        <f t="shared" si="61"/>
        <v>0</v>
      </c>
      <c r="Z501" s="49"/>
    </row>
    <row r="502" spans="1:26" hidden="1" outlineLevel="1" x14ac:dyDescent="0.3">
      <c r="A502" s="34"/>
      <c r="B502" s="35" t="s">
        <v>493</v>
      </c>
      <c r="C502" s="161"/>
      <c r="D502" s="114" t="s">
        <v>22</v>
      </c>
      <c r="E502" s="29">
        <v>0</v>
      </c>
      <c r="F502" s="29"/>
      <c r="G502" s="30">
        <f>127.12*1.18</f>
        <v>150.0016</v>
      </c>
      <c r="H502" s="29"/>
      <c r="I502" s="29">
        <f t="shared" si="63"/>
        <v>0</v>
      </c>
      <c r="J502" s="29">
        <f t="shared" si="64"/>
        <v>0</v>
      </c>
      <c r="K502" s="357">
        <f t="shared" si="60"/>
        <v>0</v>
      </c>
      <c r="L502" s="357">
        <f t="shared" si="61"/>
        <v>0</v>
      </c>
      <c r="Z502" s="49"/>
    </row>
    <row r="503" spans="1:26" hidden="1" outlineLevel="1" x14ac:dyDescent="0.3">
      <c r="A503" s="34"/>
      <c r="B503" s="35" t="s">
        <v>494</v>
      </c>
      <c r="C503" s="161"/>
      <c r="D503" s="114" t="s">
        <v>22</v>
      </c>
      <c r="E503" s="29">
        <v>0</v>
      </c>
      <c r="F503" s="29"/>
      <c r="G503" s="30">
        <f>127.12*1.18</f>
        <v>150.0016</v>
      </c>
      <c r="H503" s="29"/>
      <c r="I503" s="29">
        <f t="shared" si="63"/>
        <v>0</v>
      </c>
      <c r="J503" s="29">
        <f t="shared" si="64"/>
        <v>0</v>
      </c>
      <c r="K503" s="357">
        <f t="shared" si="60"/>
        <v>0</v>
      </c>
      <c r="L503" s="357">
        <f t="shared" si="61"/>
        <v>0</v>
      </c>
      <c r="Z503" s="49"/>
    </row>
    <row r="504" spans="1:26" hidden="1" outlineLevel="1" x14ac:dyDescent="0.3">
      <c r="A504" s="34"/>
      <c r="B504" s="35" t="s">
        <v>495</v>
      </c>
      <c r="C504" s="161"/>
      <c r="D504" s="114" t="s">
        <v>22</v>
      </c>
      <c r="E504" s="29">
        <v>0</v>
      </c>
      <c r="F504" s="29"/>
      <c r="G504" s="30">
        <v>50</v>
      </c>
      <c r="H504" s="29"/>
      <c r="I504" s="29">
        <f t="shared" si="63"/>
        <v>0</v>
      </c>
      <c r="J504" s="29">
        <f t="shared" si="64"/>
        <v>0</v>
      </c>
      <c r="K504" s="357">
        <f t="shared" si="60"/>
        <v>0</v>
      </c>
      <c r="L504" s="357">
        <f t="shared" si="61"/>
        <v>0</v>
      </c>
      <c r="Z504" s="49"/>
    </row>
    <row r="505" spans="1:26" hidden="1" outlineLevel="1" x14ac:dyDescent="0.3">
      <c r="A505" s="34"/>
      <c r="B505" s="35" t="s">
        <v>496</v>
      </c>
      <c r="C505" s="161"/>
      <c r="D505" s="114" t="s">
        <v>22</v>
      </c>
      <c r="E505" s="29">
        <v>0</v>
      </c>
      <c r="F505" s="29"/>
      <c r="G505" s="30">
        <v>200</v>
      </c>
      <c r="H505" s="29"/>
      <c r="I505" s="29">
        <f t="shared" si="63"/>
        <v>0</v>
      </c>
      <c r="J505" s="29">
        <f t="shared" si="64"/>
        <v>0</v>
      </c>
      <c r="K505" s="357">
        <f t="shared" si="60"/>
        <v>0</v>
      </c>
      <c r="L505" s="357">
        <f t="shared" si="61"/>
        <v>0</v>
      </c>
      <c r="Z505" s="49"/>
    </row>
    <row r="506" spans="1:26" hidden="1" outlineLevel="1" x14ac:dyDescent="0.3">
      <c r="A506" s="34"/>
      <c r="B506" s="35" t="s">
        <v>497</v>
      </c>
      <c r="C506" s="161"/>
      <c r="D506" s="114" t="s">
        <v>22</v>
      </c>
      <c r="E506" s="29">
        <v>0</v>
      </c>
      <c r="F506" s="29"/>
      <c r="G506" s="30">
        <v>10</v>
      </c>
      <c r="H506" s="29"/>
      <c r="I506" s="29">
        <f t="shared" si="63"/>
        <v>0</v>
      </c>
      <c r="J506" s="29">
        <f t="shared" si="64"/>
        <v>0</v>
      </c>
      <c r="K506" s="357">
        <f t="shared" si="60"/>
        <v>0</v>
      </c>
      <c r="L506" s="357">
        <f t="shared" si="61"/>
        <v>0</v>
      </c>
      <c r="Z506" s="49"/>
    </row>
    <row r="507" spans="1:26" hidden="1" outlineLevel="1" x14ac:dyDescent="0.3">
      <c r="A507" s="34"/>
      <c r="B507" s="35" t="s">
        <v>498</v>
      </c>
      <c r="C507" s="161"/>
      <c r="D507" s="114" t="s">
        <v>22</v>
      </c>
      <c r="E507" s="29">
        <v>0</v>
      </c>
      <c r="F507" s="29"/>
      <c r="G507" s="30">
        <v>18</v>
      </c>
      <c r="H507" s="29"/>
      <c r="I507" s="29">
        <f t="shared" si="63"/>
        <v>0</v>
      </c>
      <c r="J507" s="29">
        <f t="shared" si="64"/>
        <v>0</v>
      </c>
      <c r="K507" s="357">
        <f t="shared" si="60"/>
        <v>0</v>
      </c>
      <c r="L507" s="357">
        <f t="shared" si="61"/>
        <v>0</v>
      </c>
      <c r="Z507" s="49"/>
    </row>
    <row r="508" spans="1:26" hidden="1" outlineLevel="1" x14ac:dyDescent="0.3">
      <c r="A508" s="34"/>
      <c r="B508" s="35" t="s">
        <v>499</v>
      </c>
      <c r="C508" s="161"/>
      <c r="D508" s="114" t="s">
        <v>22</v>
      </c>
      <c r="E508" s="29">
        <v>0</v>
      </c>
      <c r="F508" s="29"/>
      <c r="G508" s="30">
        <v>67</v>
      </c>
      <c r="H508" s="29"/>
      <c r="I508" s="29">
        <f t="shared" si="63"/>
        <v>0</v>
      </c>
      <c r="J508" s="29">
        <f t="shared" si="64"/>
        <v>0</v>
      </c>
      <c r="K508" s="357">
        <f t="shared" si="60"/>
        <v>0</v>
      </c>
      <c r="L508" s="357">
        <f t="shared" si="61"/>
        <v>0</v>
      </c>
      <c r="Z508" s="49"/>
    </row>
    <row r="509" spans="1:26" hidden="1" outlineLevel="1" x14ac:dyDescent="0.3">
      <c r="A509" s="34"/>
      <c r="B509" s="35" t="s">
        <v>500</v>
      </c>
      <c r="C509" s="161"/>
      <c r="D509" s="114" t="s">
        <v>22</v>
      </c>
      <c r="E509" s="29"/>
      <c r="F509" s="29"/>
      <c r="G509" s="30">
        <v>65</v>
      </c>
      <c r="H509" s="29"/>
      <c r="I509" s="29">
        <f t="shared" si="63"/>
        <v>0</v>
      </c>
      <c r="J509" s="29">
        <f t="shared" si="64"/>
        <v>0</v>
      </c>
      <c r="K509" s="357">
        <f t="shared" si="60"/>
        <v>0</v>
      </c>
      <c r="L509" s="357">
        <f t="shared" si="61"/>
        <v>0</v>
      </c>
      <c r="Z509" s="49"/>
    </row>
    <row r="510" spans="1:26" hidden="1" outlineLevel="1" x14ac:dyDescent="0.3">
      <c r="A510" s="34"/>
      <c r="B510" s="35" t="s">
        <v>501</v>
      </c>
      <c r="C510" s="161"/>
      <c r="D510" s="114" t="s">
        <v>22</v>
      </c>
      <c r="E510" s="29">
        <v>0</v>
      </c>
      <c r="F510" s="29"/>
      <c r="G510" s="30">
        <v>150</v>
      </c>
      <c r="H510" s="29"/>
      <c r="I510" s="29">
        <f t="shared" si="63"/>
        <v>0</v>
      </c>
      <c r="J510" s="29">
        <f t="shared" si="64"/>
        <v>0</v>
      </c>
      <c r="K510" s="357">
        <f t="shared" si="60"/>
        <v>0</v>
      </c>
      <c r="L510" s="357">
        <f t="shared" si="61"/>
        <v>0</v>
      </c>
      <c r="Z510" s="49"/>
    </row>
    <row r="511" spans="1:26" hidden="1" outlineLevel="1" x14ac:dyDescent="0.3">
      <c r="A511" s="34"/>
      <c r="B511" s="35" t="s">
        <v>502</v>
      </c>
      <c r="C511" s="161"/>
      <c r="D511" s="114" t="s">
        <v>22</v>
      </c>
      <c r="E511" s="29">
        <v>0</v>
      </c>
      <c r="F511" s="29"/>
      <c r="G511" s="30">
        <v>45</v>
      </c>
      <c r="H511" s="29"/>
      <c r="I511" s="29">
        <f t="shared" si="63"/>
        <v>0</v>
      </c>
      <c r="J511" s="29">
        <f t="shared" si="64"/>
        <v>0</v>
      </c>
      <c r="K511" s="357">
        <f t="shared" si="60"/>
        <v>0</v>
      </c>
      <c r="L511" s="357">
        <f t="shared" si="61"/>
        <v>0</v>
      </c>
      <c r="Z511" s="49"/>
    </row>
    <row r="512" spans="1:26" hidden="1" outlineLevel="1" x14ac:dyDescent="0.3">
      <c r="A512" s="34"/>
      <c r="B512" s="35" t="s">
        <v>503</v>
      </c>
      <c r="C512" s="161"/>
      <c r="D512" s="114" t="s">
        <v>22</v>
      </c>
      <c r="E512" s="29">
        <v>0</v>
      </c>
      <c r="F512" s="29"/>
      <c r="G512" s="30">
        <v>65</v>
      </c>
      <c r="H512" s="29"/>
      <c r="I512" s="29">
        <f t="shared" si="63"/>
        <v>0</v>
      </c>
      <c r="J512" s="29">
        <f t="shared" si="64"/>
        <v>0</v>
      </c>
      <c r="K512" s="357">
        <f t="shared" si="60"/>
        <v>0</v>
      </c>
      <c r="L512" s="357">
        <f t="shared" si="61"/>
        <v>0</v>
      </c>
      <c r="Z512" s="49"/>
    </row>
    <row r="513" spans="1:26" hidden="1" outlineLevel="1" x14ac:dyDescent="0.3">
      <c r="A513" s="34"/>
      <c r="B513" s="35" t="s">
        <v>504</v>
      </c>
      <c r="C513" s="161"/>
      <c r="D513" s="114" t="s">
        <v>22</v>
      </c>
      <c r="E513" s="29">
        <v>0</v>
      </c>
      <c r="F513" s="29"/>
      <c r="G513" s="30">
        <v>100</v>
      </c>
      <c r="H513" s="29"/>
      <c r="I513" s="29">
        <f>G513*E513</f>
        <v>0</v>
      </c>
      <c r="J513" s="29">
        <f>H513+I513</f>
        <v>0</v>
      </c>
      <c r="K513" s="357">
        <f t="shared" si="60"/>
        <v>0</v>
      </c>
      <c r="L513" s="357">
        <f t="shared" si="61"/>
        <v>0</v>
      </c>
      <c r="Z513" s="49"/>
    </row>
    <row r="514" spans="1:26" hidden="1" outlineLevel="1" x14ac:dyDescent="0.3">
      <c r="A514" s="34"/>
      <c r="B514" s="35" t="s">
        <v>505</v>
      </c>
      <c r="C514" s="161"/>
      <c r="D514" s="114" t="s">
        <v>22</v>
      </c>
      <c r="E514" s="29">
        <v>0</v>
      </c>
      <c r="F514" s="29"/>
      <c r="G514" s="30">
        <v>100</v>
      </c>
      <c r="H514" s="29"/>
      <c r="I514" s="29">
        <f>G514*E514</f>
        <v>0</v>
      </c>
      <c r="J514" s="29">
        <f>H514+I514</f>
        <v>0</v>
      </c>
      <c r="K514" s="357">
        <f t="shared" si="60"/>
        <v>0</v>
      </c>
      <c r="L514" s="357">
        <f t="shared" si="61"/>
        <v>0</v>
      </c>
      <c r="Z514" s="49"/>
    </row>
    <row r="515" spans="1:26" hidden="1" outlineLevel="1" x14ac:dyDescent="0.3">
      <c r="A515" s="34"/>
      <c r="B515" s="35" t="s">
        <v>506</v>
      </c>
      <c r="C515" s="161"/>
      <c r="D515" s="114" t="s">
        <v>458</v>
      </c>
      <c r="E515" s="29">
        <v>0</v>
      </c>
      <c r="F515" s="29"/>
      <c r="G515" s="30">
        <v>50</v>
      </c>
      <c r="H515" s="29"/>
      <c r="I515" s="29">
        <f t="shared" si="63"/>
        <v>0</v>
      </c>
      <c r="J515" s="29">
        <f t="shared" si="64"/>
        <v>0</v>
      </c>
      <c r="K515" s="357">
        <f t="shared" si="60"/>
        <v>0</v>
      </c>
      <c r="L515" s="357">
        <f t="shared" si="61"/>
        <v>0</v>
      </c>
      <c r="Z515" s="49"/>
    </row>
    <row r="516" spans="1:26" hidden="1" outlineLevel="1" x14ac:dyDescent="0.3">
      <c r="A516" s="34"/>
      <c r="B516" s="35" t="s">
        <v>507</v>
      </c>
      <c r="C516" s="161"/>
      <c r="D516" s="114" t="s">
        <v>458</v>
      </c>
      <c r="E516" s="29">
        <v>0</v>
      </c>
      <c r="F516" s="29"/>
      <c r="G516" s="30">
        <v>59</v>
      </c>
      <c r="H516" s="29"/>
      <c r="I516" s="29">
        <f t="shared" si="63"/>
        <v>0</v>
      </c>
      <c r="J516" s="29">
        <f t="shared" si="64"/>
        <v>0</v>
      </c>
      <c r="K516" s="357">
        <f t="shared" si="60"/>
        <v>0</v>
      </c>
      <c r="L516" s="357">
        <f t="shared" si="61"/>
        <v>0</v>
      </c>
      <c r="Z516" s="49"/>
    </row>
    <row r="517" spans="1:26" hidden="1" outlineLevel="1" x14ac:dyDescent="0.3">
      <c r="A517" s="34"/>
      <c r="B517" s="35" t="s">
        <v>508</v>
      </c>
      <c r="C517" s="161"/>
      <c r="D517" s="29" t="s">
        <v>458</v>
      </c>
      <c r="E517" s="29">
        <v>0</v>
      </c>
      <c r="F517" s="29"/>
      <c r="G517" s="30">
        <v>20</v>
      </c>
      <c r="H517" s="29"/>
      <c r="I517" s="29">
        <f t="shared" si="63"/>
        <v>0</v>
      </c>
      <c r="J517" s="29">
        <f t="shared" si="64"/>
        <v>0</v>
      </c>
      <c r="K517" s="357">
        <f t="shared" si="60"/>
        <v>0</v>
      </c>
      <c r="L517" s="357">
        <f t="shared" si="61"/>
        <v>0</v>
      </c>
      <c r="Z517" s="49"/>
    </row>
    <row r="518" spans="1:26" hidden="1" outlineLevel="1" x14ac:dyDescent="0.3">
      <c r="A518" s="34"/>
      <c r="B518" s="35" t="s">
        <v>220</v>
      </c>
      <c r="C518" s="161"/>
      <c r="D518" s="28" t="s">
        <v>40</v>
      </c>
      <c r="E518" s="29">
        <v>0</v>
      </c>
      <c r="F518" s="29"/>
      <c r="G518" s="30">
        <v>42</v>
      </c>
      <c r="H518" s="29"/>
      <c r="I518" s="29">
        <f t="shared" si="63"/>
        <v>0</v>
      </c>
      <c r="J518" s="29">
        <f t="shared" si="64"/>
        <v>0</v>
      </c>
      <c r="K518" s="357">
        <f t="shared" si="60"/>
        <v>0</v>
      </c>
      <c r="L518" s="357">
        <f t="shared" si="61"/>
        <v>0</v>
      </c>
      <c r="Z518" s="49"/>
    </row>
    <row r="519" spans="1:26" s="31" customFormat="1" hidden="1" outlineLevel="1" x14ac:dyDescent="0.3">
      <c r="A519" s="34" t="s">
        <v>509</v>
      </c>
      <c r="B519" s="161" t="s">
        <v>510</v>
      </c>
      <c r="C519" s="161"/>
      <c r="D519" s="28"/>
      <c r="E519" s="29"/>
      <c r="F519" s="162"/>
      <c r="G519" s="30"/>
      <c r="H519" s="29"/>
      <c r="I519" s="29"/>
      <c r="J519" s="29"/>
      <c r="K519" s="357">
        <f t="shared" si="60"/>
        <v>0</v>
      </c>
      <c r="L519" s="357">
        <f t="shared" si="61"/>
        <v>0</v>
      </c>
      <c r="Y519" s="200"/>
      <c r="Z519" s="49"/>
    </row>
    <row r="520" spans="1:26" s="31" customFormat="1" hidden="1" outlineLevel="1" x14ac:dyDescent="0.3">
      <c r="A520" s="34"/>
      <c r="B520" s="35" t="s">
        <v>511</v>
      </c>
      <c r="C520" s="161"/>
      <c r="D520" s="28" t="s">
        <v>22</v>
      </c>
      <c r="E520" s="28">
        <v>0</v>
      </c>
      <c r="F520" s="28">
        <v>0</v>
      </c>
      <c r="G520" s="50">
        <v>350</v>
      </c>
      <c r="H520" s="29">
        <f>F520</f>
        <v>0</v>
      </c>
      <c r="I520" s="29">
        <f>G520*E520</f>
        <v>0</v>
      </c>
      <c r="J520" s="29">
        <f>H520+I520</f>
        <v>0</v>
      </c>
      <c r="K520" s="357">
        <f t="shared" si="60"/>
        <v>0</v>
      </c>
      <c r="L520" s="357">
        <f t="shared" si="61"/>
        <v>0</v>
      </c>
      <c r="Y520" s="200"/>
      <c r="Z520" s="49"/>
    </row>
    <row r="521" spans="1:26" s="322" customFormat="1" outlineLevel="1" x14ac:dyDescent="0.3">
      <c r="A521" s="313" t="s">
        <v>687</v>
      </c>
      <c r="B521" s="314" t="s">
        <v>824</v>
      </c>
      <c r="C521" s="315"/>
      <c r="D521" s="316" t="s">
        <v>22</v>
      </c>
      <c r="E521" s="316">
        <v>1</v>
      </c>
      <c r="F521" s="316">
        <f>H523</f>
        <v>433333.33333333331</v>
      </c>
      <c r="G521" s="321"/>
      <c r="H521" s="316">
        <f>F521</f>
        <v>433333.33333333331</v>
      </c>
      <c r="I521" s="316"/>
      <c r="J521" s="316">
        <f>H521</f>
        <v>433333.33333333331</v>
      </c>
      <c r="K521" s="357">
        <f t="shared" si="60"/>
        <v>0</v>
      </c>
      <c r="L521" s="357">
        <f t="shared" si="61"/>
        <v>0</v>
      </c>
      <c r="Y521" s="319"/>
      <c r="Z521" s="49"/>
    </row>
    <row r="522" spans="1:26" s="322" customFormat="1" outlineLevel="1" x14ac:dyDescent="0.3">
      <c r="A522" s="313"/>
      <c r="B522" s="320" t="s">
        <v>825</v>
      </c>
      <c r="C522" s="315"/>
      <c r="D522" s="316" t="s">
        <v>826</v>
      </c>
      <c r="E522" s="316">
        <v>1</v>
      </c>
      <c r="F522" s="318"/>
      <c r="G522" s="316">
        <f>I523</f>
        <v>910000</v>
      </c>
      <c r="H522" s="316"/>
      <c r="I522" s="316">
        <f>G522</f>
        <v>910000</v>
      </c>
      <c r="J522" s="316">
        <f>I522</f>
        <v>910000</v>
      </c>
      <c r="K522" s="357">
        <f t="shared" si="60"/>
        <v>0</v>
      </c>
      <c r="L522" s="357">
        <f t="shared" si="61"/>
        <v>0</v>
      </c>
      <c r="Y522" s="319"/>
      <c r="Z522" s="49"/>
    </row>
    <row r="523" spans="1:26" s="25" customFormat="1" ht="38.4" customHeight="1" x14ac:dyDescent="0.3">
      <c r="A523" s="97" t="s">
        <v>832</v>
      </c>
      <c r="B523" s="163" t="s">
        <v>512</v>
      </c>
      <c r="C523" s="164"/>
      <c r="D523" s="164"/>
      <c r="E523" s="164"/>
      <c r="F523" s="164"/>
      <c r="G523" s="163"/>
      <c r="H523" s="164">
        <f>1000000/90*39</f>
        <v>433333.33333333331</v>
      </c>
      <c r="I523" s="164">
        <f>2100000/90*39</f>
        <v>910000</v>
      </c>
      <c r="J523" s="164">
        <f>H523+I523</f>
        <v>1343333.3333333333</v>
      </c>
      <c r="K523" s="357">
        <f t="shared" si="60"/>
        <v>0</v>
      </c>
      <c r="L523" s="357">
        <f t="shared" si="61"/>
        <v>0</v>
      </c>
      <c r="N523" s="25">
        <f>10000*90+2200000</f>
        <v>3100000</v>
      </c>
      <c r="P523" s="25">
        <f>N523-J523</f>
        <v>1756666.6666666667</v>
      </c>
      <c r="W523" s="25">
        <f>10000*90+2200000</f>
        <v>3100000</v>
      </c>
      <c r="X523" s="25">
        <f>W523-T523</f>
        <v>3100000</v>
      </c>
      <c r="Y523" s="201"/>
      <c r="Z523" s="49"/>
    </row>
    <row r="524" spans="1:26" s="25" customFormat="1" ht="18.600000000000001" customHeight="1" x14ac:dyDescent="0.3">
      <c r="A524" s="47"/>
      <c r="B524" s="121" t="s">
        <v>72</v>
      </c>
      <c r="C524" s="217"/>
      <c r="D524" s="39"/>
      <c r="E524" s="28"/>
      <c r="F524" s="28"/>
      <c r="G524" s="50"/>
      <c r="H524" s="28"/>
      <c r="I524" s="28"/>
      <c r="J524" s="28">
        <f>ROUND(J523/1.18*0.18,2)</f>
        <v>204915.25</v>
      </c>
      <c r="K524" s="357">
        <f t="shared" si="60"/>
        <v>0</v>
      </c>
      <c r="L524" s="357">
        <f t="shared" si="61"/>
        <v>0</v>
      </c>
      <c r="Y524" s="201"/>
      <c r="Z524" s="49"/>
    </row>
    <row r="525" spans="1:26" s="25" customFormat="1" ht="18.75" customHeight="1" x14ac:dyDescent="0.3">
      <c r="A525" s="165"/>
      <c r="B525" s="90" t="s">
        <v>513</v>
      </c>
      <c r="C525" s="213"/>
      <c r="D525" s="166"/>
      <c r="E525" s="167"/>
      <c r="F525" s="168"/>
      <c r="G525" s="169"/>
      <c r="H525" s="167"/>
      <c r="I525" s="167"/>
      <c r="J525" s="159"/>
      <c r="K525" s="357">
        <f t="shared" si="60"/>
        <v>0</v>
      </c>
      <c r="L525" s="357">
        <f t="shared" si="61"/>
        <v>0</v>
      </c>
      <c r="Y525" s="201"/>
      <c r="Z525" s="49"/>
    </row>
    <row r="526" spans="1:26" hidden="1" outlineLevel="1" x14ac:dyDescent="0.3">
      <c r="A526" s="170" t="s">
        <v>364</v>
      </c>
      <c r="B526" s="127" t="s">
        <v>514</v>
      </c>
      <c r="C526" s="135"/>
      <c r="D526" s="135" t="s">
        <v>22</v>
      </c>
      <c r="E526" s="135">
        <v>0</v>
      </c>
      <c r="F526" s="135">
        <v>1500</v>
      </c>
      <c r="G526" s="152"/>
      <c r="H526" s="29">
        <f>ROUND(F526*E526,2)</f>
        <v>0</v>
      </c>
      <c r="I526" s="153"/>
      <c r="J526" s="153">
        <f>H526+I526</f>
        <v>0</v>
      </c>
      <c r="K526" s="357">
        <f t="shared" si="60"/>
        <v>0</v>
      </c>
      <c r="L526" s="357">
        <f t="shared" si="61"/>
        <v>0</v>
      </c>
      <c r="Z526" s="49"/>
    </row>
    <row r="527" spans="1:26" hidden="1" outlineLevel="1" x14ac:dyDescent="0.3">
      <c r="A527" s="34"/>
      <c r="B527" s="113" t="s">
        <v>515</v>
      </c>
      <c r="C527" s="118"/>
      <c r="D527" s="114" t="s">
        <v>485</v>
      </c>
      <c r="E527" s="29">
        <v>0</v>
      </c>
      <c r="F527" s="29"/>
      <c r="G527" s="30">
        <v>31000</v>
      </c>
      <c r="H527" s="29"/>
      <c r="I527" s="29">
        <f>ROUND(E527*G527,2)</f>
        <v>0</v>
      </c>
      <c r="J527" s="29">
        <f>H527+I527</f>
        <v>0</v>
      </c>
      <c r="K527" s="357">
        <f t="shared" si="60"/>
        <v>0</v>
      </c>
      <c r="L527" s="357">
        <f t="shared" si="61"/>
        <v>0</v>
      </c>
      <c r="Z527" s="49"/>
    </row>
    <row r="528" spans="1:26" hidden="1" outlineLevel="1" x14ac:dyDescent="0.3">
      <c r="A528" s="34" t="s">
        <v>368</v>
      </c>
      <c r="B528" s="39" t="s">
        <v>516</v>
      </c>
      <c r="C528" s="28"/>
      <c r="D528" s="28" t="s">
        <v>517</v>
      </c>
      <c r="E528" s="28">
        <v>0</v>
      </c>
      <c r="F528" s="28">
        <v>75</v>
      </c>
      <c r="G528" s="30"/>
      <c r="H528" s="29">
        <f>ROUND(F528*E528,2)</f>
        <v>0</v>
      </c>
      <c r="I528" s="29"/>
      <c r="J528" s="29">
        <f t="shared" ref="J528:J574" si="65">H528+I528</f>
        <v>0</v>
      </c>
      <c r="K528" s="357">
        <f t="shared" si="60"/>
        <v>0</v>
      </c>
      <c r="L528" s="357">
        <f t="shared" si="61"/>
        <v>0</v>
      </c>
      <c r="Z528" s="49"/>
    </row>
    <row r="529" spans="1:26" hidden="1" outlineLevel="1" x14ac:dyDescent="0.3">
      <c r="A529" s="34"/>
      <c r="B529" s="111" t="s">
        <v>518</v>
      </c>
      <c r="C529" s="154"/>
      <c r="D529" s="114" t="s">
        <v>517</v>
      </c>
      <c r="E529" s="29">
        <v>0</v>
      </c>
      <c r="F529" s="29"/>
      <c r="G529" s="30">
        <v>240</v>
      </c>
      <c r="H529" s="29"/>
      <c r="I529" s="29">
        <f>ROUND(E529*G529,2)</f>
        <v>0</v>
      </c>
      <c r="J529" s="29">
        <f t="shared" si="65"/>
        <v>0</v>
      </c>
      <c r="K529" s="357">
        <f t="shared" si="60"/>
        <v>0</v>
      </c>
      <c r="L529" s="357">
        <f t="shared" si="61"/>
        <v>0</v>
      </c>
      <c r="Z529" s="49"/>
    </row>
    <row r="530" spans="1:26" hidden="1" outlineLevel="1" x14ac:dyDescent="0.3">
      <c r="A530" s="34" t="s">
        <v>371</v>
      </c>
      <c r="B530" s="39" t="s">
        <v>519</v>
      </c>
      <c r="C530" s="28"/>
      <c r="D530" s="28" t="s">
        <v>22</v>
      </c>
      <c r="E530" s="28">
        <v>0</v>
      </c>
      <c r="F530" s="28">
        <v>600</v>
      </c>
      <c r="G530" s="30"/>
      <c r="H530" s="29">
        <f>ROUND(F530*E530,2)</f>
        <v>0</v>
      </c>
      <c r="I530" s="29"/>
      <c r="J530" s="29">
        <f t="shared" si="65"/>
        <v>0</v>
      </c>
      <c r="K530" s="357">
        <f t="shared" si="60"/>
        <v>0</v>
      </c>
      <c r="L530" s="357">
        <f t="shared" si="61"/>
        <v>0</v>
      </c>
      <c r="Z530" s="49"/>
    </row>
    <row r="531" spans="1:26" ht="31.2" hidden="1" outlineLevel="1" x14ac:dyDescent="0.3">
      <c r="A531" s="34"/>
      <c r="B531" s="113" t="s">
        <v>520</v>
      </c>
      <c r="C531" s="118"/>
      <c r="D531" s="114" t="s">
        <v>22</v>
      </c>
      <c r="E531" s="29">
        <v>0</v>
      </c>
      <c r="F531" s="29"/>
      <c r="G531" s="30">
        <v>950</v>
      </c>
      <c r="H531" s="29"/>
      <c r="I531" s="29">
        <f>ROUND(E531*G531,2)</f>
        <v>0</v>
      </c>
      <c r="J531" s="29">
        <f t="shared" si="65"/>
        <v>0</v>
      </c>
      <c r="K531" s="357">
        <f t="shared" si="60"/>
        <v>0</v>
      </c>
      <c r="L531" s="357">
        <f t="shared" si="61"/>
        <v>0</v>
      </c>
      <c r="Z531" s="49"/>
    </row>
    <row r="532" spans="1:26" ht="31.2" hidden="1" outlineLevel="1" x14ac:dyDescent="0.3">
      <c r="A532" s="34" t="s">
        <v>376</v>
      </c>
      <c r="B532" s="39" t="s">
        <v>521</v>
      </c>
      <c r="C532" s="28"/>
      <c r="D532" s="28" t="s">
        <v>458</v>
      </c>
      <c r="E532" s="28">
        <v>0</v>
      </c>
      <c r="F532" s="28">
        <v>60</v>
      </c>
      <c r="G532" s="30"/>
      <c r="H532" s="29">
        <f>ROUND(F532*E532,2)</f>
        <v>0</v>
      </c>
      <c r="I532" s="29"/>
      <c r="J532" s="29">
        <f t="shared" si="65"/>
        <v>0</v>
      </c>
      <c r="K532" s="357">
        <f t="shared" ref="K532:K595" si="66">IF(H532&gt;0,Z532,0)</f>
        <v>0</v>
      </c>
      <c r="L532" s="357">
        <f t="shared" ref="L532:L595" si="67">IF(I532&gt;0,Z532,0)</f>
        <v>0</v>
      </c>
      <c r="Z532" s="49"/>
    </row>
    <row r="533" spans="1:26" ht="31.2" hidden="1" outlineLevel="1" x14ac:dyDescent="0.3">
      <c r="A533" s="34"/>
      <c r="B533" s="113" t="s">
        <v>522</v>
      </c>
      <c r="C533" s="118"/>
      <c r="D533" s="114" t="s">
        <v>458</v>
      </c>
      <c r="E533" s="29">
        <v>0</v>
      </c>
      <c r="F533" s="29"/>
      <c r="G533" s="30">
        <v>40</v>
      </c>
      <c r="H533" s="29"/>
      <c r="I533" s="29">
        <f t="shared" ref="I533:I539" si="68">ROUND(E533*G533,2)</f>
        <v>0</v>
      </c>
      <c r="J533" s="29">
        <f t="shared" si="65"/>
        <v>0</v>
      </c>
      <c r="K533" s="357">
        <f t="shared" si="66"/>
        <v>0</v>
      </c>
      <c r="L533" s="357">
        <f t="shared" si="67"/>
        <v>0</v>
      </c>
      <c r="Z533" s="49"/>
    </row>
    <row r="534" spans="1:26" hidden="1" outlineLevel="1" x14ac:dyDescent="0.3">
      <c r="A534" s="34"/>
      <c r="B534" s="111" t="s">
        <v>523</v>
      </c>
      <c r="C534" s="154"/>
      <c r="D534" s="114" t="s">
        <v>22</v>
      </c>
      <c r="E534" s="29">
        <v>0</v>
      </c>
      <c r="F534" s="29"/>
      <c r="G534" s="30">
        <v>98.64</v>
      </c>
      <c r="H534" s="29"/>
      <c r="I534" s="29">
        <f t="shared" si="68"/>
        <v>0</v>
      </c>
      <c r="J534" s="29">
        <f t="shared" si="65"/>
        <v>0</v>
      </c>
      <c r="K534" s="357">
        <f t="shared" si="66"/>
        <v>0</v>
      </c>
      <c r="L534" s="357">
        <f t="shared" si="67"/>
        <v>0</v>
      </c>
      <c r="Z534" s="49"/>
    </row>
    <row r="535" spans="1:26" ht="31.2" hidden="1" outlineLevel="1" x14ac:dyDescent="0.3">
      <c r="A535" s="34"/>
      <c r="B535" s="111" t="s">
        <v>524</v>
      </c>
      <c r="C535" s="154"/>
      <c r="D535" s="114" t="s">
        <v>22</v>
      </c>
      <c r="E535" s="29">
        <v>0</v>
      </c>
      <c r="F535" s="29"/>
      <c r="G535" s="30">
        <v>145.03</v>
      </c>
      <c r="H535" s="29"/>
      <c r="I535" s="29">
        <f t="shared" si="68"/>
        <v>0</v>
      </c>
      <c r="J535" s="29">
        <f t="shared" si="65"/>
        <v>0</v>
      </c>
      <c r="K535" s="357">
        <f t="shared" si="66"/>
        <v>0</v>
      </c>
      <c r="L535" s="357">
        <f t="shared" si="67"/>
        <v>0</v>
      </c>
      <c r="Z535" s="49"/>
    </row>
    <row r="536" spans="1:26" ht="31.2" hidden="1" outlineLevel="1" x14ac:dyDescent="0.3">
      <c r="A536" s="34"/>
      <c r="B536" s="113" t="s">
        <v>525</v>
      </c>
      <c r="C536" s="118"/>
      <c r="D536" s="114" t="s">
        <v>22</v>
      </c>
      <c r="E536" s="29">
        <v>0</v>
      </c>
      <c r="F536" s="29"/>
      <c r="G536" s="30">
        <v>450</v>
      </c>
      <c r="H536" s="29"/>
      <c r="I536" s="29">
        <f t="shared" si="68"/>
        <v>0</v>
      </c>
      <c r="J536" s="29">
        <f>H536+I536</f>
        <v>0</v>
      </c>
      <c r="K536" s="357">
        <f t="shared" si="66"/>
        <v>0</v>
      </c>
      <c r="L536" s="357">
        <f t="shared" si="67"/>
        <v>0</v>
      </c>
      <c r="Z536" s="49"/>
    </row>
    <row r="537" spans="1:26" ht="31.2" hidden="1" outlineLevel="1" x14ac:dyDescent="0.3">
      <c r="A537" s="34"/>
      <c r="B537" s="113" t="s">
        <v>526</v>
      </c>
      <c r="C537" s="118"/>
      <c r="D537" s="114" t="s">
        <v>22</v>
      </c>
      <c r="E537" s="29">
        <v>0</v>
      </c>
      <c r="F537" s="29"/>
      <c r="G537" s="30">
        <v>450</v>
      </c>
      <c r="H537" s="29"/>
      <c r="I537" s="29">
        <f t="shared" si="68"/>
        <v>0</v>
      </c>
      <c r="J537" s="29">
        <f>H537+I537</f>
        <v>0</v>
      </c>
      <c r="K537" s="357">
        <f t="shared" si="66"/>
        <v>0</v>
      </c>
      <c r="L537" s="357">
        <f t="shared" si="67"/>
        <v>0</v>
      </c>
      <c r="Z537" s="49"/>
    </row>
    <row r="538" spans="1:26" hidden="1" outlineLevel="1" x14ac:dyDescent="0.3">
      <c r="A538" s="34"/>
      <c r="B538" s="111" t="s">
        <v>527</v>
      </c>
      <c r="C538" s="154"/>
      <c r="D538" s="114" t="s">
        <v>22</v>
      </c>
      <c r="E538" s="29">
        <v>0</v>
      </c>
      <c r="F538" s="29"/>
      <c r="G538" s="30">
        <v>470</v>
      </c>
      <c r="H538" s="29"/>
      <c r="I538" s="29">
        <f t="shared" si="68"/>
        <v>0</v>
      </c>
      <c r="J538" s="29">
        <f t="shared" si="65"/>
        <v>0</v>
      </c>
      <c r="K538" s="357">
        <f t="shared" si="66"/>
        <v>0</v>
      </c>
      <c r="L538" s="357">
        <f t="shared" si="67"/>
        <v>0</v>
      </c>
      <c r="Z538" s="49"/>
    </row>
    <row r="539" spans="1:26" hidden="1" outlineLevel="1" x14ac:dyDescent="0.3">
      <c r="A539" s="34"/>
      <c r="B539" s="111" t="s">
        <v>528</v>
      </c>
      <c r="C539" s="154"/>
      <c r="D539" s="114" t="s">
        <v>22</v>
      </c>
      <c r="E539" s="29">
        <v>0</v>
      </c>
      <c r="F539" s="29"/>
      <c r="G539" s="30">
        <v>1.5</v>
      </c>
      <c r="H539" s="29"/>
      <c r="I539" s="29">
        <f t="shared" si="68"/>
        <v>0</v>
      </c>
      <c r="J539" s="29">
        <f t="shared" si="65"/>
        <v>0</v>
      </c>
      <c r="K539" s="357">
        <f t="shared" si="66"/>
        <v>0</v>
      </c>
      <c r="L539" s="357">
        <f t="shared" si="67"/>
        <v>0</v>
      </c>
      <c r="Z539" s="49"/>
    </row>
    <row r="540" spans="1:26" hidden="1" outlineLevel="1" x14ac:dyDescent="0.3">
      <c r="A540" s="34"/>
      <c r="B540" s="111" t="s">
        <v>529</v>
      </c>
      <c r="C540" s="154"/>
      <c r="D540" s="114" t="s">
        <v>458</v>
      </c>
      <c r="E540" s="29">
        <v>0</v>
      </c>
      <c r="F540" s="29"/>
      <c r="G540" s="30">
        <v>100</v>
      </c>
      <c r="H540" s="29"/>
      <c r="I540" s="29">
        <f>ROUND(E540*G540,2)</f>
        <v>0</v>
      </c>
      <c r="J540" s="29">
        <f>H540+I540</f>
        <v>0</v>
      </c>
      <c r="K540" s="357">
        <f t="shared" si="66"/>
        <v>0</v>
      </c>
      <c r="L540" s="357">
        <f t="shared" si="67"/>
        <v>0</v>
      </c>
      <c r="Z540" s="49"/>
    </row>
    <row r="541" spans="1:26" ht="18" hidden="1" customHeight="1" outlineLevel="1" x14ac:dyDescent="0.3">
      <c r="A541" s="34"/>
      <c r="B541" s="111" t="s">
        <v>530</v>
      </c>
      <c r="C541" s="154"/>
      <c r="D541" s="114" t="s">
        <v>22</v>
      </c>
      <c r="E541" s="29">
        <v>0</v>
      </c>
      <c r="F541" s="29"/>
      <c r="G541" s="30">
        <v>100</v>
      </c>
      <c r="H541" s="29"/>
      <c r="I541" s="29">
        <f>ROUND(E541*G541,2)</f>
        <v>0</v>
      </c>
      <c r="J541" s="29">
        <f>H541+I541</f>
        <v>0</v>
      </c>
      <c r="K541" s="357">
        <f t="shared" si="66"/>
        <v>0</v>
      </c>
      <c r="L541" s="357">
        <f t="shared" si="67"/>
        <v>0</v>
      </c>
      <c r="Z541" s="49"/>
    </row>
    <row r="542" spans="1:26" ht="31.2" hidden="1" outlineLevel="1" x14ac:dyDescent="0.3">
      <c r="A542" s="34" t="s">
        <v>384</v>
      </c>
      <c r="B542" s="27" t="s">
        <v>531</v>
      </c>
      <c r="C542" s="161"/>
      <c r="D542" s="28" t="s">
        <v>22</v>
      </c>
      <c r="E542" s="28">
        <f>E543</f>
        <v>0</v>
      </c>
      <c r="F542" s="28">
        <v>300</v>
      </c>
      <c r="G542" s="30"/>
      <c r="H542" s="29">
        <f>ROUND(F542*E542,2)</f>
        <v>0</v>
      </c>
      <c r="I542" s="29"/>
      <c r="J542" s="29">
        <f t="shared" si="65"/>
        <v>0</v>
      </c>
      <c r="K542" s="357">
        <f t="shared" si="66"/>
        <v>0</v>
      </c>
      <c r="L542" s="357">
        <f t="shared" si="67"/>
        <v>0</v>
      </c>
      <c r="Z542" s="49"/>
    </row>
    <row r="543" spans="1:26" hidden="1" outlineLevel="1" x14ac:dyDescent="0.3">
      <c r="A543" s="34"/>
      <c r="B543" s="35" t="s">
        <v>532</v>
      </c>
      <c r="C543" s="161"/>
      <c r="D543" s="29" t="s">
        <v>22</v>
      </c>
      <c r="E543" s="29">
        <v>0</v>
      </c>
      <c r="F543" s="29"/>
      <c r="G543" s="30">
        <f>2500*1.1</f>
        <v>2750</v>
      </c>
      <c r="H543" s="29"/>
      <c r="I543" s="29">
        <f>ROUND(E543*G543,2)</f>
        <v>0</v>
      </c>
      <c r="J543" s="29">
        <f t="shared" si="65"/>
        <v>0</v>
      </c>
      <c r="K543" s="357">
        <f t="shared" si="66"/>
        <v>0</v>
      </c>
      <c r="L543" s="357">
        <f t="shared" si="67"/>
        <v>0</v>
      </c>
      <c r="Z543" s="49"/>
    </row>
    <row r="544" spans="1:26" s="322" customFormat="1" outlineLevel="1" x14ac:dyDescent="0.3">
      <c r="A544" s="313" t="s">
        <v>827</v>
      </c>
      <c r="B544" s="314" t="s">
        <v>824</v>
      </c>
      <c r="C544" s="315"/>
      <c r="D544" s="316" t="s">
        <v>22</v>
      </c>
      <c r="E544" s="316">
        <v>1</v>
      </c>
      <c r="F544" s="316">
        <f>680000/90*39</f>
        <v>294666.66666666669</v>
      </c>
      <c r="G544" s="321"/>
      <c r="H544" s="316">
        <f>F544</f>
        <v>294666.66666666669</v>
      </c>
      <c r="I544" s="316"/>
      <c r="J544" s="316">
        <f>H544</f>
        <v>294666.66666666669</v>
      </c>
      <c r="K544" s="357">
        <f t="shared" si="66"/>
        <v>0</v>
      </c>
      <c r="L544" s="357">
        <f t="shared" si="67"/>
        <v>0</v>
      </c>
      <c r="Y544" s="319"/>
      <c r="Z544" s="49"/>
    </row>
    <row r="545" spans="1:26" s="322" customFormat="1" outlineLevel="1" x14ac:dyDescent="0.3">
      <c r="A545" s="313"/>
      <c r="B545" s="320" t="s">
        <v>825</v>
      </c>
      <c r="C545" s="315"/>
      <c r="D545" s="316" t="s">
        <v>826</v>
      </c>
      <c r="E545" s="316">
        <v>1</v>
      </c>
      <c r="F545" s="318"/>
      <c r="G545" s="316">
        <f>3540000/90*39</f>
        <v>1534000</v>
      </c>
      <c r="H545" s="316"/>
      <c r="I545" s="316">
        <f>G545</f>
        <v>1534000</v>
      </c>
      <c r="J545" s="316">
        <f>I545</f>
        <v>1534000</v>
      </c>
      <c r="K545" s="357">
        <f t="shared" si="66"/>
        <v>0</v>
      </c>
      <c r="L545" s="357">
        <f t="shared" si="67"/>
        <v>0</v>
      </c>
      <c r="Y545" s="319"/>
      <c r="Z545" s="49"/>
    </row>
    <row r="546" spans="1:26" x14ac:dyDescent="0.3">
      <c r="A546" s="97" t="s">
        <v>832</v>
      </c>
      <c r="B546" s="171" t="s">
        <v>533</v>
      </c>
      <c r="C546" s="223"/>
      <c r="D546" s="164"/>
      <c r="E546" s="164"/>
      <c r="F546" s="164"/>
      <c r="G546" s="163"/>
      <c r="H546" s="164">
        <f>680000/90*39</f>
        <v>294666.66666666669</v>
      </c>
      <c r="I546" s="164">
        <f>3540000/90*39</f>
        <v>1534000</v>
      </c>
      <c r="J546" s="164">
        <f>H546+I546</f>
        <v>1828666.6666666667</v>
      </c>
      <c r="K546" s="357">
        <f t="shared" si="66"/>
        <v>0</v>
      </c>
      <c r="L546" s="357">
        <f t="shared" si="67"/>
        <v>0</v>
      </c>
      <c r="N546" s="18">
        <f>90*26000+1300000+90*6000</f>
        <v>4180000</v>
      </c>
      <c r="P546" s="25">
        <f>N546-J546</f>
        <v>2351333.333333333</v>
      </c>
      <c r="S546" s="25"/>
      <c r="V546" s="25"/>
      <c r="W546" s="18">
        <f>90*26000+1300000+90*6000</f>
        <v>4180000</v>
      </c>
      <c r="X546" s="25">
        <f>W546-T546</f>
        <v>4180000</v>
      </c>
      <c r="Z546" s="49"/>
    </row>
    <row r="547" spans="1:26" s="25" customFormat="1" ht="18.600000000000001" customHeight="1" x14ac:dyDescent="0.3">
      <c r="A547" s="47"/>
      <c r="B547" s="121" t="s">
        <v>72</v>
      </c>
      <c r="C547" s="217"/>
      <c r="D547" s="39"/>
      <c r="E547" s="28"/>
      <c r="F547" s="28"/>
      <c r="G547" s="50"/>
      <c r="H547" s="28"/>
      <c r="I547" s="28"/>
      <c r="J547" s="28">
        <f>ROUND(J546/1.18*0.18,2)</f>
        <v>278949.15000000002</v>
      </c>
      <c r="K547" s="357">
        <f t="shared" si="66"/>
        <v>0</v>
      </c>
      <c r="L547" s="357">
        <f t="shared" si="67"/>
        <v>0</v>
      </c>
      <c r="Y547" s="201"/>
      <c r="Z547" s="49"/>
    </row>
    <row r="548" spans="1:26" s="31" customFormat="1" x14ac:dyDescent="0.3">
      <c r="A548" s="172"/>
      <c r="B548" s="90" t="s">
        <v>534</v>
      </c>
      <c r="C548" s="213"/>
      <c r="D548" s="173"/>
      <c r="E548" s="158"/>
      <c r="F548" s="174"/>
      <c r="G548" s="175"/>
      <c r="H548" s="158"/>
      <c r="I548" s="158"/>
      <c r="J548" s="158"/>
      <c r="K548" s="357">
        <f t="shared" si="66"/>
        <v>0</v>
      </c>
      <c r="L548" s="357">
        <f t="shared" si="67"/>
        <v>0</v>
      </c>
      <c r="Y548" s="200"/>
      <c r="Z548" s="49"/>
    </row>
    <row r="549" spans="1:26" ht="31.2" hidden="1" outlineLevel="1" x14ac:dyDescent="0.3">
      <c r="A549" s="34" t="s">
        <v>389</v>
      </c>
      <c r="B549" s="131" t="s">
        <v>535</v>
      </c>
      <c r="C549" s="176"/>
      <c r="D549" s="161" t="s">
        <v>458</v>
      </c>
      <c r="E549" s="28">
        <f>E550+E551</f>
        <v>0</v>
      </c>
      <c r="F549" s="28">
        <v>150</v>
      </c>
      <c r="G549" s="30"/>
      <c r="H549" s="29">
        <f>ROUND(F549*E549,2)</f>
        <v>0</v>
      </c>
      <c r="I549" s="29"/>
      <c r="J549" s="29">
        <f>H549+I549</f>
        <v>0</v>
      </c>
      <c r="K549" s="357">
        <f t="shared" si="66"/>
        <v>0</v>
      </c>
      <c r="L549" s="357">
        <f t="shared" si="67"/>
        <v>0</v>
      </c>
      <c r="Z549" s="49"/>
    </row>
    <row r="550" spans="1:26" ht="31.2" hidden="1" outlineLevel="1" x14ac:dyDescent="0.3">
      <c r="A550" s="34"/>
      <c r="B550" s="35" t="s">
        <v>536</v>
      </c>
      <c r="C550" s="161"/>
      <c r="D550" s="114" t="s">
        <v>458</v>
      </c>
      <c r="E550" s="29">
        <v>0</v>
      </c>
      <c r="F550" s="29"/>
      <c r="G550" s="30">
        <f>(0.2+0.2+0.15+0.15)*500</f>
        <v>350.00000000000006</v>
      </c>
      <c r="H550" s="29"/>
      <c r="I550" s="29">
        <f>ROUND(E550*G550,2)</f>
        <v>0</v>
      </c>
      <c r="J550" s="29">
        <f>H550+I550</f>
        <v>0</v>
      </c>
      <c r="K550" s="357">
        <f t="shared" si="66"/>
        <v>0</v>
      </c>
      <c r="L550" s="357">
        <f t="shared" si="67"/>
        <v>0</v>
      </c>
      <c r="Z550" s="49"/>
    </row>
    <row r="551" spans="1:26" ht="31.2" hidden="1" outlineLevel="1" x14ac:dyDescent="0.3">
      <c r="A551" s="34"/>
      <c r="B551" s="35" t="s">
        <v>537</v>
      </c>
      <c r="C551" s="161"/>
      <c r="D551" s="114" t="s">
        <v>458</v>
      </c>
      <c r="E551" s="29">
        <v>0</v>
      </c>
      <c r="F551" s="29"/>
      <c r="G551" s="30">
        <f>0.15*4*500</f>
        <v>300</v>
      </c>
      <c r="H551" s="29"/>
      <c r="I551" s="29">
        <f>ROUND(E551*G551,2)</f>
        <v>0</v>
      </c>
      <c r="J551" s="29">
        <f>H551+I551</f>
        <v>0</v>
      </c>
      <c r="K551" s="357">
        <f t="shared" si="66"/>
        <v>0</v>
      </c>
      <c r="L551" s="357">
        <f t="shared" si="67"/>
        <v>0</v>
      </c>
      <c r="Z551" s="49"/>
    </row>
    <row r="552" spans="1:26" ht="31.2" hidden="1" outlineLevel="1" x14ac:dyDescent="0.3">
      <c r="A552" s="34"/>
      <c r="B552" s="35" t="s">
        <v>538</v>
      </c>
      <c r="C552" s="161"/>
      <c r="D552" s="114" t="s">
        <v>458</v>
      </c>
      <c r="E552" s="29">
        <v>0</v>
      </c>
      <c r="F552" s="29"/>
      <c r="G552" s="30">
        <f>0.15*4*500</f>
        <v>300</v>
      </c>
      <c r="H552" s="29"/>
      <c r="I552" s="29">
        <f>ROUND(E552*G552,2)</f>
        <v>0</v>
      </c>
      <c r="J552" s="29">
        <f>H552+I552</f>
        <v>0</v>
      </c>
      <c r="K552" s="357">
        <f t="shared" si="66"/>
        <v>0</v>
      </c>
      <c r="L552" s="357">
        <f t="shared" si="67"/>
        <v>0</v>
      </c>
      <c r="Z552" s="49"/>
    </row>
    <row r="553" spans="1:26" hidden="1" outlineLevel="1" x14ac:dyDescent="0.3">
      <c r="A553" s="34" t="s">
        <v>392</v>
      </c>
      <c r="B553" s="39" t="s">
        <v>539</v>
      </c>
      <c r="C553" s="28"/>
      <c r="D553" s="28" t="s">
        <v>22</v>
      </c>
      <c r="E553" s="28">
        <f>E554+E555+E556+E559+E557+E558</f>
        <v>0</v>
      </c>
      <c r="F553" s="28">
        <v>50</v>
      </c>
      <c r="G553" s="30"/>
      <c r="H553" s="29">
        <f>ROUND(F553*E553,2)</f>
        <v>0</v>
      </c>
      <c r="I553" s="29"/>
      <c r="J553" s="29">
        <f t="shared" si="65"/>
        <v>0</v>
      </c>
      <c r="K553" s="357">
        <f t="shared" si="66"/>
        <v>0</v>
      </c>
      <c r="L553" s="357">
        <f t="shared" si="67"/>
        <v>0</v>
      </c>
      <c r="Z553" s="49"/>
    </row>
    <row r="554" spans="1:26" hidden="1" outlineLevel="1" x14ac:dyDescent="0.3">
      <c r="A554" s="34"/>
      <c r="B554" s="113" t="s">
        <v>540</v>
      </c>
      <c r="C554" s="118"/>
      <c r="D554" s="114" t="s">
        <v>22</v>
      </c>
      <c r="E554" s="29">
        <v>0</v>
      </c>
      <c r="F554" s="29"/>
      <c r="G554" s="30">
        <v>100</v>
      </c>
      <c r="H554" s="29"/>
      <c r="I554" s="29">
        <f t="shared" ref="I554:I566" si="69">ROUND(E554*G554,2)</f>
        <v>0</v>
      </c>
      <c r="J554" s="29">
        <f t="shared" si="65"/>
        <v>0</v>
      </c>
      <c r="K554" s="357">
        <f t="shared" si="66"/>
        <v>0</v>
      </c>
      <c r="L554" s="357">
        <f t="shared" si="67"/>
        <v>0</v>
      </c>
      <c r="Z554" s="49"/>
    </row>
    <row r="555" spans="1:26" hidden="1" outlineLevel="1" x14ac:dyDescent="0.3">
      <c r="A555" s="34"/>
      <c r="B555" s="113" t="s">
        <v>541</v>
      </c>
      <c r="C555" s="118"/>
      <c r="D555" s="114" t="s">
        <v>22</v>
      </c>
      <c r="E555" s="29">
        <v>0</v>
      </c>
      <c r="F555" s="29"/>
      <c r="G555" s="30">
        <v>100</v>
      </c>
      <c r="H555" s="29"/>
      <c r="I555" s="29">
        <f t="shared" si="69"/>
        <v>0</v>
      </c>
      <c r="J555" s="29">
        <f t="shared" si="65"/>
        <v>0</v>
      </c>
      <c r="K555" s="357">
        <f t="shared" si="66"/>
        <v>0</v>
      </c>
      <c r="L555" s="357">
        <f t="shared" si="67"/>
        <v>0</v>
      </c>
      <c r="Z555" s="49"/>
    </row>
    <row r="556" spans="1:26" hidden="1" outlineLevel="1" x14ac:dyDescent="0.3">
      <c r="A556" s="34"/>
      <c r="B556" s="113" t="s">
        <v>542</v>
      </c>
      <c r="C556" s="118"/>
      <c r="D556" s="114" t="s">
        <v>22</v>
      </c>
      <c r="E556" s="29">
        <v>0</v>
      </c>
      <c r="F556" s="29"/>
      <c r="G556" s="30">
        <v>150</v>
      </c>
      <c r="H556" s="29"/>
      <c r="I556" s="29">
        <f t="shared" si="69"/>
        <v>0</v>
      </c>
      <c r="J556" s="29">
        <f t="shared" si="65"/>
        <v>0</v>
      </c>
      <c r="K556" s="357">
        <f t="shared" si="66"/>
        <v>0</v>
      </c>
      <c r="L556" s="357">
        <f t="shared" si="67"/>
        <v>0</v>
      </c>
      <c r="Z556" s="49"/>
    </row>
    <row r="557" spans="1:26" hidden="1" outlineLevel="1" x14ac:dyDescent="0.3">
      <c r="A557" s="34"/>
      <c r="B557" s="113" t="s">
        <v>543</v>
      </c>
      <c r="C557" s="118"/>
      <c r="D557" s="114" t="s">
        <v>22</v>
      </c>
      <c r="E557" s="29">
        <v>0</v>
      </c>
      <c r="F557" s="29"/>
      <c r="G557" s="30">
        <v>200</v>
      </c>
      <c r="H557" s="29"/>
      <c r="I557" s="29">
        <f t="shared" si="69"/>
        <v>0</v>
      </c>
      <c r="J557" s="29">
        <f t="shared" si="65"/>
        <v>0</v>
      </c>
      <c r="K557" s="357">
        <f t="shared" si="66"/>
        <v>0</v>
      </c>
      <c r="L557" s="357">
        <f t="shared" si="67"/>
        <v>0</v>
      </c>
      <c r="Z557" s="49"/>
    </row>
    <row r="558" spans="1:26" hidden="1" outlineLevel="1" x14ac:dyDescent="0.3">
      <c r="A558" s="34"/>
      <c r="B558" s="113" t="s">
        <v>544</v>
      </c>
      <c r="C558" s="118"/>
      <c r="D558" s="114" t="s">
        <v>22</v>
      </c>
      <c r="E558" s="29">
        <v>0</v>
      </c>
      <c r="F558" s="29"/>
      <c r="G558" s="30">
        <v>100</v>
      </c>
      <c r="H558" s="29"/>
      <c r="I558" s="29">
        <f t="shared" si="69"/>
        <v>0</v>
      </c>
      <c r="J558" s="29">
        <f t="shared" si="65"/>
        <v>0</v>
      </c>
      <c r="K558" s="357">
        <f t="shared" si="66"/>
        <v>0</v>
      </c>
      <c r="L558" s="357">
        <f t="shared" si="67"/>
        <v>0</v>
      </c>
      <c r="Z558" s="49"/>
    </row>
    <row r="559" spans="1:26" hidden="1" outlineLevel="1" x14ac:dyDescent="0.3">
      <c r="A559" s="34"/>
      <c r="B559" s="113" t="s">
        <v>545</v>
      </c>
      <c r="C559" s="118"/>
      <c r="D559" s="114" t="s">
        <v>22</v>
      </c>
      <c r="E559" s="29">
        <v>0</v>
      </c>
      <c r="F559" s="29"/>
      <c r="G559" s="30">
        <v>1800</v>
      </c>
      <c r="H559" s="29"/>
      <c r="I559" s="29">
        <f t="shared" si="69"/>
        <v>0</v>
      </c>
      <c r="J559" s="29">
        <f t="shared" si="65"/>
        <v>0</v>
      </c>
      <c r="K559" s="357">
        <f t="shared" si="66"/>
        <v>0</v>
      </c>
      <c r="L559" s="357">
        <f t="shared" si="67"/>
        <v>0</v>
      </c>
      <c r="Z559" s="49"/>
    </row>
    <row r="560" spans="1:26" hidden="1" outlineLevel="1" x14ac:dyDescent="0.3">
      <c r="A560" s="34"/>
      <c r="B560" s="113" t="s">
        <v>546</v>
      </c>
      <c r="C560" s="118"/>
      <c r="D560" s="114" t="s">
        <v>22</v>
      </c>
      <c r="E560" s="29">
        <v>0</v>
      </c>
      <c r="F560" s="29"/>
      <c r="G560" s="30">
        <v>2000</v>
      </c>
      <c r="H560" s="29"/>
      <c r="I560" s="29">
        <f>ROUND(E560*G560,2)</f>
        <v>0</v>
      </c>
      <c r="J560" s="29">
        <f>H560+I560</f>
        <v>0</v>
      </c>
      <c r="K560" s="357">
        <f t="shared" si="66"/>
        <v>0</v>
      </c>
      <c r="L560" s="357">
        <f t="shared" si="67"/>
        <v>0</v>
      </c>
      <c r="Z560" s="49"/>
    </row>
    <row r="561" spans="1:26" hidden="1" outlineLevel="1" x14ac:dyDescent="0.3">
      <c r="A561" s="34"/>
      <c r="B561" s="113" t="s">
        <v>547</v>
      </c>
      <c r="C561" s="118"/>
      <c r="D561" s="114" t="s">
        <v>22</v>
      </c>
      <c r="E561" s="29">
        <v>0</v>
      </c>
      <c r="F561" s="29"/>
      <c r="G561" s="30">
        <v>2000</v>
      </c>
      <c r="H561" s="29"/>
      <c r="I561" s="29">
        <f>ROUND(E561*G561,2)</f>
        <v>0</v>
      </c>
      <c r="J561" s="29">
        <f>H561+I561</f>
        <v>0</v>
      </c>
      <c r="K561" s="357">
        <f t="shared" si="66"/>
        <v>0</v>
      </c>
      <c r="L561" s="357">
        <f t="shared" si="67"/>
        <v>0</v>
      </c>
      <c r="Z561" s="49"/>
    </row>
    <row r="562" spans="1:26" hidden="1" outlineLevel="1" x14ac:dyDescent="0.3">
      <c r="A562" s="34"/>
      <c r="B562" s="39" t="s">
        <v>548</v>
      </c>
      <c r="C562" s="28"/>
      <c r="D562" s="28" t="s">
        <v>22</v>
      </c>
      <c r="E562" s="28">
        <v>0</v>
      </c>
      <c r="F562" s="28">
        <v>300</v>
      </c>
      <c r="G562" s="30"/>
      <c r="H562" s="29">
        <f>ROUND(F562*E562,2)</f>
        <v>0</v>
      </c>
      <c r="I562" s="29"/>
      <c r="J562" s="29">
        <f>H562+I562</f>
        <v>0</v>
      </c>
      <c r="K562" s="357">
        <f t="shared" si="66"/>
        <v>0</v>
      </c>
      <c r="L562" s="357">
        <f t="shared" si="67"/>
        <v>0</v>
      </c>
      <c r="Z562" s="49"/>
    </row>
    <row r="563" spans="1:26" hidden="1" outlineLevel="1" x14ac:dyDescent="0.3">
      <c r="A563" s="34"/>
      <c r="B563" s="113" t="s">
        <v>549</v>
      </c>
      <c r="C563" s="118"/>
      <c r="D563" s="114" t="s">
        <v>22</v>
      </c>
      <c r="E563" s="29">
        <v>0</v>
      </c>
      <c r="F563" s="29"/>
      <c r="G563" s="30">
        <v>5000</v>
      </c>
      <c r="H563" s="29"/>
      <c r="I563" s="29">
        <f>ROUND(E563*G563,2)</f>
        <v>0</v>
      </c>
      <c r="J563" s="29">
        <f>H563+I563</f>
        <v>0</v>
      </c>
      <c r="K563" s="357">
        <f t="shared" si="66"/>
        <v>0</v>
      </c>
      <c r="L563" s="357">
        <f t="shared" si="67"/>
        <v>0</v>
      </c>
      <c r="Z563" s="49"/>
    </row>
    <row r="564" spans="1:26" hidden="1" outlineLevel="1" x14ac:dyDescent="0.3">
      <c r="A564" s="34"/>
      <c r="B564" s="113" t="s">
        <v>550</v>
      </c>
      <c r="C564" s="118"/>
      <c r="D564" s="114" t="s">
        <v>22</v>
      </c>
      <c r="E564" s="29">
        <v>0</v>
      </c>
      <c r="F564" s="29"/>
      <c r="G564" s="30">
        <v>500</v>
      </c>
      <c r="H564" s="29"/>
      <c r="I564" s="29">
        <f>ROUND(E564*G564,2)</f>
        <v>0</v>
      </c>
      <c r="J564" s="29">
        <f>H564+I564</f>
        <v>0</v>
      </c>
      <c r="K564" s="357">
        <f t="shared" si="66"/>
        <v>0</v>
      </c>
      <c r="L564" s="357">
        <f t="shared" si="67"/>
        <v>0</v>
      </c>
      <c r="Z564" s="49"/>
    </row>
    <row r="565" spans="1:26" hidden="1" outlineLevel="1" x14ac:dyDescent="0.3">
      <c r="A565" s="34"/>
      <c r="B565" s="113" t="s">
        <v>551</v>
      </c>
      <c r="C565" s="118"/>
      <c r="D565" s="114" t="s">
        <v>22</v>
      </c>
      <c r="E565" s="29">
        <v>0</v>
      </c>
      <c r="F565" s="29"/>
      <c r="G565" s="30">
        <v>100</v>
      </c>
      <c r="H565" s="29"/>
      <c r="I565" s="29">
        <f t="shared" si="69"/>
        <v>0</v>
      </c>
      <c r="J565" s="29">
        <f t="shared" si="65"/>
        <v>0</v>
      </c>
      <c r="K565" s="357">
        <f t="shared" si="66"/>
        <v>0</v>
      </c>
      <c r="L565" s="357">
        <f t="shared" si="67"/>
        <v>0</v>
      </c>
      <c r="Z565" s="49"/>
    </row>
    <row r="566" spans="1:26" ht="31.2" hidden="1" outlineLevel="1" x14ac:dyDescent="0.3">
      <c r="A566" s="34"/>
      <c r="B566" s="113" t="s">
        <v>552</v>
      </c>
      <c r="C566" s="118"/>
      <c r="D566" s="114" t="s">
        <v>22</v>
      </c>
      <c r="E566" s="29">
        <v>0</v>
      </c>
      <c r="F566" s="29"/>
      <c r="G566" s="30">
        <v>100</v>
      </c>
      <c r="H566" s="29"/>
      <c r="I566" s="29">
        <f t="shared" si="69"/>
        <v>0</v>
      </c>
      <c r="J566" s="29">
        <f t="shared" si="65"/>
        <v>0</v>
      </c>
      <c r="K566" s="357">
        <f t="shared" si="66"/>
        <v>0</v>
      </c>
      <c r="L566" s="357">
        <f t="shared" si="67"/>
        <v>0</v>
      </c>
      <c r="Z566" s="49"/>
    </row>
    <row r="567" spans="1:26" ht="31.2" hidden="1" outlineLevel="1" x14ac:dyDescent="0.3">
      <c r="A567" s="34"/>
      <c r="B567" s="113" t="s">
        <v>553</v>
      </c>
      <c r="C567" s="118"/>
      <c r="D567" s="114" t="s">
        <v>22</v>
      </c>
      <c r="E567" s="29">
        <v>0</v>
      </c>
      <c r="F567" s="29"/>
      <c r="G567" s="30">
        <v>100</v>
      </c>
      <c r="H567" s="29"/>
      <c r="I567" s="29">
        <f>ROUND(E567*G567,2)</f>
        <v>0</v>
      </c>
      <c r="J567" s="29">
        <f t="shared" si="65"/>
        <v>0</v>
      </c>
      <c r="K567" s="357">
        <f t="shared" si="66"/>
        <v>0</v>
      </c>
      <c r="L567" s="357">
        <f t="shared" si="67"/>
        <v>0</v>
      </c>
      <c r="Z567" s="49"/>
    </row>
    <row r="568" spans="1:26" ht="31.2" hidden="1" outlineLevel="1" x14ac:dyDescent="0.3">
      <c r="A568" s="34"/>
      <c r="B568" s="113" t="s">
        <v>554</v>
      </c>
      <c r="C568" s="118"/>
      <c r="D568" s="114" t="s">
        <v>22</v>
      </c>
      <c r="E568" s="29">
        <v>0</v>
      </c>
      <c r="F568" s="29"/>
      <c r="G568" s="30">
        <v>100</v>
      </c>
      <c r="H568" s="29"/>
      <c r="I568" s="29">
        <f>ROUND(E568*G568,2)</f>
        <v>0</v>
      </c>
      <c r="J568" s="29">
        <f t="shared" si="65"/>
        <v>0</v>
      </c>
      <c r="K568" s="357">
        <f t="shared" si="66"/>
        <v>0</v>
      </c>
      <c r="L568" s="357">
        <f t="shared" si="67"/>
        <v>0</v>
      </c>
      <c r="Z568" s="49"/>
    </row>
    <row r="569" spans="1:26" ht="31.2" hidden="1" outlineLevel="1" x14ac:dyDescent="0.3">
      <c r="A569" s="34"/>
      <c r="B569" s="113" t="s">
        <v>555</v>
      </c>
      <c r="C569" s="118"/>
      <c r="D569" s="114" t="s">
        <v>22</v>
      </c>
      <c r="E569" s="29">
        <v>0</v>
      </c>
      <c r="F569" s="29"/>
      <c r="G569" s="30">
        <v>200</v>
      </c>
      <c r="H569" s="29"/>
      <c r="I569" s="29">
        <f>ROUND(E569*G569,2)</f>
        <v>0</v>
      </c>
      <c r="J569" s="29">
        <f t="shared" si="65"/>
        <v>0</v>
      </c>
      <c r="K569" s="357">
        <f t="shared" si="66"/>
        <v>0</v>
      </c>
      <c r="L569" s="357">
        <f t="shared" si="67"/>
        <v>0</v>
      </c>
      <c r="Z569" s="49"/>
    </row>
    <row r="570" spans="1:26" ht="31.2" hidden="1" outlineLevel="1" x14ac:dyDescent="0.3">
      <c r="A570" s="34"/>
      <c r="B570" s="113" t="s">
        <v>556</v>
      </c>
      <c r="C570" s="118"/>
      <c r="D570" s="114" t="s">
        <v>22</v>
      </c>
      <c r="E570" s="29">
        <v>0</v>
      </c>
      <c r="F570" s="29"/>
      <c r="G570" s="30">
        <v>200</v>
      </c>
      <c r="H570" s="29"/>
      <c r="I570" s="29">
        <f>ROUND(E570*G570,2)</f>
        <v>0</v>
      </c>
      <c r="J570" s="29">
        <f t="shared" si="65"/>
        <v>0</v>
      </c>
      <c r="K570" s="357">
        <f t="shared" si="66"/>
        <v>0</v>
      </c>
      <c r="L570" s="357">
        <f t="shared" si="67"/>
        <v>0</v>
      </c>
      <c r="Z570" s="49"/>
    </row>
    <row r="571" spans="1:26" ht="31.2" hidden="1" outlineLevel="1" x14ac:dyDescent="0.3">
      <c r="A571" s="34"/>
      <c r="B571" s="113" t="s">
        <v>557</v>
      </c>
      <c r="C571" s="118"/>
      <c r="D571" s="114" t="s">
        <v>22</v>
      </c>
      <c r="E571" s="29">
        <v>0</v>
      </c>
      <c r="F571" s="29"/>
      <c r="G571" s="30">
        <v>200</v>
      </c>
      <c r="H571" s="29"/>
      <c r="I571" s="29">
        <f>ROUND(E571*G571,2)</f>
        <v>0</v>
      </c>
      <c r="J571" s="29">
        <f t="shared" si="65"/>
        <v>0</v>
      </c>
      <c r="K571" s="357">
        <f t="shared" si="66"/>
        <v>0</v>
      </c>
      <c r="L571" s="357">
        <f t="shared" si="67"/>
        <v>0</v>
      </c>
      <c r="Z571" s="49"/>
    </row>
    <row r="572" spans="1:26" hidden="1" outlineLevel="1" x14ac:dyDescent="0.3">
      <c r="A572" s="34" t="s">
        <v>394</v>
      </c>
      <c r="B572" s="39" t="s">
        <v>558</v>
      </c>
      <c r="C572" s="28"/>
      <c r="D572" s="28" t="s">
        <v>38</v>
      </c>
      <c r="E572" s="28">
        <f>E574+E573</f>
        <v>0</v>
      </c>
      <c r="F572" s="28">
        <v>150</v>
      </c>
      <c r="G572" s="30"/>
      <c r="H572" s="29">
        <f>ROUND(F572*E572,2)</f>
        <v>0</v>
      </c>
      <c r="I572" s="29"/>
      <c r="J572" s="29">
        <f t="shared" si="65"/>
        <v>0</v>
      </c>
      <c r="K572" s="357">
        <f t="shared" si="66"/>
        <v>0</v>
      </c>
      <c r="L572" s="357">
        <f t="shared" si="67"/>
        <v>0</v>
      </c>
      <c r="Z572" s="49"/>
    </row>
    <row r="573" spans="1:26" hidden="1" outlineLevel="1" x14ac:dyDescent="0.3">
      <c r="A573" s="34"/>
      <c r="B573" s="113" t="s">
        <v>559</v>
      </c>
      <c r="C573" s="118"/>
      <c r="D573" s="114" t="s">
        <v>38</v>
      </c>
      <c r="E573" s="29">
        <v>0</v>
      </c>
      <c r="F573" s="29"/>
      <c r="G573" s="30">
        <v>350</v>
      </c>
      <c r="H573" s="29"/>
      <c r="I573" s="29">
        <f>ROUND(E573*G573,2)</f>
        <v>0</v>
      </c>
      <c r="J573" s="29">
        <f t="shared" si="65"/>
        <v>0</v>
      </c>
      <c r="K573" s="357">
        <f t="shared" si="66"/>
        <v>0</v>
      </c>
      <c r="L573" s="357">
        <f t="shared" si="67"/>
        <v>0</v>
      </c>
      <c r="Z573" s="49"/>
    </row>
    <row r="574" spans="1:26" ht="31.2" hidden="1" outlineLevel="1" x14ac:dyDescent="0.3">
      <c r="A574" s="34"/>
      <c r="B574" s="113" t="s">
        <v>560</v>
      </c>
      <c r="C574" s="118"/>
      <c r="D574" s="114" t="s">
        <v>38</v>
      </c>
      <c r="E574" s="29">
        <v>0</v>
      </c>
      <c r="F574" s="29"/>
      <c r="G574" s="30">
        <v>350</v>
      </c>
      <c r="H574" s="29"/>
      <c r="I574" s="29">
        <f>ROUND(E574*G574,2)</f>
        <v>0</v>
      </c>
      <c r="J574" s="29">
        <f t="shared" si="65"/>
        <v>0</v>
      </c>
      <c r="K574" s="357">
        <f t="shared" si="66"/>
        <v>0</v>
      </c>
      <c r="L574" s="357">
        <f t="shared" si="67"/>
        <v>0</v>
      </c>
      <c r="Z574" s="49"/>
    </row>
    <row r="575" spans="1:26" s="322" customFormat="1" outlineLevel="1" x14ac:dyDescent="0.3">
      <c r="A575" s="313" t="s">
        <v>828</v>
      </c>
      <c r="B575" s="314" t="s">
        <v>824</v>
      </c>
      <c r="C575" s="315"/>
      <c r="D575" s="316" t="s">
        <v>22</v>
      </c>
      <c r="E575" s="316">
        <v>1</v>
      </c>
      <c r="F575" s="316">
        <f>H577</f>
        <v>65000</v>
      </c>
      <c r="G575" s="321"/>
      <c r="H575" s="316">
        <f>F575</f>
        <v>65000</v>
      </c>
      <c r="I575" s="316"/>
      <c r="J575" s="316">
        <f>H575</f>
        <v>65000</v>
      </c>
      <c r="K575" s="357">
        <f t="shared" si="66"/>
        <v>0</v>
      </c>
      <c r="L575" s="357">
        <f t="shared" si="67"/>
        <v>0</v>
      </c>
      <c r="Y575" s="319"/>
      <c r="Z575" s="49"/>
    </row>
    <row r="576" spans="1:26" s="322" customFormat="1" outlineLevel="1" x14ac:dyDescent="0.3">
      <c r="A576" s="313"/>
      <c r="B576" s="320" t="s">
        <v>825</v>
      </c>
      <c r="C576" s="315"/>
      <c r="D576" s="316" t="s">
        <v>826</v>
      </c>
      <c r="E576" s="316">
        <v>1</v>
      </c>
      <c r="F576" s="318"/>
      <c r="G576" s="316">
        <f>I577</f>
        <v>260000</v>
      </c>
      <c r="H576" s="316"/>
      <c r="I576" s="316">
        <f>G576</f>
        <v>260000</v>
      </c>
      <c r="J576" s="316">
        <f>I576</f>
        <v>260000</v>
      </c>
      <c r="K576" s="357">
        <f t="shared" si="66"/>
        <v>0</v>
      </c>
      <c r="L576" s="357">
        <f t="shared" si="67"/>
        <v>0</v>
      </c>
      <c r="Y576" s="319"/>
      <c r="Z576" s="49"/>
    </row>
    <row r="577" spans="1:26" s="25" customFormat="1" x14ac:dyDescent="0.3">
      <c r="A577" s="97" t="s">
        <v>832</v>
      </c>
      <c r="B577" s="171" t="s">
        <v>561</v>
      </c>
      <c r="C577" s="223"/>
      <c r="D577" s="164"/>
      <c r="E577" s="164"/>
      <c r="F577" s="164"/>
      <c r="G577" s="163"/>
      <c r="H577" s="164">
        <f>150000/90*39</f>
        <v>65000</v>
      </c>
      <c r="I577" s="164">
        <f>600000/90*39</f>
        <v>260000</v>
      </c>
      <c r="J577" s="164">
        <f>H577+I577</f>
        <v>325000</v>
      </c>
      <c r="K577" s="357">
        <f t="shared" si="66"/>
        <v>0</v>
      </c>
      <c r="L577" s="357">
        <f t="shared" si="67"/>
        <v>0</v>
      </c>
      <c r="N577" s="25">
        <v>800000</v>
      </c>
      <c r="P577" s="25">
        <f>N577-J577</f>
        <v>475000</v>
      </c>
      <c r="W577" s="25">
        <v>800000</v>
      </c>
      <c r="X577" s="25">
        <f>W577-T577</f>
        <v>800000</v>
      </c>
      <c r="Y577" s="201"/>
      <c r="Z577" s="49"/>
    </row>
    <row r="578" spans="1:26" s="25" customFormat="1" ht="18.600000000000001" customHeight="1" x14ac:dyDescent="0.3">
      <c r="A578" s="34"/>
      <c r="B578" s="121" t="s">
        <v>72</v>
      </c>
      <c r="C578" s="217"/>
      <c r="D578" s="39"/>
      <c r="E578" s="28"/>
      <c r="F578" s="28"/>
      <c r="G578" s="50"/>
      <c r="H578" s="28"/>
      <c r="I578" s="28"/>
      <c r="J578" s="28">
        <f>ROUND(J577/1.18*0.18,2)</f>
        <v>49576.27</v>
      </c>
      <c r="K578" s="357">
        <f t="shared" si="66"/>
        <v>0</v>
      </c>
      <c r="L578" s="357">
        <f t="shared" si="67"/>
        <v>0</v>
      </c>
      <c r="Y578" s="201"/>
      <c r="Z578" s="49"/>
    </row>
    <row r="579" spans="1:26" s="25" customFormat="1" ht="18.75" customHeight="1" x14ac:dyDescent="0.3">
      <c r="A579" s="126"/>
      <c r="B579" s="90" t="s">
        <v>562</v>
      </c>
      <c r="C579" s="213"/>
      <c r="D579" s="23"/>
      <c r="E579" s="23"/>
      <c r="F579" s="23"/>
      <c r="G579" s="22"/>
      <c r="H579" s="23"/>
      <c r="I579" s="23"/>
      <c r="J579" s="24"/>
      <c r="K579" s="357">
        <f t="shared" si="66"/>
        <v>0</v>
      </c>
      <c r="L579" s="357">
        <f t="shared" si="67"/>
        <v>0</v>
      </c>
      <c r="Y579" s="201"/>
      <c r="Z579" s="49"/>
    </row>
    <row r="580" spans="1:26" s="48" customFormat="1" ht="30" hidden="1" customHeight="1" outlineLevel="1" x14ac:dyDescent="0.3">
      <c r="A580" s="34" t="s">
        <v>400</v>
      </c>
      <c r="B580" s="176" t="s">
        <v>563</v>
      </c>
      <c r="C580" s="176"/>
      <c r="D580" s="29"/>
      <c r="E580" s="29"/>
      <c r="F580" s="140"/>
      <c r="G580" s="30"/>
      <c r="H580" s="29"/>
      <c r="I580" s="29"/>
      <c r="J580" s="29"/>
      <c r="K580" s="357">
        <f t="shared" si="66"/>
        <v>0</v>
      </c>
      <c r="L580" s="357">
        <f t="shared" si="67"/>
        <v>0</v>
      </c>
      <c r="Y580" s="201"/>
      <c r="Z580" s="49"/>
    </row>
    <row r="581" spans="1:26" ht="31.2" hidden="1" outlineLevel="1" x14ac:dyDescent="0.3">
      <c r="A581" s="34" t="s">
        <v>564</v>
      </c>
      <c r="B581" s="27" t="s">
        <v>565</v>
      </c>
      <c r="C581" s="161"/>
      <c r="D581" s="28" t="s">
        <v>458</v>
      </c>
      <c r="E581" s="28">
        <f>E582+E583+E584+E585+E586</f>
        <v>0</v>
      </c>
      <c r="F581" s="28">
        <v>85</v>
      </c>
      <c r="G581" s="30"/>
      <c r="H581" s="29">
        <f>ROUND(F581*E581,2)</f>
        <v>0</v>
      </c>
      <c r="I581" s="29"/>
      <c r="J581" s="29">
        <f>H581+I581</f>
        <v>0</v>
      </c>
      <c r="K581" s="357">
        <f t="shared" si="66"/>
        <v>0</v>
      </c>
      <c r="L581" s="357">
        <f t="shared" si="67"/>
        <v>0</v>
      </c>
      <c r="Z581" s="49"/>
    </row>
    <row r="582" spans="1:26" hidden="1" outlineLevel="1" x14ac:dyDescent="0.3">
      <c r="A582" s="34"/>
      <c r="B582" s="113" t="s">
        <v>566</v>
      </c>
      <c r="C582" s="118"/>
      <c r="D582" s="114" t="s">
        <v>458</v>
      </c>
      <c r="E582" s="29">
        <v>0</v>
      </c>
      <c r="F582" s="29"/>
      <c r="G582" s="30">
        <v>42.23</v>
      </c>
      <c r="H582" s="29"/>
      <c r="I582" s="29">
        <f t="shared" ref="I582:I589" si="70">ROUND(E582*G582,2)</f>
        <v>0</v>
      </c>
      <c r="J582" s="29">
        <f>H582+I582</f>
        <v>0</v>
      </c>
      <c r="K582" s="357">
        <f t="shared" si="66"/>
        <v>0</v>
      </c>
      <c r="L582" s="357">
        <f t="shared" si="67"/>
        <v>0</v>
      </c>
      <c r="Z582" s="49"/>
    </row>
    <row r="583" spans="1:26" hidden="1" outlineLevel="1" x14ac:dyDescent="0.3">
      <c r="A583" s="34"/>
      <c r="B583" s="111" t="s">
        <v>567</v>
      </c>
      <c r="C583" s="154"/>
      <c r="D583" s="114" t="s">
        <v>458</v>
      </c>
      <c r="E583" s="29">
        <v>0</v>
      </c>
      <c r="F583" s="29"/>
      <c r="G583" s="30">
        <v>58.9</v>
      </c>
      <c r="H583" s="29"/>
      <c r="I583" s="29">
        <f t="shared" si="70"/>
        <v>0</v>
      </c>
      <c r="J583" s="29">
        <f>H583+I583</f>
        <v>0</v>
      </c>
      <c r="K583" s="357">
        <f t="shared" si="66"/>
        <v>0</v>
      </c>
      <c r="L583" s="357">
        <f t="shared" si="67"/>
        <v>0</v>
      </c>
      <c r="Z583" s="49"/>
    </row>
    <row r="584" spans="1:26" hidden="1" outlineLevel="1" x14ac:dyDescent="0.3">
      <c r="A584" s="34"/>
      <c r="B584" s="113" t="s">
        <v>568</v>
      </c>
      <c r="C584" s="118"/>
      <c r="D584" s="114" t="s">
        <v>458</v>
      </c>
      <c r="E584" s="29">
        <v>0</v>
      </c>
      <c r="F584" s="29"/>
      <c r="G584" s="30">
        <v>94.01</v>
      </c>
      <c r="H584" s="29"/>
      <c r="I584" s="29">
        <f t="shared" si="70"/>
        <v>0</v>
      </c>
      <c r="J584" s="29">
        <f>H584+I584</f>
        <v>0</v>
      </c>
      <c r="K584" s="357">
        <f t="shared" si="66"/>
        <v>0</v>
      </c>
      <c r="L584" s="357">
        <f t="shared" si="67"/>
        <v>0</v>
      </c>
      <c r="Z584" s="49"/>
    </row>
    <row r="585" spans="1:26" hidden="1" outlineLevel="1" x14ac:dyDescent="0.3">
      <c r="A585" s="34"/>
      <c r="B585" s="113" t="s">
        <v>569</v>
      </c>
      <c r="C585" s="118"/>
      <c r="D585" s="114" t="s">
        <v>458</v>
      </c>
      <c r="E585" s="29">
        <v>0</v>
      </c>
      <c r="F585" s="29"/>
      <c r="G585" s="30">
        <v>135.80000000000001</v>
      </c>
      <c r="H585" s="29"/>
      <c r="I585" s="29">
        <f t="shared" si="70"/>
        <v>0</v>
      </c>
      <c r="J585" s="29">
        <f>H585+I585</f>
        <v>0</v>
      </c>
      <c r="K585" s="357">
        <f t="shared" si="66"/>
        <v>0</v>
      </c>
      <c r="L585" s="357">
        <f t="shared" si="67"/>
        <v>0</v>
      </c>
      <c r="Z585" s="49"/>
    </row>
    <row r="586" spans="1:26" hidden="1" outlineLevel="1" x14ac:dyDescent="0.3">
      <c r="A586" s="34"/>
      <c r="B586" s="113" t="s">
        <v>570</v>
      </c>
      <c r="C586" s="118"/>
      <c r="D586" s="114" t="s">
        <v>458</v>
      </c>
      <c r="E586" s="29">
        <v>0</v>
      </c>
      <c r="F586" s="29"/>
      <c r="G586" s="30">
        <v>226</v>
      </c>
      <c r="H586" s="29"/>
      <c r="I586" s="29">
        <f t="shared" si="70"/>
        <v>0</v>
      </c>
      <c r="J586" s="29">
        <f t="shared" ref="J586:J658" si="71">H586+I586</f>
        <v>0</v>
      </c>
      <c r="K586" s="357">
        <f t="shared" si="66"/>
        <v>0</v>
      </c>
      <c r="L586" s="357">
        <f t="shared" si="67"/>
        <v>0</v>
      </c>
      <c r="Z586" s="49"/>
    </row>
    <row r="587" spans="1:26" hidden="1" outlineLevel="1" x14ac:dyDescent="0.3">
      <c r="A587" s="34"/>
      <c r="B587" s="113" t="s">
        <v>571</v>
      </c>
      <c r="C587" s="118"/>
      <c r="D587" s="114" t="s">
        <v>22</v>
      </c>
      <c r="E587" s="29">
        <v>0</v>
      </c>
      <c r="F587" s="29"/>
      <c r="G587" s="30">
        <v>77.25</v>
      </c>
      <c r="H587" s="29"/>
      <c r="I587" s="29">
        <f t="shared" si="70"/>
        <v>0</v>
      </c>
      <c r="J587" s="29">
        <f t="shared" si="71"/>
        <v>0</v>
      </c>
      <c r="K587" s="357">
        <f t="shared" si="66"/>
        <v>0</v>
      </c>
      <c r="L587" s="357">
        <f t="shared" si="67"/>
        <v>0</v>
      </c>
      <c r="Z587" s="49"/>
    </row>
    <row r="588" spans="1:26" hidden="1" outlineLevel="1" x14ac:dyDescent="0.3">
      <c r="A588" s="34"/>
      <c r="B588" s="113" t="s">
        <v>572</v>
      </c>
      <c r="C588" s="118"/>
      <c r="D588" s="114" t="s">
        <v>22</v>
      </c>
      <c r="E588" s="29">
        <v>0</v>
      </c>
      <c r="F588" s="29"/>
      <c r="G588" s="30">
        <v>77.25</v>
      </c>
      <c r="H588" s="29"/>
      <c r="I588" s="29">
        <f t="shared" si="70"/>
        <v>0</v>
      </c>
      <c r="J588" s="29">
        <f>H588+I588</f>
        <v>0</v>
      </c>
      <c r="K588" s="357">
        <f t="shared" si="66"/>
        <v>0</v>
      </c>
      <c r="L588" s="357">
        <f t="shared" si="67"/>
        <v>0</v>
      </c>
      <c r="Z588" s="49"/>
    </row>
    <row r="589" spans="1:26" ht="31.2" hidden="1" outlineLevel="1" x14ac:dyDescent="0.3">
      <c r="A589" s="34"/>
      <c r="B589" s="113" t="s">
        <v>573</v>
      </c>
      <c r="C589" s="118"/>
      <c r="D589" s="114" t="s">
        <v>22</v>
      </c>
      <c r="E589" s="29">
        <v>0</v>
      </c>
      <c r="F589" s="29"/>
      <c r="G589" s="30">
        <v>40</v>
      </c>
      <c r="H589" s="29"/>
      <c r="I589" s="29">
        <f t="shared" si="70"/>
        <v>0</v>
      </c>
      <c r="J589" s="29">
        <f t="shared" si="71"/>
        <v>0</v>
      </c>
      <c r="K589" s="357">
        <f t="shared" si="66"/>
        <v>0</v>
      </c>
      <c r="L589" s="357">
        <f t="shared" si="67"/>
        <v>0</v>
      </c>
      <c r="Z589" s="49"/>
    </row>
    <row r="590" spans="1:26" hidden="1" outlineLevel="1" x14ac:dyDescent="0.3">
      <c r="A590" s="34"/>
      <c r="B590" s="113" t="s">
        <v>574</v>
      </c>
      <c r="C590" s="118"/>
      <c r="D590" s="114" t="s">
        <v>38</v>
      </c>
      <c r="E590" s="29">
        <v>0</v>
      </c>
      <c r="F590" s="29"/>
      <c r="G590" s="30">
        <v>100</v>
      </c>
      <c r="H590" s="29"/>
      <c r="I590" s="29">
        <f>ROUND(E590*G590,2)</f>
        <v>0</v>
      </c>
      <c r="J590" s="29">
        <f>H590+I590</f>
        <v>0</v>
      </c>
      <c r="K590" s="357">
        <f t="shared" si="66"/>
        <v>0</v>
      </c>
      <c r="L590" s="357">
        <f t="shared" si="67"/>
        <v>0</v>
      </c>
      <c r="Z590" s="49"/>
    </row>
    <row r="591" spans="1:26" hidden="1" outlineLevel="1" x14ac:dyDescent="0.3">
      <c r="A591" s="34" t="s">
        <v>575</v>
      </c>
      <c r="B591" s="177" t="s">
        <v>576</v>
      </c>
      <c r="C591" s="118"/>
      <c r="D591" s="154" t="s">
        <v>22</v>
      </c>
      <c r="E591" s="28">
        <v>0</v>
      </c>
      <c r="F591" s="29"/>
      <c r="G591" s="30"/>
      <c r="H591" s="29"/>
      <c r="I591" s="29"/>
      <c r="J591" s="29"/>
      <c r="K591" s="357">
        <f t="shared" si="66"/>
        <v>0</v>
      </c>
      <c r="L591" s="357">
        <f t="shared" si="67"/>
        <v>0</v>
      </c>
      <c r="Z591" s="49"/>
    </row>
    <row r="592" spans="1:26" hidden="1" outlineLevel="1" x14ac:dyDescent="0.3">
      <c r="A592" s="34"/>
      <c r="B592" s="113" t="s">
        <v>577</v>
      </c>
      <c r="C592" s="118"/>
      <c r="D592" s="114" t="s">
        <v>22</v>
      </c>
      <c r="E592" s="29">
        <v>0</v>
      </c>
      <c r="F592" s="29"/>
      <c r="G592" s="30">
        <v>283</v>
      </c>
      <c r="H592" s="29"/>
      <c r="I592" s="29">
        <f>ROUND(E592*G592,2)</f>
        <v>0</v>
      </c>
      <c r="J592" s="29">
        <f t="shared" si="71"/>
        <v>0</v>
      </c>
      <c r="K592" s="357">
        <f t="shared" si="66"/>
        <v>0</v>
      </c>
      <c r="L592" s="357">
        <f t="shared" si="67"/>
        <v>0</v>
      </c>
      <c r="Z592" s="49"/>
    </row>
    <row r="593" spans="1:26" hidden="1" outlineLevel="1" x14ac:dyDescent="0.3">
      <c r="A593" s="34"/>
      <c r="B593" s="113" t="s">
        <v>578</v>
      </c>
      <c r="C593" s="118"/>
      <c r="D593" s="114" t="s">
        <v>22</v>
      </c>
      <c r="E593" s="29">
        <v>0</v>
      </c>
      <c r="F593" s="29"/>
      <c r="G593" s="30">
        <v>322.2</v>
      </c>
      <c r="H593" s="29"/>
      <c r="I593" s="29">
        <f>ROUND(E593*G593,2)</f>
        <v>0</v>
      </c>
      <c r="J593" s="29">
        <f t="shared" si="71"/>
        <v>0</v>
      </c>
      <c r="K593" s="357">
        <f t="shared" si="66"/>
        <v>0</v>
      </c>
      <c r="L593" s="357">
        <f t="shared" si="67"/>
        <v>0</v>
      </c>
      <c r="Z593" s="49"/>
    </row>
    <row r="594" spans="1:26" hidden="1" outlineLevel="1" x14ac:dyDescent="0.3">
      <c r="A594" s="34" t="s">
        <v>579</v>
      </c>
      <c r="B594" s="27" t="s">
        <v>580</v>
      </c>
      <c r="C594" s="161"/>
      <c r="D594" s="28" t="s">
        <v>458</v>
      </c>
      <c r="E594" s="28">
        <f>E581</f>
        <v>0</v>
      </c>
      <c r="F594" s="28">
        <v>30</v>
      </c>
      <c r="G594" s="30"/>
      <c r="H594" s="29">
        <f>ROUND(F594*E594,2)</f>
        <v>0</v>
      </c>
      <c r="I594" s="29"/>
      <c r="J594" s="29">
        <f t="shared" si="71"/>
        <v>0</v>
      </c>
      <c r="K594" s="357">
        <f t="shared" si="66"/>
        <v>0</v>
      </c>
      <c r="L594" s="357">
        <f t="shared" si="67"/>
        <v>0</v>
      </c>
      <c r="Z594" s="49"/>
    </row>
    <row r="595" spans="1:26" hidden="1" outlineLevel="1" x14ac:dyDescent="0.3">
      <c r="A595" s="34"/>
      <c r="B595" s="113" t="s">
        <v>581</v>
      </c>
      <c r="C595" s="118"/>
      <c r="D595" s="114" t="s">
        <v>458</v>
      </c>
      <c r="E595" s="29">
        <v>0</v>
      </c>
      <c r="F595" s="29"/>
      <c r="G595" s="30">
        <v>62</v>
      </c>
      <c r="H595" s="29"/>
      <c r="I595" s="29">
        <f>ROUND(E595*G595,2)</f>
        <v>0</v>
      </c>
      <c r="J595" s="29">
        <f t="shared" si="71"/>
        <v>0</v>
      </c>
      <c r="K595" s="357">
        <f t="shared" si="66"/>
        <v>0</v>
      </c>
      <c r="L595" s="357">
        <f t="shared" si="67"/>
        <v>0</v>
      </c>
      <c r="Z595" s="49"/>
    </row>
    <row r="596" spans="1:26" hidden="1" outlineLevel="1" x14ac:dyDescent="0.3">
      <c r="A596" s="34" t="s">
        <v>582</v>
      </c>
      <c r="B596" s="27" t="s">
        <v>583</v>
      </c>
      <c r="C596" s="161"/>
      <c r="D596" s="28" t="s">
        <v>22</v>
      </c>
      <c r="E596" s="28">
        <v>0</v>
      </c>
      <c r="F596" s="28">
        <v>500</v>
      </c>
      <c r="G596" s="30"/>
      <c r="H596" s="29">
        <f>ROUND(F596*E596,2)</f>
        <v>0</v>
      </c>
      <c r="I596" s="29"/>
      <c r="J596" s="29">
        <f t="shared" si="71"/>
        <v>0</v>
      </c>
      <c r="K596" s="357">
        <f t="shared" ref="K596:K659" si="72">IF(H596&gt;0,Z596,0)</f>
        <v>0</v>
      </c>
      <c r="L596" s="357">
        <f t="shared" ref="L596:L659" si="73">IF(I596&gt;0,Z596,0)</f>
        <v>0</v>
      </c>
      <c r="Z596" s="49"/>
    </row>
    <row r="597" spans="1:26" hidden="1" outlineLevel="1" x14ac:dyDescent="0.3">
      <c r="A597" s="34"/>
      <c r="B597" s="113" t="s">
        <v>584</v>
      </c>
      <c r="C597" s="118"/>
      <c r="D597" s="114" t="s">
        <v>22</v>
      </c>
      <c r="E597" s="29">
        <v>0</v>
      </c>
      <c r="F597" s="29"/>
      <c r="G597" s="30">
        <v>100</v>
      </c>
      <c r="H597" s="29"/>
      <c r="I597" s="29">
        <f>ROUND(E597*G597,2)</f>
        <v>0</v>
      </c>
      <c r="J597" s="29">
        <f t="shared" si="71"/>
        <v>0</v>
      </c>
      <c r="K597" s="357">
        <f t="shared" si="72"/>
        <v>0</v>
      </c>
      <c r="L597" s="357">
        <f t="shared" si="73"/>
        <v>0</v>
      </c>
      <c r="Z597" s="49"/>
    </row>
    <row r="598" spans="1:26" hidden="1" outlineLevel="1" x14ac:dyDescent="0.3">
      <c r="A598" s="34"/>
      <c r="B598" s="111" t="s">
        <v>585</v>
      </c>
      <c r="C598" s="154"/>
      <c r="D598" s="114" t="s">
        <v>22</v>
      </c>
      <c r="E598" s="29">
        <v>0</v>
      </c>
      <c r="F598" s="29"/>
      <c r="G598" s="30">
        <f>30*20</f>
        <v>600</v>
      </c>
      <c r="H598" s="29"/>
      <c r="I598" s="29">
        <f>ROUND(E598*G598,2)</f>
        <v>0</v>
      </c>
      <c r="J598" s="29">
        <f t="shared" si="71"/>
        <v>0</v>
      </c>
      <c r="K598" s="357">
        <f t="shared" si="72"/>
        <v>0</v>
      </c>
      <c r="L598" s="357">
        <f t="shared" si="73"/>
        <v>0</v>
      </c>
      <c r="Z598" s="49"/>
    </row>
    <row r="599" spans="1:26" hidden="1" outlineLevel="1" x14ac:dyDescent="0.3">
      <c r="A599" s="34" t="s">
        <v>404</v>
      </c>
      <c r="B599" s="161" t="s">
        <v>586</v>
      </c>
      <c r="C599" s="161"/>
      <c r="D599" s="29"/>
      <c r="E599" s="29"/>
      <c r="F599" s="29"/>
      <c r="G599" s="30"/>
      <c r="H599" s="29"/>
      <c r="I599" s="29"/>
      <c r="J599" s="29">
        <f t="shared" si="71"/>
        <v>0</v>
      </c>
      <c r="K599" s="357">
        <f t="shared" si="72"/>
        <v>0</v>
      </c>
      <c r="L599" s="357">
        <f t="shared" si="73"/>
        <v>0</v>
      </c>
      <c r="Z599" s="49"/>
    </row>
    <row r="600" spans="1:26" hidden="1" outlineLevel="1" x14ac:dyDescent="0.3">
      <c r="A600" s="34" t="s">
        <v>587</v>
      </c>
      <c r="B600" s="27" t="s">
        <v>588</v>
      </c>
      <c r="C600" s="161"/>
      <c r="D600" s="28" t="s">
        <v>22</v>
      </c>
      <c r="E600" s="28">
        <v>0</v>
      </c>
      <c r="F600" s="28">
        <v>10000</v>
      </c>
      <c r="G600" s="30"/>
      <c r="H600" s="29">
        <f>ROUND(F600*E600,2)</f>
        <v>0</v>
      </c>
      <c r="I600" s="29"/>
      <c r="J600" s="29">
        <f t="shared" si="71"/>
        <v>0</v>
      </c>
      <c r="K600" s="357">
        <f t="shared" si="72"/>
        <v>0</v>
      </c>
      <c r="L600" s="357">
        <f t="shared" si="73"/>
        <v>0</v>
      </c>
      <c r="Z600" s="49"/>
    </row>
    <row r="601" spans="1:26" hidden="1" outlineLevel="1" x14ac:dyDescent="0.3">
      <c r="A601" s="34"/>
      <c r="B601" s="111" t="s">
        <v>589</v>
      </c>
      <c r="C601" s="154"/>
      <c r="D601" s="114" t="s">
        <v>22</v>
      </c>
      <c r="E601" s="29">
        <v>0</v>
      </c>
      <c r="F601" s="29"/>
      <c r="G601" s="30">
        <v>1033.78</v>
      </c>
      <c r="H601" s="29"/>
      <c r="I601" s="29">
        <f t="shared" ref="I601:I611" si="74">ROUND(E601*G601,2)</f>
        <v>0</v>
      </c>
      <c r="J601" s="29">
        <f t="shared" si="71"/>
        <v>0</v>
      </c>
      <c r="K601" s="357">
        <f t="shared" si="72"/>
        <v>0</v>
      </c>
      <c r="L601" s="357">
        <f t="shared" si="73"/>
        <v>0</v>
      </c>
      <c r="Z601" s="49"/>
    </row>
    <row r="602" spans="1:26" hidden="1" outlineLevel="1" x14ac:dyDescent="0.3">
      <c r="A602" s="34"/>
      <c r="B602" s="111" t="s">
        <v>590</v>
      </c>
      <c r="C602" s="154"/>
      <c r="D602" s="114" t="s">
        <v>22</v>
      </c>
      <c r="E602" s="29">
        <v>0</v>
      </c>
      <c r="F602" s="29"/>
      <c r="G602" s="30">
        <v>2018.83</v>
      </c>
      <c r="H602" s="29"/>
      <c r="I602" s="29">
        <f t="shared" si="74"/>
        <v>0</v>
      </c>
      <c r="J602" s="29">
        <f t="shared" si="71"/>
        <v>0</v>
      </c>
      <c r="K602" s="357">
        <f t="shared" si="72"/>
        <v>0</v>
      </c>
      <c r="L602" s="357">
        <f t="shared" si="73"/>
        <v>0</v>
      </c>
      <c r="Z602" s="49"/>
    </row>
    <row r="603" spans="1:26" hidden="1" outlineLevel="1" x14ac:dyDescent="0.3">
      <c r="A603" s="34"/>
      <c r="B603" s="113" t="s">
        <v>591</v>
      </c>
      <c r="C603" s="118"/>
      <c r="D603" s="114" t="s">
        <v>22</v>
      </c>
      <c r="E603" s="29">
        <v>0</v>
      </c>
      <c r="F603" s="29"/>
      <c r="G603" s="30">
        <v>109.44</v>
      </c>
      <c r="H603" s="29"/>
      <c r="I603" s="29">
        <f t="shared" si="74"/>
        <v>0</v>
      </c>
      <c r="J603" s="29">
        <f t="shared" si="71"/>
        <v>0</v>
      </c>
      <c r="K603" s="357">
        <f t="shared" si="72"/>
        <v>0</v>
      </c>
      <c r="L603" s="357">
        <f t="shared" si="73"/>
        <v>0</v>
      </c>
      <c r="Z603" s="49"/>
    </row>
    <row r="604" spans="1:26" hidden="1" outlineLevel="1" x14ac:dyDescent="0.3">
      <c r="A604" s="34"/>
      <c r="B604" s="113" t="s">
        <v>592</v>
      </c>
      <c r="C604" s="118"/>
      <c r="D604" s="114" t="s">
        <v>22</v>
      </c>
      <c r="E604" s="29">
        <v>0</v>
      </c>
      <c r="F604" s="29"/>
      <c r="G604" s="30">
        <v>228.92</v>
      </c>
      <c r="H604" s="29"/>
      <c r="I604" s="29">
        <f t="shared" si="74"/>
        <v>0</v>
      </c>
      <c r="J604" s="29">
        <f t="shared" si="71"/>
        <v>0</v>
      </c>
      <c r="K604" s="357">
        <f t="shared" si="72"/>
        <v>0</v>
      </c>
      <c r="L604" s="357">
        <f t="shared" si="73"/>
        <v>0</v>
      </c>
      <c r="Z604" s="49"/>
    </row>
    <row r="605" spans="1:26" hidden="1" outlineLevel="1" x14ac:dyDescent="0.3">
      <c r="A605" s="34"/>
      <c r="B605" s="113" t="s">
        <v>593</v>
      </c>
      <c r="C605" s="118"/>
      <c r="D605" s="114" t="s">
        <v>22</v>
      </c>
      <c r="E605" s="29">
        <v>0</v>
      </c>
      <c r="F605" s="29"/>
      <c r="G605" s="30">
        <v>198</v>
      </c>
      <c r="H605" s="29"/>
      <c r="I605" s="29">
        <f t="shared" si="74"/>
        <v>0</v>
      </c>
      <c r="J605" s="29">
        <f t="shared" si="71"/>
        <v>0</v>
      </c>
      <c r="K605" s="357">
        <f t="shared" si="72"/>
        <v>0</v>
      </c>
      <c r="L605" s="357">
        <f t="shared" si="73"/>
        <v>0</v>
      </c>
      <c r="Z605" s="49"/>
    </row>
    <row r="606" spans="1:26" hidden="1" outlineLevel="1" x14ac:dyDescent="0.3">
      <c r="A606" s="34"/>
      <c r="B606" s="113" t="s">
        <v>594</v>
      </c>
      <c r="C606" s="118"/>
      <c r="D606" s="114" t="s">
        <v>22</v>
      </c>
      <c r="E606" s="29">
        <v>0</v>
      </c>
      <c r="F606" s="29"/>
      <c r="G606" s="30">
        <v>100</v>
      </c>
      <c r="H606" s="29"/>
      <c r="I606" s="29">
        <f>ROUND(E606*G606,2)</f>
        <v>0</v>
      </c>
      <c r="J606" s="29">
        <f>H606+I606</f>
        <v>0</v>
      </c>
      <c r="K606" s="357">
        <f t="shared" si="72"/>
        <v>0</v>
      </c>
      <c r="L606" s="357">
        <f t="shared" si="73"/>
        <v>0</v>
      </c>
      <c r="Z606" s="49"/>
    </row>
    <row r="607" spans="1:26" ht="19.95" hidden="1" customHeight="1" outlineLevel="1" x14ac:dyDescent="0.3">
      <c r="A607" s="34"/>
      <c r="B607" s="113" t="s">
        <v>595</v>
      </c>
      <c r="C607" s="118"/>
      <c r="D607" s="114" t="s">
        <v>22</v>
      </c>
      <c r="E607" s="29">
        <v>0</v>
      </c>
      <c r="F607" s="29"/>
      <c r="G607" s="30">
        <v>43</v>
      </c>
      <c r="H607" s="29"/>
      <c r="I607" s="29">
        <f t="shared" si="74"/>
        <v>0</v>
      </c>
      <c r="J607" s="29">
        <f t="shared" si="71"/>
        <v>0</v>
      </c>
      <c r="K607" s="357">
        <f t="shared" si="72"/>
        <v>0</v>
      </c>
      <c r="L607" s="357">
        <f t="shared" si="73"/>
        <v>0</v>
      </c>
      <c r="Z607" s="49"/>
    </row>
    <row r="608" spans="1:26" ht="31.2" hidden="1" customHeight="1" outlineLevel="1" x14ac:dyDescent="0.3">
      <c r="A608" s="34"/>
      <c r="B608" s="113" t="s">
        <v>596</v>
      </c>
      <c r="C608" s="118"/>
      <c r="D608" s="114" t="s">
        <v>22</v>
      </c>
      <c r="E608" s="29">
        <v>0</v>
      </c>
      <c r="F608" s="29"/>
      <c r="G608" s="30">
        <v>448</v>
      </c>
      <c r="H608" s="29"/>
      <c r="I608" s="29">
        <f t="shared" si="74"/>
        <v>0</v>
      </c>
      <c r="J608" s="29">
        <f t="shared" si="71"/>
        <v>0</v>
      </c>
      <c r="K608" s="357">
        <f t="shared" si="72"/>
        <v>0</v>
      </c>
      <c r="L608" s="357">
        <f t="shared" si="73"/>
        <v>0</v>
      </c>
      <c r="Z608" s="49"/>
    </row>
    <row r="609" spans="1:26" hidden="1" outlineLevel="1" x14ac:dyDescent="0.3">
      <c r="A609" s="34"/>
      <c r="B609" s="113" t="s">
        <v>597</v>
      </c>
      <c r="C609" s="118"/>
      <c r="D609" s="114" t="s">
        <v>22</v>
      </c>
      <c r="E609" s="29">
        <v>0</v>
      </c>
      <c r="F609" s="29"/>
      <c r="G609" s="30">
        <v>5922.3</v>
      </c>
      <c r="H609" s="29"/>
      <c r="I609" s="29">
        <f t="shared" si="74"/>
        <v>0</v>
      </c>
      <c r="J609" s="29">
        <f>H609+I609</f>
        <v>0</v>
      </c>
      <c r="K609" s="357">
        <f t="shared" si="72"/>
        <v>0</v>
      </c>
      <c r="L609" s="357">
        <f t="shared" si="73"/>
        <v>0</v>
      </c>
      <c r="Z609" s="49"/>
    </row>
    <row r="610" spans="1:26" hidden="1" outlineLevel="1" x14ac:dyDescent="0.3">
      <c r="A610" s="34"/>
      <c r="B610" s="113" t="s">
        <v>598</v>
      </c>
      <c r="C610" s="118"/>
      <c r="D610" s="114" t="s">
        <v>22</v>
      </c>
      <c r="E610" s="29">
        <v>0</v>
      </c>
      <c r="F610" s="29"/>
      <c r="G610" s="30">
        <v>127</v>
      </c>
      <c r="H610" s="29"/>
      <c r="I610" s="29">
        <f t="shared" si="74"/>
        <v>0</v>
      </c>
      <c r="J610" s="29">
        <f t="shared" si="71"/>
        <v>0</v>
      </c>
      <c r="K610" s="357">
        <f t="shared" si="72"/>
        <v>0</v>
      </c>
      <c r="L610" s="357">
        <f t="shared" si="73"/>
        <v>0</v>
      </c>
      <c r="Z610" s="49"/>
    </row>
    <row r="611" spans="1:26" hidden="1" outlineLevel="1" x14ac:dyDescent="0.3">
      <c r="A611" s="34"/>
      <c r="B611" s="113" t="s">
        <v>220</v>
      </c>
      <c r="C611" s="118"/>
      <c r="D611" s="114" t="s">
        <v>40</v>
      </c>
      <c r="E611" s="29">
        <v>0</v>
      </c>
      <c r="F611" s="29"/>
      <c r="G611" s="30">
        <f>37500/1000</f>
        <v>37.5</v>
      </c>
      <c r="H611" s="29"/>
      <c r="I611" s="29">
        <f t="shared" si="74"/>
        <v>0</v>
      </c>
      <c r="J611" s="29">
        <f t="shared" si="71"/>
        <v>0</v>
      </c>
      <c r="K611" s="357">
        <f t="shared" si="72"/>
        <v>0</v>
      </c>
      <c r="L611" s="357">
        <f t="shared" si="73"/>
        <v>0</v>
      </c>
      <c r="Z611" s="49"/>
    </row>
    <row r="612" spans="1:26" hidden="1" outlineLevel="1" x14ac:dyDescent="0.3">
      <c r="A612" s="34" t="s">
        <v>599</v>
      </c>
      <c r="B612" s="161" t="s">
        <v>600</v>
      </c>
      <c r="C612" s="161"/>
      <c r="D612" s="29"/>
      <c r="E612" s="29"/>
      <c r="F612" s="29"/>
      <c r="G612" s="30"/>
      <c r="H612" s="29"/>
      <c r="I612" s="29"/>
      <c r="J612" s="29">
        <f t="shared" si="71"/>
        <v>0</v>
      </c>
      <c r="K612" s="357">
        <f t="shared" si="72"/>
        <v>0</v>
      </c>
      <c r="L612" s="357">
        <f t="shared" si="73"/>
        <v>0</v>
      </c>
      <c r="Z612" s="49"/>
    </row>
    <row r="613" spans="1:26" ht="31.2" hidden="1" outlineLevel="1" x14ac:dyDescent="0.3">
      <c r="A613" s="34" t="s">
        <v>601</v>
      </c>
      <c r="B613" s="27" t="s">
        <v>602</v>
      </c>
      <c r="C613" s="161"/>
      <c r="D613" s="28" t="s">
        <v>458</v>
      </c>
      <c r="E613" s="28">
        <f>E614</f>
        <v>0</v>
      </c>
      <c r="F613" s="28">
        <v>85</v>
      </c>
      <c r="G613" s="30"/>
      <c r="H613" s="29">
        <f>ROUND(F613*E613,2)</f>
        <v>0</v>
      </c>
      <c r="I613" s="29"/>
      <c r="J613" s="29">
        <f t="shared" si="71"/>
        <v>0</v>
      </c>
      <c r="K613" s="357">
        <f t="shared" si="72"/>
        <v>0</v>
      </c>
      <c r="L613" s="357">
        <f t="shared" si="73"/>
        <v>0</v>
      </c>
      <c r="Z613" s="49"/>
    </row>
    <row r="614" spans="1:26" hidden="1" outlineLevel="1" x14ac:dyDescent="0.3">
      <c r="A614" s="34"/>
      <c r="B614" s="113" t="s">
        <v>603</v>
      </c>
      <c r="C614" s="118"/>
      <c r="D614" s="114" t="s">
        <v>458</v>
      </c>
      <c r="E614" s="29">
        <v>0</v>
      </c>
      <c r="F614" s="29"/>
      <c r="G614" s="30">
        <f>311.85/3</f>
        <v>103.95</v>
      </c>
      <c r="H614" s="29"/>
      <c r="I614" s="29">
        <f>ROUND(E614*G614,2)</f>
        <v>0</v>
      </c>
      <c r="J614" s="29">
        <f t="shared" si="71"/>
        <v>0</v>
      </c>
      <c r="K614" s="357">
        <f t="shared" si="72"/>
        <v>0</v>
      </c>
      <c r="L614" s="357">
        <f t="shared" si="73"/>
        <v>0</v>
      </c>
      <c r="Z614" s="49"/>
    </row>
    <row r="615" spans="1:26" hidden="1" outlineLevel="1" x14ac:dyDescent="0.3">
      <c r="A615" s="34"/>
      <c r="B615" s="113" t="s">
        <v>604</v>
      </c>
      <c r="C615" s="118"/>
      <c r="D615" s="114" t="s">
        <v>22</v>
      </c>
      <c r="E615" s="29">
        <v>0</v>
      </c>
      <c r="F615" s="29"/>
      <c r="G615" s="30">
        <v>200</v>
      </c>
      <c r="H615" s="29"/>
      <c r="I615" s="29">
        <f>ROUND(E615*G615,2)</f>
        <v>0</v>
      </c>
      <c r="J615" s="29">
        <f t="shared" si="71"/>
        <v>0</v>
      </c>
      <c r="K615" s="357">
        <f t="shared" si="72"/>
        <v>0</v>
      </c>
      <c r="L615" s="357">
        <f t="shared" si="73"/>
        <v>0</v>
      </c>
      <c r="Z615" s="49"/>
    </row>
    <row r="616" spans="1:26" hidden="1" outlineLevel="1" x14ac:dyDescent="0.3">
      <c r="A616" s="34"/>
      <c r="B616" s="113" t="s">
        <v>605</v>
      </c>
      <c r="C616" s="118"/>
      <c r="D616" s="114" t="s">
        <v>22</v>
      </c>
      <c r="E616" s="29">
        <v>0</v>
      </c>
      <c r="F616" s="29"/>
      <c r="G616" s="30">
        <v>61.27</v>
      </c>
      <c r="H616" s="29"/>
      <c r="I616" s="29">
        <f>ROUND(E616*G616,2)</f>
        <v>0</v>
      </c>
      <c r="J616" s="29">
        <f t="shared" si="71"/>
        <v>0</v>
      </c>
      <c r="K616" s="357">
        <f t="shared" si="72"/>
        <v>0</v>
      </c>
      <c r="L616" s="357">
        <f t="shared" si="73"/>
        <v>0</v>
      </c>
      <c r="Z616" s="49"/>
    </row>
    <row r="617" spans="1:26" hidden="1" outlineLevel="1" x14ac:dyDescent="0.3">
      <c r="A617" s="34"/>
      <c r="B617" s="113" t="s">
        <v>606</v>
      </c>
      <c r="C617" s="118"/>
      <c r="D617" s="114" t="s">
        <v>22</v>
      </c>
      <c r="E617" s="29">
        <v>0</v>
      </c>
      <c r="F617" s="29"/>
      <c r="G617" s="30">
        <v>40</v>
      </c>
      <c r="H617" s="29"/>
      <c r="I617" s="29">
        <f>ROUND(E617*G617,2)</f>
        <v>0</v>
      </c>
      <c r="J617" s="29">
        <f>H617+I617</f>
        <v>0</v>
      </c>
      <c r="K617" s="357">
        <f t="shared" si="72"/>
        <v>0</v>
      </c>
      <c r="L617" s="357">
        <f t="shared" si="73"/>
        <v>0</v>
      </c>
      <c r="Z617" s="49"/>
    </row>
    <row r="618" spans="1:26" hidden="1" outlineLevel="1" x14ac:dyDescent="0.3">
      <c r="A618" s="34" t="s">
        <v>607</v>
      </c>
      <c r="B618" s="27" t="s">
        <v>608</v>
      </c>
      <c r="C618" s="161"/>
      <c r="D618" s="28" t="s">
        <v>458</v>
      </c>
      <c r="E618" s="28">
        <f>E619</f>
        <v>0</v>
      </c>
      <c r="F618" s="28">
        <v>150</v>
      </c>
      <c r="G618" s="30"/>
      <c r="H618" s="29">
        <f>ROUND(F618*E618,2)</f>
        <v>0</v>
      </c>
      <c r="I618" s="29"/>
      <c r="J618" s="29">
        <f t="shared" si="71"/>
        <v>0</v>
      </c>
      <c r="K618" s="357">
        <f t="shared" si="72"/>
        <v>0</v>
      </c>
      <c r="L618" s="357">
        <f t="shared" si="73"/>
        <v>0</v>
      </c>
      <c r="Z618" s="49"/>
    </row>
    <row r="619" spans="1:26" hidden="1" outlineLevel="1" x14ac:dyDescent="0.3">
      <c r="A619" s="34"/>
      <c r="B619" s="113" t="s">
        <v>609</v>
      </c>
      <c r="C619" s="118"/>
      <c r="D619" s="114" t="s">
        <v>458</v>
      </c>
      <c r="E619" s="29">
        <v>0</v>
      </c>
      <c r="F619" s="29"/>
      <c r="G619" s="30">
        <f>107*3</f>
        <v>321</v>
      </c>
      <c r="H619" s="29"/>
      <c r="I619" s="29">
        <f>ROUND(E619*G619,2)</f>
        <v>0</v>
      </c>
      <c r="J619" s="29">
        <f t="shared" si="71"/>
        <v>0</v>
      </c>
      <c r="K619" s="357">
        <f t="shared" si="72"/>
        <v>0</v>
      </c>
      <c r="L619" s="357">
        <f t="shared" si="73"/>
        <v>0</v>
      </c>
      <c r="Z619" s="49"/>
    </row>
    <row r="620" spans="1:26" hidden="1" outlineLevel="1" x14ac:dyDescent="0.3">
      <c r="A620" s="34"/>
      <c r="B620" s="113" t="s">
        <v>610</v>
      </c>
      <c r="C620" s="118"/>
      <c r="D620" s="114" t="s">
        <v>22</v>
      </c>
      <c r="E620" s="29">
        <v>0</v>
      </c>
      <c r="F620" s="29"/>
      <c r="G620" s="30">
        <v>205</v>
      </c>
      <c r="H620" s="29"/>
      <c r="I620" s="29">
        <f>ROUND(E620*G620,2)</f>
        <v>0</v>
      </c>
      <c r="J620" s="29">
        <f t="shared" si="71"/>
        <v>0</v>
      </c>
      <c r="K620" s="357">
        <f t="shared" si="72"/>
        <v>0</v>
      </c>
      <c r="L620" s="357">
        <f t="shared" si="73"/>
        <v>0</v>
      </c>
      <c r="Z620" s="49"/>
    </row>
    <row r="621" spans="1:26" hidden="1" outlineLevel="1" x14ac:dyDescent="0.3">
      <c r="A621" s="178" t="s">
        <v>611</v>
      </c>
      <c r="B621" s="27" t="s">
        <v>580</v>
      </c>
      <c r="C621" s="161"/>
      <c r="D621" s="28" t="s">
        <v>458</v>
      </c>
      <c r="E621" s="28">
        <f>E613</f>
        <v>0</v>
      </c>
      <c r="F621" s="28">
        <v>150</v>
      </c>
      <c r="G621" s="30"/>
      <c r="H621" s="29">
        <f>ROUND(F621*E621,2)</f>
        <v>0</v>
      </c>
      <c r="I621" s="29"/>
      <c r="J621" s="29">
        <f t="shared" si="71"/>
        <v>0</v>
      </c>
      <c r="K621" s="357">
        <f t="shared" si="72"/>
        <v>0</v>
      </c>
      <c r="L621" s="357">
        <f t="shared" si="73"/>
        <v>0</v>
      </c>
      <c r="Z621" s="49"/>
    </row>
    <row r="622" spans="1:26" hidden="1" outlineLevel="1" x14ac:dyDescent="0.3">
      <c r="A622" s="34"/>
      <c r="B622" s="113" t="s">
        <v>612</v>
      </c>
      <c r="C622" s="118"/>
      <c r="D622" s="114" t="s">
        <v>22</v>
      </c>
      <c r="E622" s="29">
        <v>0</v>
      </c>
      <c r="F622" s="29"/>
      <c r="G622" s="30">
        <v>200</v>
      </c>
      <c r="H622" s="29"/>
      <c r="I622" s="29">
        <f>ROUND(E622*G622,2)</f>
        <v>0</v>
      </c>
      <c r="J622" s="29">
        <f t="shared" si="71"/>
        <v>0</v>
      </c>
      <c r="K622" s="357">
        <f t="shared" si="72"/>
        <v>0</v>
      </c>
      <c r="L622" s="357">
        <f t="shared" si="73"/>
        <v>0</v>
      </c>
      <c r="Z622" s="49"/>
    </row>
    <row r="623" spans="1:26" hidden="1" outlineLevel="1" x14ac:dyDescent="0.3">
      <c r="A623" s="178" t="s">
        <v>613</v>
      </c>
      <c r="B623" s="27" t="s">
        <v>614</v>
      </c>
      <c r="C623" s="161"/>
      <c r="D623" s="28" t="s">
        <v>22</v>
      </c>
      <c r="E623" s="28">
        <v>0</v>
      </c>
      <c r="F623" s="29"/>
      <c r="G623" s="30"/>
      <c r="H623" s="29"/>
      <c r="I623" s="29"/>
      <c r="J623" s="29">
        <f t="shared" si="71"/>
        <v>0</v>
      </c>
      <c r="K623" s="357">
        <f t="shared" si="72"/>
        <v>0</v>
      </c>
      <c r="L623" s="357">
        <f t="shared" si="73"/>
        <v>0</v>
      </c>
      <c r="Z623" s="49"/>
    </row>
    <row r="624" spans="1:26" hidden="1" outlineLevel="1" x14ac:dyDescent="0.3">
      <c r="A624" s="34"/>
      <c r="B624" s="113" t="s">
        <v>615</v>
      </c>
      <c r="C624" s="118"/>
      <c r="D624" s="114" t="s">
        <v>22</v>
      </c>
      <c r="E624" s="29">
        <v>0</v>
      </c>
      <c r="F624" s="29"/>
      <c r="G624" s="30">
        <v>5555</v>
      </c>
      <c r="H624" s="29"/>
      <c r="I624" s="29">
        <f>ROUND(E624*G624,2)</f>
        <v>0</v>
      </c>
      <c r="J624" s="29">
        <f t="shared" si="71"/>
        <v>0</v>
      </c>
      <c r="K624" s="357">
        <f t="shared" si="72"/>
        <v>0</v>
      </c>
      <c r="L624" s="357">
        <f t="shared" si="73"/>
        <v>0</v>
      </c>
      <c r="Z624" s="49"/>
    </row>
    <row r="625" spans="1:26" hidden="1" outlineLevel="1" x14ac:dyDescent="0.3">
      <c r="A625" s="34"/>
      <c r="B625" s="113" t="s">
        <v>616</v>
      </c>
      <c r="C625" s="118"/>
      <c r="D625" s="114" t="s">
        <v>22</v>
      </c>
      <c r="E625" s="29">
        <v>0</v>
      </c>
      <c r="F625" s="29"/>
      <c r="G625" s="30">
        <v>300</v>
      </c>
      <c r="H625" s="29"/>
      <c r="I625" s="29">
        <f>ROUND(E625*G625,2)</f>
        <v>0</v>
      </c>
      <c r="J625" s="29">
        <f>H625+I625</f>
        <v>0</v>
      </c>
      <c r="K625" s="357">
        <f t="shared" si="72"/>
        <v>0</v>
      </c>
      <c r="L625" s="357">
        <f t="shared" si="73"/>
        <v>0</v>
      </c>
      <c r="Z625" s="49"/>
    </row>
    <row r="626" spans="1:26" ht="31.2" hidden="1" outlineLevel="1" x14ac:dyDescent="0.3">
      <c r="A626" s="178" t="s">
        <v>617</v>
      </c>
      <c r="B626" s="27" t="s">
        <v>618</v>
      </c>
      <c r="C626" s="161"/>
      <c r="D626" s="28" t="s">
        <v>458</v>
      </c>
      <c r="E626" s="28">
        <f>E627</f>
        <v>0</v>
      </c>
      <c r="F626" s="28">
        <v>250</v>
      </c>
      <c r="G626" s="30"/>
      <c r="H626" s="29">
        <f>ROUND(F626*E626,2)</f>
        <v>0</v>
      </c>
      <c r="I626" s="29"/>
      <c r="J626" s="29">
        <f t="shared" si="71"/>
        <v>0</v>
      </c>
      <c r="K626" s="357">
        <f t="shared" si="72"/>
        <v>0</v>
      </c>
      <c r="L626" s="357">
        <f t="shared" si="73"/>
        <v>0</v>
      </c>
      <c r="Z626" s="49"/>
    </row>
    <row r="627" spans="1:26" hidden="1" outlineLevel="1" x14ac:dyDescent="0.3">
      <c r="A627" s="34"/>
      <c r="B627" s="113" t="s">
        <v>603</v>
      </c>
      <c r="C627" s="118"/>
      <c r="D627" s="114" t="s">
        <v>458</v>
      </c>
      <c r="E627" s="29">
        <v>0</v>
      </c>
      <c r="F627" s="29"/>
      <c r="G627" s="30">
        <v>103.95</v>
      </c>
      <c r="H627" s="29"/>
      <c r="I627" s="29">
        <f>ROUND(E627*G627,2)</f>
        <v>0</v>
      </c>
      <c r="J627" s="29">
        <f t="shared" si="71"/>
        <v>0</v>
      </c>
      <c r="K627" s="357">
        <f t="shared" si="72"/>
        <v>0</v>
      </c>
      <c r="L627" s="357">
        <f t="shared" si="73"/>
        <v>0</v>
      </c>
      <c r="Z627" s="49"/>
    </row>
    <row r="628" spans="1:26" hidden="1" outlineLevel="1" x14ac:dyDescent="0.3">
      <c r="A628" s="34"/>
      <c r="B628" s="113" t="s">
        <v>574</v>
      </c>
      <c r="C628" s="118"/>
      <c r="D628" s="114" t="s">
        <v>38</v>
      </c>
      <c r="E628" s="29">
        <v>0</v>
      </c>
      <c r="F628" s="29"/>
      <c r="G628" s="30">
        <v>100</v>
      </c>
      <c r="H628" s="29"/>
      <c r="I628" s="29">
        <f>ROUND(E628*G628,2)</f>
        <v>0</v>
      </c>
      <c r="J628" s="29">
        <f t="shared" si="71"/>
        <v>0</v>
      </c>
      <c r="K628" s="357">
        <f t="shared" si="72"/>
        <v>0</v>
      </c>
      <c r="L628" s="357">
        <f t="shared" si="73"/>
        <v>0</v>
      </c>
      <c r="Z628" s="49"/>
    </row>
    <row r="629" spans="1:26" hidden="1" outlineLevel="1" x14ac:dyDescent="0.3">
      <c r="A629" s="34"/>
      <c r="B629" s="161" t="s">
        <v>619</v>
      </c>
      <c r="C629" s="161"/>
      <c r="D629" s="29"/>
      <c r="E629" s="29"/>
      <c r="F629" s="29"/>
      <c r="G629" s="30"/>
      <c r="H629" s="29"/>
      <c r="I629" s="29"/>
      <c r="J629" s="29">
        <f t="shared" si="71"/>
        <v>0</v>
      </c>
      <c r="K629" s="357">
        <f t="shared" si="72"/>
        <v>0</v>
      </c>
      <c r="L629" s="357">
        <f t="shared" si="73"/>
        <v>0</v>
      </c>
      <c r="Z629" s="49"/>
    </row>
    <row r="630" spans="1:26" ht="31.2" hidden="1" outlineLevel="1" x14ac:dyDescent="0.3">
      <c r="A630" s="34"/>
      <c r="B630" s="27" t="s">
        <v>602</v>
      </c>
      <c r="C630" s="161"/>
      <c r="D630" s="29" t="s">
        <v>458</v>
      </c>
      <c r="E630" s="28">
        <f>E631</f>
        <v>0</v>
      </c>
      <c r="F630" s="28">
        <v>250</v>
      </c>
      <c r="G630" s="30"/>
      <c r="H630" s="29">
        <f>ROUND(F630*E630,2)</f>
        <v>0</v>
      </c>
      <c r="I630" s="29"/>
      <c r="J630" s="29">
        <f>H630+I630</f>
        <v>0</v>
      </c>
      <c r="K630" s="357">
        <f t="shared" si="72"/>
        <v>0</v>
      </c>
      <c r="L630" s="357">
        <f t="shared" si="73"/>
        <v>0</v>
      </c>
      <c r="M630" s="342"/>
      <c r="Z630" s="49"/>
    </row>
    <row r="631" spans="1:26" hidden="1" outlineLevel="1" x14ac:dyDescent="0.3">
      <c r="A631" s="34"/>
      <c r="B631" s="113" t="s">
        <v>620</v>
      </c>
      <c r="C631" s="118"/>
      <c r="D631" s="114" t="s">
        <v>458</v>
      </c>
      <c r="E631" s="29">
        <v>0</v>
      </c>
      <c r="F631" s="29"/>
      <c r="G631" s="30">
        <v>103.95</v>
      </c>
      <c r="H631" s="29"/>
      <c r="I631" s="29">
        <f t="shared" ref="I631:I641" si="75">ROUND(E631*G631,2)</f>
        <v>0</v>
      </c>
      <c r="J631" s="29">
        <f t="shared" si="71"/>
        <v>0</v>
      </c>
      <c r="K631" s="357">
        <f t="shared" si="72"/>
        <v>0</v>
      </c>
      <c r="L631" s="357">
        <f t="shared" si="73"/>
        <v>0</v>
      </c>
      <c r="M631" s="342"/>
      <c r="Z631" s="49"/>
    </row>
    <row r="632" spans="1:26" hidden="1" outlineLevel="1" x14ac:dyDescent="0.3">
      <c r="A632" s="34"/>
      <c r="B632" s="113" t="s">
        <v>220</v>
      </c>
      <c r="C632" s="118"/>
      <c r="D632" s="114" t="s">
        <v>40</v>
      </c>
      <c r="E632" s="29">
        <v>0</v>
      </c>
      <c r="F632" s="29"/>
      <c r="G632" s="30">
        <v>42</v>
      </c>
      <c r="H632" s="29"/>
      <c r="I632" s="29">
        <f t="shared" si="75"/>
        <v>0</v>
      </c>
      <c r="J632" s="29">
        <f t="shared" si="71"/>
        <v>0</v>
      </c>
      <c r="K632" s="357">
        <f t="shared" si="72"/>
        <v>0</v>
      </c>
      <c r="L632" s="357">
        <f t="shared" si="73"/>
        <v>0</v>
      </c>
      <c r="M632" s="342"/>
      <c r="Z632" s="49"/>
    </row>
    <row r="633" spans="1:26" hidden="1" outlineLevel="1" x14ac:dyDescent="0.3">
      <c r="A633" s="34"/>
      <c r="B633" s="27" t="s">
        <v>621</v>
      </c>
      <c r="C633" s="161"/>
      <c r="D633" s="29" t="s">
        <v>22</v>
      </c>
      <c r="E633" s="29">
        <v>0</v>
      </c>
      <c r="F633" s="29"/>
      <c r="G633" s="30"/>
      <c r="H633" s="29"/>
      <c r="I633" s="29">
        <f t="shared" si="75"/>
        <v>0</v>
      </c>
      <c r="J633" s="29">
        <f t="shared" si="71"/>
        <v>0</v>
      </c>
      <c r="K633" s="357">
        <f t="shared" si="72"/>
        <v>0</v>
      </c>
      <c r="L633" s="357">
        <f t="shared" si="73"/>
        <v>0</v>
      </c>
      <c r="M633" s="342"/>
      <c r="Z633" s="49"/>
    </row>
    <row r="634" spans="1:26" hidden="1" outlineLevel="1" x14ac:dyDescent="0.3">
      <c r="A634" s="34"/>
      <c r="B634" s="113" t="s">
        <v>622</v>
      </c>
      <c r="C634" s="118"/>
      <c r="D634" s="114" t="s">
        <v>22</v>
      </c>
      <c r="E634" s="29">
        <v>0</v>
      </c>
      <c r="F634" s="29"/>
      <c r="G634" s="30">
        <v>586.74</v>
      </c>
      <c r="H634" s="29"/>
      <c r="I634" s="29">
        <f t="shared" si="75"/>
        <v>0</v>
      </c>
      <c r="J634" s="29">
        <f t="shared" si="71"/>
        <v>0</v>
      </c>
      <c r="K634" s="357">
        <f t="shared" si="72"/>
        <v>0</v>
      </c>
      <c r="L634" s="357">
        <f t="shared" si="73"/>
        <v>0</v>
      </c>
      <c r="M634" s="342"/>
      <c r="Z634" s="49"/>
    </row>
    <row r="635" spans="1:26" hidden="1" outlineLevel="1" x14ac:dyDescent="0.3">
      <c r="A635" s="34"/>
      <c r="B635" s="113" t="s">
        <v>623</v>
      </c>
      <c r="C635" s="118"/>
      <c r="D635" s="114" t="s">
        <v>22</v>
      </c>
      <c r="E635" s="29">
        <v>0</v>
      </c>
      <c r="F635" s="29"/>
      <c r="G635" s="30">
        <v>429</v>
      </c>
      <c r="H635" s="29"/>
      <c r="I635" s="29">
        <f t="shared" si="75"/>
        <v>0</v>
      </c>
      <c r="J635" s="29">
        <f t="shared" si="71"/>
        <v>0</v>
      </c>
      <c r="K635" s="357">
        <f t="shared" si="72"/>
        <v>0</v>
      </c>
      <c r="L635" s="357">
        <f t="shared" si="73"/>
        <v>0</v>
      </c>
      <c r="M635" s="342"/>
      <c r="Z635" s="49"/>
    </row>
    <row r="636" spans="1:26" hidden="1" outlineLevel="1" x14ac:dyDescent="0.3">
      <c r="A636" s="34"/>
      <c r="B636" s="113" t="s">
        <v>624</v>
      </c>
      <c r="C636" s="118"/>
      <c r="D636" s="114" t="s">
        <v>22</v>
      </c>
      <c r="E636" s="29">
        <v>0</v>
      </c>
      <c r="F636" s="29"/>
      <c r="G636" s="30">
        <v>100</v>
      </c>
      <c r="H636" s="29"/>
      <c r="I636" s="29">
        <f t="shared" si="75"/>
        <v>0</v>
      </c>
      <c r="J636" s="29">
        <f t="shared" si="71"/>
        <v>0</v>
      </c>
      <c r="K636" s="357">
        <f t="shared" si="72"/>
        <v>0</v>
      </c>
      <c r="L636" s="357">
        <f t="shared" si="73"/>
        <v>0</v>
      </c>
      <c r="M636" s="342"/>
      <c r="Z636" s="49"/>
    </row>
    <row r="637" spans="1:26" hidden="1" outlineLevel="1" x14ac:dyDescent="0.3">
      <c r="A637" s="34"/>
      <c r="B637" s="113" t="s">
        <v>625</v>
      </c>
      <c r="C637" s="118"/>
      <c r="D637" s="114" t="s">
        <v>22</v>
      </c>
      <c r="E637" s="29">
        <v>0</v>
      </c>
      <c r="F637" s="29"/>
      <c r="G637" s="30">
        <v>40</v>
      </c>
      <c r="H637" s="29"/>
      <c r="I637" s="29">
        <f>ROUND(E637*G637,2)</f>
        <v>0</v>
      </c>
      <c r="J637" s="29">
        <f>H637+I637</f>
        <v>0</v>
      </c>
      <c r="K637" s="357">
        <f t="shared" si="72"/>
        <v>0</v>
      </c>
      <c r="L637" s="357">
        <f t="shared" si="73"/>
        <v>0</v>
      </c>
      <c r="M637" s="342"/>
      <c r="Z637" s="49"/>
    </row>
    <row r="638" spans="1:26" hidden="1" outlineLevel="1" x14ac:dyDescent="0.3">
      <c r="A638" s="34"/>
      <c r="B638" s="27" t="s">
        <v>580</v>
      </c>
      <c r="C638" s="161"/>
      <c r="D638" s="29" t="s">
        <v>458</v>
      </c>
      <c r="E638" s="29">
        <f>E630</f>
        <v>0</v>
      </c>
      <c r="F638" s="29"/>
      <c r="G638" s="30"/>
      <c r="H638" s="29"/>
      <c r="I638" s="29">
        <f t="shared" si="75"/>
        <v>0</v>
      </c>
      <c r="J638" s="29">
        <f t="shared" si="71"/>
        <v>0</v>
      </c>
      <c r="K638" s="357">
        <f t="shared" si="72"/>
        <v>0</v>
      </c>
      <c r="L638" s="357">
        <f t="shared" si="73"/>
        <v>0</v>
      </c>
      <c r="M638" s="342"/>
      <c r="Z638" s="49"/>
    </row>
    <row r="639" spans="1:26" hidden="1" outlineLevel="1" x14ac:dyDescent="0.3">
      <c r="A639" s="34"/>
      <c r="B639" s="113" t="s">
        <v>626</v>
      </c>
      <c r="C639" s="118"/>
      <c r="D639" s="114" t="s">
        <v>22</v>
      </c>
      <c r="E639" s="29">
        <v>0</v>
      </c>
      <c r="F639" s="29"/>
      <c r="G639" s="30">
        <v>200</v>
      </c>
      <c r="H639" s="29"/>
      <c r="I639" s="29">
        <f t="shared" si="75"/>
        <v>0</v>
      </c>
      <c r="J639" s="29">
        <f t="shared" si="71"/>
        <v>0</v>
      </c>
      <c r="K639" s="357">
        <f t="shared" si="72"/>
        <v>0</v>
      </c>
      <c r="L639" s="357">
        <f t="shared" si="73"/>
        <v>0</v>
      </c>
      <c r="M639" s="342"/>
      <c r="Z639" s="49"/>
    </row>
    <row r="640" spans="1:26" hidden="1" outlineLevel="1" x14ac:dyDescent="0.3">
      <c r="A640" s="34"/>
      <c r="B640" s="113" t="s">
        <v>574</v>
      </c>
      <c r="C640" s="118"/>
      <c r="D640" s="114" t="s">
        <v>38</v>
      </c>
      <c r="E640" s="29">
        <v>0</v>
      </c>
      <c r="F640" s="29"/>
      <c r="G640" s="30">
        <v>100</v>
      </c>
      <c r="H640" s="29"/>
      <c r="I640" s="29">
        <f t="shared" si="75"/>
        <v>0</v>
      </c>
      <c r="J640" s="29">
        <f>H640+I640</f>
        <v>0</v>
      </c>
      <c r="K640" s="357">
        <f t="shared" si="72"/>
        <v>0</v>
      </c>
      <c r="L640" s="357">
        <f t="shared" si="73"/>
        <v>0</v>
      </c>
      <c r="M640" s="179"/>
      <c r="Z640" s="49"/>
    </row>
    <row r="641" spans="1:26" hidden="1" outlineLevel="1" x14ac:dyDescent="0.3">
      <c r="A641" s="34" t="s">
        <v>627</v>
      </c>
      <c r="B641" s="161" t="s">
        <v>628</v>
      </c>
      <c r="C641" s="161"/>
      <c r="D641" s="29"/>
      <c r="E641" s="29"/>
      <c r="F641" s="29"/>
      <c r="G641" s="30"/>
      <c r="H641" s="29"/>
      <c r="I641" s="29">
        <f t="shared" si="75"/>
        <v>0</v>
      </c>
      <c r="J641" s="29">
        <f t="shared" si="71"/>
        <v>0</v>
      </c>
      <c r="K641" s="357">
        <f t="shared" si="72"/>
        <v>0</v>
      </c>
      <c r="L641" s="357">
        <f t="shared" si="73"/>
        <v>0</v>
      </c>
      <c r="Z641" s="49"/>
    </row>
    <row r="642" spans="1:26" ht="31.2" hidden="1" outlineLevel="1" x14ac:dyDescent="0.3">
      <c r="A642" s="34" t="s">
        <v>629</v>
      </c>
      <c r="B642" s="27" t="s">
        <v>630</v>
      </c>
      <c r="C642" s="161"/>
      <c r="D642" s="28" t="s">
        <v>458</v>
      </c>
      <c r="E642" s="28">
        <v>0</v>
      </c>
      <c r="F642" s="28">
        <v>30</v>
      </c>
      <c r="G642" s="30"/>
      <c r="H642" s="29"/>
      <c r="I642" s="29"/>
      <c r="J642" s="29"/>
      <c r="K642" s="357">
        <f t="shared" si="72"/>
        <v>0</v>
      </c>
      <c r="L642" s="357">
        <f t="shared" si="73"/>
        <v>0</v>
      </c>
      <c r="Z642" s="49"/>
    </row>
    <row r="643" spans="1:26" hidden="1" outlineLevel="1" x14ac:dyDescent="0.3">
      <c r="A643" s="34"/>
      <c r="B643" s="113" t="s">
        <v>631</v>
      </c>
      <c r="C643" s="118"/>
      <c r="D643" s="114" t="s">
        <v>22</v>
      </c>
      <c r="E643" s="117">
        <v>0</v>
      </c>
      <c r="F643" s="29"/>
      <c r="G643" s="30">
        <v>9275</v>
      </c>
      <c r="H643" s="29"/>
      <c r="I643" s="29"/>
      <c r="J643" s="29"/>
      <c r="K643" s="357">
        <f t="shared" si="72"/>
        <v>0</v>
      </c>
      <c r="L643" s="357">
        <f t="shared" si="73"/>
        <v>0</v>
      </c>
      <c r="Z643" s="49"/>
    </row>
    <row r="644" spans="1:26" hidden="1" outlineLevel="1" x14ac:dyDescent="0.3">
      <c r="A644" s="34"/>
      <c r="B644" s="113" t="s">
        <v>632</v>
      </c>
      <c r="C644" s="118"/>
      <c r="D644" s="114" t="s">
        <v>458</v>
      </c>
      <c r="E644" s="29">
        <f>E642</f>
        <v>0</v>
      </c>
      <c r="F644" s="29"/>
      <c r="G644" s="30">
        <v>3</v>
      </c>
      <c r="H644" s="29"/>
      <c r="I644" s="29"/>
      <c r="J644" s="29"/>
      <c r="K644" s="357">
        <f t="shared" si="72"/>
        <v>0</v>
      </c>
      <c r="L644" s="357">
        <f t="shared" si="73"/>
        <v>0</v>
      </c>
      <c r="Z644" s="49"/>
    </row>
    <row r="645" spans="1:26" ht="31.2" hidden="1" outlineLevel="1" x14ac:dyDescent="0.3">
      <c r="A645" s="34" t="s">
        <v>633</v>
      </c>
      <c r="B645" s="161" t="s">
        <v>634</v>
      </c>
      <c r="C645" s="161"/>
      <c r="D645" s="29"/>
      <c r="E645" s="29"/>
      <c r="F645" s="29"/>
      <c r="G645" s="30"/>
      <c r="H645" s="29"/>
      <c r="I645" s="29"/>
      <c r="J645" s="29">
        <f t="shared" si="71"/>
        <v>0</v>
      </c>
      <c r="K645" s="357">
        <f t="shared" si="72"/>
        <v>0</v>
      </c>
      <c r="L645" s="357">
        <f t="shared" si="73"/>
        <v>0</v>
      </c>
      <c r="Z645" s="49"/>
    </row>
    <row r="646" spans="1:26" hidden="1" outlineLevel="1" x14ac:dyDescent="0.3">
      <c r="A646" s="34"/>
      <c r="B646" s="27" t="s">
        <v>635</v>
      </c>
      <c r="C646" s="161"/>
      <c r="D646" s="29" t="s">
        <v>22</v>
      </c>
      <c r="E646" s="29">
        <v>0</v>
      </c>
      <c r="F646" s="29"/>
      <c r="G646" s="30"/>
      <c r="H646" s="29"/>
      <c r="I646" s="29"/>
      <c r="J646" s="29"/>
      <c r="K646" s="357">
        <f t="shared" si="72"/>
        <v>0</v>
      </c>
      <c r="L646" s="357">
        <f t="shared" si="73"/>
        <v>0</v>
      </c>
      <c r="M646" s="342"/>
      <c r="Z646" s="49"/>
    </row>
    <row r="647" spans="1:26" ht="31.2" hidden="1" outlineLevel="1" x14ac:dyDescent="0.3">
      <c r="A647" s="34"/>
      <c r="B647" s="113" t="s">
        <v>636</v>
      </c>
      <c r="C647" s="118"/>
      <c r="D647" s="114" t="s">
        <v>22</v>
      </c>
      <c r="E647" s="29">
        <v>0</v>
      </c>
      <c r="F647" s="29"/>
      <c r="G647" s="30">
        <f>2352*1.18</f>
        <v>2775.3599999999997</v>
      </c>
      <c r="H647" s="29"/>
      <c r="I647" s="29"/>
      <c r="J647" s="29"/>
      <c r="K647" s="357">
        <f t="shared" si="72"/>
        <v>0</v>
      </c>
      <c r="L647" s="357">
        <f t="shared" si="73"/>
        <v>0</v>
      </c>
      <c r="M647" s="342"/>
      <c r="Z647" s="49"/>
    </row>
    <row r="648" spans="1:26" hidden="1" outlineLevel="1" x14ac:dyDescent="0.3">
      <c r="A648" s="34" t="s">
        <v>637</v>
      </c>
      <c r="B648" s="27" t="s">
        <v>638</v>
      </c>
      <c r="C648" s="161"/>
      <c r="D648" s="28" t="s">
        <v>458</v>
      </c>
      <c r="E648" s="28">
        <f>E649</f>
        <v>0</v>
      </c>
      <c r="F648" s="28">
        <v>100</v>
      </c>
      <c r="G648" s="30"/>
      <c r="H648" s="29">
        <f>ROUND(F648*E648,2)</f>
        <v>0</v>
      </c>
      <c r="I648" s="29"/>
      <c r="J648" s="29">
        <f t="shared" si="71"/>
        <v>0</v>
      </c>
      <c r="K648" s="357">
        <f t="shared" si="72"/>
        <v>0</v>
      </c>
      <c r="L648" s="357">
        <f t="shared" si="73"/>
        <v>0</v>
      </c>
      <c r="Z648" s="49"/>
    </row>
    <row r="649" spans="1:26" hidden="1" outlineLevel="1" x14ac:dyDescent="0.3">
      <c r="A649" s="34"/>
      <c r="B649" s="113" t="s">
        <v>639</v>
      </c>
      <c r="C649" s="118"/>
      <c r="D649" s="114" t="s">
        <v>458</v>
      </c>
      <c r="E649" s="29">
        <v>0</v>
      </c>
      <c r="F649" s="29"/>
      <c r="G649" s="30">
        <f>2779*1.18</f>
        <v>3279.22</v>
      </c>
      <c r="H649" s="29"/>
      <c r="I649" s="29">
        <f>ROUND(E649*G649,2)</f>
        <v>0</v>
      </c>
      <c r="J649" s="29">
        <f t="shared" si="71"/>
        <v>0</v>
      </c>
      <c r="K649" s="357">
        <f t="shared" si="72"/>
        <v>0</v>
      </c>
      <c r="L649" s="357">
        <f t="shared" si="73"/>
        <v>0</v>
      </c>
      <c r="Z649" s="49"/>
    </row>
    <row r="650" spans="1:26" ht="31.2" hidden="1" outlineLevel="1" x14ac:dyDescent="0.3">
      <c r="A650" s="34" t="s">
        <v>640</v>
      </c>
      <c r="B650" s="27" t="s">
        <v>641</v>
      </c>
      <c r="C650" s="161"/>
      <c r="D650" s="28" t="s">
        <v>458</v>
      </c>
      <c r="E650" s="28">
        <f>E651</f>
        <v>0</v>
      </c>
      <c r="F650" s="28">
        <v>85</v>
      </c>
      <c r="G650" s="30"/>
      <c r="H650" s="29">
        <f>ROUND(F650*E650,2)</f>
        <v>0</v>
      </c>
      <c r="I650" s="29"/>
      <c r="J650" s="29">
        <f t="shared" si="71"/>
        <v>0</v>
      </c>
      <c r="K650" s="357">
        <f t="shared" si="72"/>
        <v>0</v>
      </c>
      <c r="L650" s="357">
        <f t="shared" si="73"/>
        <v>0</v>
      </c>
      <c r="Z650" s="49"/>
    </row>
    <row r="651" spans="1:26" hidden="1" outlineLevel="1" x14ac:dyDescent="0.3">
      <c r="A651" s="34"/>
      <c r="B651" s="113" t="s">
        <v>642</v>
      </c>
      <c r="C651" s="118"/>
      <c r="D651" s="114" t="s">
        <v>458</v>
      </c>
      <c r="E651" s="29">
        <v>0</v>
      </c>
      <c r="F651" s="29"/>
      <c r="G651" s="30">
        <f>1626.1/5.5</f>
        <v>295.65454545454543</v>
      </c>
      <c r="H651" s="29"/>
      <c r="I651" s="29">
        <f>ROUND(E651*G651,2)</f>
        <v>0</v>
      </c>
      <c r="J651" s="29">
        <f t="shared" si="71"/>
        <v>0</v>
      </c>
      <c r="K651" s="357">
        <f t="shared" si="72"/>
        <v>0</v>
      </c>
      <c r="L651" s="357">
        <f t="shared" si="73"/>
        <v>0</v>
      </c>
      <c r="Z651" s="49"/>
    </row>
    <row r="652" spans="1:26" s="31" customFormat="1" hidden="1" outlineLevel="1" x14ac:dyDescent="0.3">
      <c r="A652" s="34" t="s">
        <v>643</v>
      </c>
      <c r="B652" s="27" t="s">
        <v>644</v>
      </c>
      <c r="C652" s="161"/>
      <c r="D652" s="28" t="s">
        <v>22</v>
      </c>
      <c r="E652" s="28">
        <v>0</v>
      </c>
      <c r="F652" s="25"/>
      <c r="G652" s="30"/>
      <c r="H652" s="29"/>
      <c r="I652" s="29"/>
      <c r="J652" s="29">
        <f t="shared" si="71"/>
        <v>0</v>
      </c>
      <c r="K652" s="357">
        <f t="shared" si="72"/>
        <v>0</v>
      </c>
      <c r="L652" s="357">
        <f t="shared" si="73"/>
        <v>0</v>
      </c>
      <c r="Y652" s="200"/>
      <c r="Z652" s="49"/>
    </row>
    <row r="653" spans="1:26" hidden="1" outlineLevel="1" x14ac:dyDescent="0.3">
      <c r="A653" s="34"/>
      <c r="B653" s="113" t="s">
        <v>645</v>
      </c>
      <c r="C653" s="118"/>
      <c r="D653" s="114" t="s">
        <v>22</v>
      </c>
      <c r="E653" s="29">
        <v>0</v>
      </c>
      <c r="F653" s="29"/>
      <c r="G653" s="30">
        <v>480.3</v>
      </c>
      <c r="H653" s="29"/>
      <c r="I653" s="29">
        <f>ROUND(E653*G653,2)</f>
        <v>0</v>
      </c>
      <c r="J653" s="29">
        <f t="shared" si="71"/>
        <v>0</v>
      </c>
      <c r="K653" s="357">
        <f t="shared" si="72"/>
        <v>0</v>
      </c>
      <c r="L653" s="357">
        <f t="shared" si="73"/>
        <v>0</v>
      </c>
      <c r="Z653" s="49"/>
    </row>
    <row r="654" spans="1:26" hidden="1" outlineLevel="1" x14ac:dyDescent="0.3">
      <c r="A654" s="34"/>
      <c r="B654" s="113" t="s">
        <v>646</v>
      </c>
      <c r="C654" s="118"/>
      <c r="D654" s="114" t="s">
        <v>22</v>
      </c>
      <c r="E654" s="29">
        <v>0</v>
      </c>
      <c r="F654" s="29"/>
      <c r="G654" s="30">
        <v>322.2</v>
      </c>
      <c r="H654" s="29"/>
      <c r="I654" s="29">
        <f>ROUND(E654*G654,2)</f>
        <v>0</v>
      </c>
      <c r="J654" s="29">
        <f t="shared" si="71"/>
        <v>0</v>
      </c>
      <c r="K654" s="357">
        <f t="shared" si="72"/>
        <v>0</v>
      </c>
      <c r="L654" s="357">
        <f t="shared" si="73"/>
        <v>0</v>
      </c>
      <c r="Z654" s="49"/>
    </row>
    <row r="655" spans="1:26" hidden="1" outlineLevel="1" x14ac:dyDescent="0.3">
      <c r="A655" s="34" t="s">
        <v>647</v>
      </c>
      <c r="B655" s="161" t="s">
        <v>648</v>
      </c>
      <c r="C655" s="161"/>
      <c r="D655" s="29"/>
      <c r="E655" s="29"/>
      <c r="F655" s="29"/>
      <c r="G655" s="30"/>
      <c r="H655" s="29"/>
      <c r="I655" s="29"/>
      <c r="J655" s="29">
        <f t="shared" si="71"/>
        <v>0</v>
      </c>
      <c r="K655" s="357">
        <f t="shared" si="72"/>
        <v>0</v>
      </c>
      <c r="L655" s="357">
        <f t="shared" si="73"/>
        <v>0</v>
      </c>
      <c r="Z655" s="49"/>
    </row>
    <row r="656" spans="1:26" ht="31.2" hidden="1" outlineLevel="1" x14ac:dyDescent="0.3">
      <c r="A656" s="34" t="s">
        <v>649</v>
      </c>
      <c r="B656" s="39" t="s">
        <v>650</v>
      </c>
      <c r="C656" s="28"/>
      <c r="D656" s="28" t="s">
        <v>458</v>
      </c>
      <c r="E656" s="28">
        <v>0</v>
      </c>
      <c r="F656" s="28">
        <v>150</v>
      </c>
      <c r="G656" s="30"/>
      <c r="H656" s="29">
        <f>ROUND(F656*E656,2)</f>
        <v>0</v>
      </c>
      <c r="I656" s="29"/>
      <c r="J656" s="29">
        <f t="shared" si="71"/>
        <v>0</v>
      </c>
      <c r="K656" s="357">
        <f t="shared" si="72"/>
        <v>0</v>
      </c>
      <c r="L656" s="357">
        <f t="shared" si="73"/>
        <v>0</v>
      </c>
      <c r="Z656" s="49"/>
    </row>
    <row r="657" spans="1:26" hidden="1" outlineLevel="1" x14ac:dyDescent="0.3">
      <c r="A657" s="34"/>
      <c r="B657" s="111" t="s">
        <v>651</v>
      </c>
      <c r="C657" s="154"/>
      <c r="D657" s="114" t="s">
        <v>458</v>
      </c>
      <c r="E657" s="29">
        <v>0</v>
      </c>
      <c r="F657" s="29"/>
      <c r="G657" s="30">
        <v>64.900000000000006</v>
      </c>
      <c r="H657" s="29"/>
      <c r="I657" s="29">
        <f>ROUND(E657*G657,2)</f>
        <v>0</v>
      </c>
      <c r="J657" s="29">
        <f t="shared" si="71"/>
        <v>0</v>
      </c>
      <c r="K657" s="357">
        <f t="shared" si="72"/>
        <v>0</v>
      </c>
      <c r="L657" s="357">
        <f t="shared" si="73"/>
        <v>0</v>
      </c>
      <c r="Z657" s="49"/>
    </row>
    <row r="658" spans="1:26" ht="31.2" hidden="1" outlineLevel="1" x14ac:dyDescent="0.3">
      <c r="A658" s="34" t="s">
        <v>652</v>
      </c>
      <c r="B658" s="27" t="s">
        <v>565</v>
      </c>
      <c r="C658" s="161"/>
      <c r="D658" s="28" t="s">
        <v>458</v>
      </c>
      <c r="E658" s="28">
        <f>E659+E660+E661+E662</f>
        <v>0</v>
      </c>
      <c r="F658" s="28">
        <v>85</v>
      </c>
      <c r="G658" s="30"/>
      <c r="H658" s="29">
        <f>ROUND(F658*E658,2)</f>
        <v>0</v>
      </c>
      <c r="I658" s="29"/>
      <c r="J658" s="29">
        <f t="shared" si="71"/>
        <v>0</v>
      </c>
      <c r="K658" s="357">
        <f t="shared" si="72"/>
        <v>0</v>
      </c>
      <c r="L658" s="357">
        <f t="shared" si="73"/>
        <v>0</v>
      </c>
      <c r="Z658" s="49"/>
    </row>
    <row r="659" spans="1:26" hidden="1" outlineLevel="1" x14ac:dyDescent="0.3">
      <c r="A659" s="34"/>
      <c r="B659" s="111" t="s">
        <v>566</v>
      </c>
      <c r="C659" s="154"/>
      <c r="D659" s="114" t="s">
        <v>458</v>
      </c>
      <c r="E659" s="29">
        <v>0</v>
      </c>
      <c r="F659" s="29"/>
      <c r="G659" s="30">
        <v>22.07</v>
      </c>
      <c r="H659" s="29"/>
      <c r="I659" s="29">
        <f t="shared" ref="I659:I666" si="76">ROUND(E659*G659,2)</f>
        <v>0</v>
      </c>
      <c r="J659" s="29">
        <f t="shared" ref="J659:J689" si="77">H659+I659</f>
        <v>0</v>
      </c>
      <c r="K659" s="357">
        <f t="shared" si="72"/>
        <v>0</v>
      </c>
      <c r="L659" s="357">
        <f t="shared" si="73"/>
        <v>0</v>
      </c>
      <c r="Z659" s="49"/>
    </row>
    <row r="660" spans="1:26" hidden="1" outlineLevel="1" x14ac:dyDescent="0.3">
      <c r="A660" s="34"/>
      <c r="B660" s="111" t="s">
        <v>653</v>
      </c>
      <c r="C660" s="154"/>
      <c r="D660" s="114" t="s">
        <v>458</v>
      </c>
      <c r="E660" s="29">
        <v>0</v>
      </c>
      <c r="F660" s="29"/>
      <c r="G660" s="30">
        <v>25.75</v>
      </c>
      <c r="H660" s="29"/>
      <c r="I660" s="29">
        <f t="shared" si="76"/>
        <v>0</v>
      </c>
      <c r="J660" s="29">
        <f t="shared" si="77"/>
        <v>0</v>
      </c>
      <c r="K660" s="357">
        <f t="shared" ref="K660:K723" si="78">IF(H660&gt;0,Z660,0)</f>
        <v>0</v>
      </c>
      <c r="L660" s="357">
        <f t="shared" ref="L660:L723" si="79">IF(I660&gt;0,Z660,0)</f>
        <v>0</v>
      </c>
      <c r="Z660" s="49"/>
    </row>
    <row r="661" spans="1:26" hidden="1" outlineLevel="1" x14ac:dyDescent="0.3">
      <c r="A661" s="34"/>
      <c r="B661" s="111" t="s">
        <v>567</v>
      </c>
      <c r="C661" s="154"/>
      <c r="D661" s="114" t="s">
        <v>458</v>
      </c>
      <c r="E661" s="29">
        <v>0</v>
      </c>
      <c r="F661" s="29"/>
      <c r="G661" s="30">
        <v>58.9</v>
      </c>
      <c r="H661" s="29"/>
      <c r="I661" s="29">
        <f t="shared" si="76"/>
        <v>0</v>
      </c>
      <c r="J661" s="29">
        <f t="shared" si="77"/>
        <v>0</v>
      </c>
      <c r="K661" s="357">
        <f t="shared" si="78"/>
        <v>0</v>
      </c>
      <c r="L661" s="357">
        <f t="shared" si="79"/>
        <v>0</v>
      </c>
      <c r="Z661" s="49"/>
    </row>
    <row r="662" spans="1:26" hidden="1" outlineLevel="1" x14ac:dyDescent="0.3">
      <c r="A662" s="34"/>
      <c r="B662" s="111" t="s">
        <v>654</v>
      </c>
      <c r="C662" s="154"/>
      <c r="D662" s="114" t="s">
        <v>458</v>
      </c>
      <c r="E662" s="29">
        <v>0</v>
      </c>
      <c r="F662" s="29"/>
      <c r="G662" s="30">
        <v>75</v>
      </c>
      <c r="H662" s="29"/>
      <c r="I662" s="29">
        <f t="shared" si="76"/>
        <v>0</v>
      </c>
      <c r="J662" s="29">
        <f>H662+I662</f>
        <v>0</v>
      </c>
      <c r="K662" s="357">
        <f t="shared" si="78"/>
        <v>0</v>
      </c>
      <c r="L662" s="357">
        <f t="shared" si="79"/>
        <v>0</v>
      </c>
      <c r="Z662" s="49"/>
    </row>
    <row r="663" spans="1:26" hidden="1" outlineLevel="1" x14ac:dyDescent="0.3">
      <c r="A663" s="34"/>
      <c r="B663" s="113" t="s">
        <v>655</v>
      </c>
      <c r="C663" s="118"/>
      <c r="D663" s="114" t="s">
        <v>22</v>
      </c>
      <c r="E663" s="29">
        <v>0</v>
      </c>
      <c r="F663" s="29"/>
      <c r="G663" s="30">
        <v>198</v>
      </c>
      <c r="H663" s="29"/>
      <c r="I663" s="29">
        <f t="shared" si="76"/>
        <v>0</v>
      </c>
      <c r="J663" s="29">
        <f t="shared" si="77"/>
        <v>0</v>
      </c>
      <c r="K663" s="357">
        <f t="shared" si="78"/>
        <v>0</v>
      </c>
      <c r="L663" s="357">
        <f t="shared" si="79"/>
        <v>0</v>
      </c>
      <c r="Z663" s="49"/>
    </row>
    <row r="664" spans="1:26" hidden="1" outlineLevel="1" x14ac:dyDescent="0.3">
      <c r="A664" s="34"/>
      <c r="B664" s="113" t="s">
        <v>656</v>
      </c>
      <c r="C664" s="118"/>
      <c r="D664" s="114" t="s">
        <v>22</v>
      </c>
      <c r="E664" s="29">
        <v>0</v>
      </c>
      <c r="F664" s="29"/>
      <c r="G664" s="30">
        <v>198</v>
      </c>
      <c r="H664" s="29"/>
      <c r="I664" s="29">
        <f t="shared" si="76"/>
        <v>0</v>
      </c>
      <c r="J664" s="29">
        <f t="shared" si="77"/>
        <v>0</v>
      </c>
      <c r="K664" s="357">
        <f t="shared" si="78"/>
        <v>0</v>
      </c>
      <c r="L664" s="357">
        <f t="shared" si="79"/>
        <v>0</v>
      </c>
      <c r="Z664" s="49"/>
    </row>
    <row r="665" spans="1:26" ht="31.2" hidden="1" outlineLevel="1" x14ac:dyDescent="0.3">
      <c r="A665" s="34"/>
      <c r="B665" s="113" t="s">
        <v>573</v>
      </c>
      <c r="C665" s="118"/>
      <c r="D665" s="114" t="s">
        <v>22</v>
      </c>
      <c r="E665" s="38">
        <v>0</v>
      </c>
      <c r="F665" s="29"/>
      <c r="G665" s="30">
        <v>70</v>
      </c>
      <c r="H665" s="29"/>
      <c r="I665" s="29">
        <f t="shared" si="76"/>
        <v>0</v>
      </c>
      <c r="J665" s="29">
        <f t="shared" si="77"/>
        <v>0</v>
      </c>
      <c r="K665" s="357">
        <f t="shared" si="78"/>
        <v>0</v>
      </c>
      <c r="L665" s="357">
        <f t="shared" si="79"/>
        <v>0</v>
      </c>
      <c r="Z665" s="49"/>
    </row>
    <row r="666" spans="1:26" ht="31.2" hidden="1" outlineLevel="1" x14ac:dyDescent="0.3">
      <c r="A666" s="34"/>
      <c r="B666" s="113" t="s">
        <v>657</v>
      </c>
      <c r="C666" s="118"/>
      <c r="D666" s="114" t="s">
        <v>458</v>
      </c>
      <c r="E666" s="29">
        <v>0</v>
      </c>
      <c r="F666" s="29"/>
      <c r="G666" s="30">
        <v>35</v>
      </c>
      <c r="H666" s="29"/>
      <c r="I666" s="29">
        <f t="shared" si="76"/>
        <v>0</v>
      </c>
      <c r="J666" s="29">
        <f>H666+I666</f>
        <v>0</v>
      </c>
      <c r="K666" s="357">
        <f t="shared" si="78"/>
        <v>0</v>
      </c>
      <c r="L666" s="357">
        <f t="shared" si="79"/>
        <v>0</v>
      </c>
      <c r="Z666" s="49"/>
    </row>
    <row r="667" spans="1:26" hidden="1" outlineLevel="1" x14ac:dyDescent="0.3">
      <c r="A667" s="34" t="s">
        <v>658</v>
      </c>
      <c r="B667" s="27" t="s">
        <v>580</v>
      </c>
      <c r="C667" s="161"/>
      <c r="D667" s="28" t="s">
        <v>458</v>
      </c>
      <c r="E667" s="28">
        <f>E668</f>
        <v>0</v>
      </c>
      <c r="F667" s="28">
        <v>30</v>
      </c>
      <c r="G667" s="30"/>
      <c r="H667" s="29">
        <f>ROUND(F667*E667,2)</f>
        <v>0</v>
      </c>
      <c r="I667" s="29"/>
      <c r="J667" s="29">
        <f t="shared" si="77"/>
        <v>0</v>
      </c>
      <c r="K667" s="357">
        <f t="shared" si="78"/>
        <v>0</v>
      </c>
      <c r="L667" s="357">
        <f t="shared" si="79"/>
        <v>0</v>
      </c>
      <c r="Z667" s="49"/>
    </row>
    <row r="668" spans="1:26" hidden="1" outlineLevel="1" x14ac:dyDescent="0.3">
      <c r="A668" s="34"/>
      <c r="B668" s="113" t="s">
        <v>659</v>
      </c>
      <c r="C668" s="118"/>
      <c r="D668" s="114" t="s">
        <v>458</v>
      </c>
      <c r="E668" s="29">
        <v>0</v>
      </c>
      <c r="F668" s="29"/>
      <c r="G668" s="30">
        <v>74</v>
      </c>
      <c r="H668" s="29"/>
      <c r="I668" s="29">
        <f>ROUND(E668*G668,2)</f>
        <v>0</v>
      </c>
      <c r="J668" s="29">
        <f t="shared" si="77"/>
        <v>0</v>
      </c>
      <c r="K668" s="357">
        <f t="shared" si="78"/>
        <v>0</v>
      </c>
      <c r="L668" s="357">
        <f t="shared" si="79"/>
        <v>0</v>
      </c>
      <c r="Z668" s="49"/>
    </row>
    <row r="669" spans="1:26" hidden="1" outlineLevel="1" x14ac:dyDescent="0.3">
      <c r="A669" s="34" t="s">
        <v>660</v>
      </c>
      <c r="B669" s="27" t="s">
        <v>661</v>
      </c>
      <c r="C669" s="161"/>
      <c r="D669" s="28" t="s">
        <v>22</v>
      </c>
      <c r="E669" s="28">
        <f>E670</f>
        <v>0</v>
      </c>
      <c r="F669" s="28">
        <v>500</v>
      </c>
      <c r="G669" s="30"/>
      <c r="H669" s="29">
        <f>ROUND(F669*E669,2)</f>
        <v>0</v>
      </c>
      <c r="I669" s="29"/>
      <c r="J669" s="29">
        <f t="shared" si="77"/>
        <v>0</v>
      </c>
      <c r="K669" s="357">
        <f t="shared" si="78"/>
        <v>0</v>
      </c>
      <c r="L669" s="357">
        <f t="shared" si="79"/>
        <v>0</v>
      </c>
      <c r="Z669" s="49"/>
    </row>
    <row r="670" spans="1:26" hidden="1" outlineLevel="1" x14ac:dyDescent="0.3">
      <c r="A670" s="34"/>
      <c r="B670" s="111" t="s">
        <v>662</v>
      </c>
      <c r="C670" s="154"/>
      <c r="D670" s="114" t="s">
        <v>22</v>
      </c>
      <c r="E670" s="29">
        <v>0</v>
      </c>
      <c r="F670" s="29"/>
      <c r="G670" s="30">
        <v>400</v>
      </c>
      <c r="H670" s="29"/>
      <c r="I670" s="29">
        <f>ROUND(E670*G670,2)</f>
        <v>0</v>
      </c>
      <c r="J670" s="29">
        <f t="shared" si="77"/>
        <v>0</v>
      </c>
      <c r="K670" s="357">
        <f t="shared" si="78"/>
        <v>0</v>
      </c>
      <c r="L670" s="357">
        <f t="shared" si="79"/>
        <v>0</v>
      </c>
      <c r="Z670" s="49"/>
    </row>
    <row r="671" spans="1:26" hidden="1" outlineLevel="1" x14ac:dyDescent="0.3">
      <c r="A671" s="34"/>
      <c r="B671" s="111" t="s">
        <v>663</v>
      </c>
      <c r="C671" s="154"/>
      <c r="D671" s="114" t="s">
        <v>22</v>
      </c>
      <c r="E671" s="29">
        <f>E670</f>
        <v>0</v>
      </c>
      <c r="F671" s="29"/>
      <c r="G671" s="30">
        <v>210.8</v>
      </c>
      <c r="H671" s="29"/>
      <c r="I671" s="29">
        <f>ROUND(E671*G671,2)</f>
        <v>0</v>
      </c>
      <c r="J671" s="29">
        <f t="shared" si="77"/>
        <v>0</v>
      </c>
      <c r="K671" s="357">
        <f t="shared" si="78"/>
        <v>0</v>
      </c>
      <c r="L671" s="357">
        <f t="shared" si="79"/>
        <v>0</v>
      </c>
      <c r="Z671" s="49"/>
    </row>
    <row r="672" spans="1:26" hidden="1" outlineLevel="1" x14ac:dyDescent="0.3">
      <c r="A672" s="34" t="s">
        <v>664</v>
      </c>
      <c r="B672" s="27" t="s">
        <v>665</v>
      </c>
      <c r="C672" s="161"/>
      <c r="D672" s="28" t="s">
        <v>22</v>
      </c>
      <c r="E672" s="28">
        <f>E671</f>
        <v>0</v>
      </c>
      <c r="F672" s="28">
        <v>520</v>
      </c>
      <c r="G672" s="30"/>
      <c r="H672" s="29">
        <f>ROUND(F672*E672,2)</f>
        <v>0</v>
      </c>
      <c r="I672" s="29"/>
      <c r="J672" s="29">
        <f t="shared" si="77"/>
        <v>0</v>
      </c>
      <c r="K672" s="357">
        <f t="shared" si="78"/>
        <v>0</v>
      </c>
      <c r="L672" s="357">
        <f t="shared" si="79"/>
        <v>0</v>
      </c>
      <c r="Z672" s="49"/>
    </row>
    <row r="673" spans="1:26" ht="31.2" hidden="1" outlineLevel="1" x14ac:dyDescent="0.3">
      <c r="A673" s="34"/>
      <c r="B673" s="111" t="s">
        <v>666</v>
      </c>
      <c r="C673" s="154"/>
      <c r="D673" s="114" t="s">
        <v>22</v>
      </c>
      <c r="E673" s="29">
        <f>E672</f>
        <v>0</v>
      </c>
      <c r="F673" s="29"/>
      <c r="G673" s="30">
        <v>900</v>
      </c>
      <c r="H673" s="29"/>
      <c r="I673" s="29">
        <f>ROUND(E673*G673,2)</f>
        <v>0</v>
      </c>
      <c r="J673" s="29">
        <f t="shared" si="77"/>
        <v>0</v>
      </c>
      <c r="K673" s="357">
        <f t="shared" si="78"/>
        <v>0</v>
      </c>
      <c r="L673" s="357">
        <f t="shared" si="79"/>
        <v>0</v>
      </c>
      <c r="Z673" s="49"/>
    </row>
    <row r="674" spans="1:26" hidden="1" outlineLevel="1" x14ac:dyDescent="0.3">
      <c r="A674" s="34" t="s">
        <v>667</v>
      </c>
      <c r="B674" s="161" t="s">
        <v>668</v>
      </c>
      <c r="C674" s="161"/>
      <c r="D674" s="29"/>
      <c r="E674" s="29"/>
      <c r="F674" s="29"/>
      <c r="G674" s="30"/>
      <c r="H674" s="29"/>
      <c r="I674" s="29"/>
      <c r="J674" s="29">
        <f t="shared" si="77"/>
        <v>0</v>
      </c>
      <c r="K674" s="357">
        <f t="shared" si="78"/>
        <v>0</v>
      </c>
      <c r="L674" s="357">
        <f t="shared" si="79"/>
        <v>0</v>
      </c>
      <c r="Z674" s="49"/>
    </row>
    <row r="675" spans="1:26" ht="31.2" hidden="1" outlineLevel="1" x14ac:dyDescent="0.3">
      <c r="A675" s="34" t="s">
        <v>669</v>
      </c>
      <c r="B675" s="27" t="s">
        <v>670</v>
      </c>
      <c r="C675" s="161"/>
      <c r="D675" s="28" t="s">
        <v>458</v>
      </c>
      <c r="E675" s="28">
        <f>E676</f>
        <v>0</v>
      </c>
      <c r="F675" s="28">
        <v>85</v>
      </c>
      <c r="G675" s="30"/>
      <c r="H675" s="29">
        <f>ROUND(F675*E675,2)</f>
        <v>0</v>
      </c>
      <c r="I675" s="29">
        <f>E675*G675</f>
        <v>0</v>
      </c>
      <c r="J675" s="29">
        <f t="shared" si="77"/>
        <v>0</v>
      </c>
      <c r="K675" s="357">
        <f t="shared" si="78"/>
        <v>0</v>
      </c>
      <c r="L675" s="357">
        <f t="shared" si="79"/>
        <v>0</v>
      </c>
      <c r="Z675" s="49"/>
    </row>
    <row r="676" spans="1:26" hidden="1" outlineLevel="1" x14ac:dyDescent="0.3">
      <c r="A676" s="34"/>
      <c r="B676" s="111" t="s">
        <v>671</v>
      </c>
      <c r="C676" s="154"/>
      <c r="D676" s="114" t="s">
        <v>458</v>
      </c>
      <c r="E676" s="29">
        <v>0</v>
      </c>
      <c r="F676" s="29"/>
      <c r="G676" s="30">
        <v>170</v>
      </c>
      <c r="H676" s="29"/>
      <c r="I676" s="29">
        <f>ROUND(E676*G676,2)</f>
        <v>0</v>
      </c>
      <c r="J676" s="29">
        <f t="shared" si="77"/>
        <v>0</v>
      </c>
      <c r="K676" s="357">
        <f t="shared" si="78"/>
        <v>0</v>
      </c>
      <c r="L676" s="357">
        <f t="shared" si="79"/>
        <v>0</v>
      </c>
      <c r="Z676" s="49"/>
    </row>
    <row r="677" spans="1:26" hidden="1" outlineLevel="1" x14ac:dyDescent="0.3">
      <c r="A677" s="34"/>
      <c r="B677" s="113" t="s">
        <v>656</v>
      </c>
      <c r="C677" s="118"/>
      <c r="D677" s="114" t="s">
        <v>22</v>
      </c>
      <c r="E677" s="29">
        <v>0</v>
      </c>
      <c r="F677" s="29"/>
      <c r="G677" s="30">
        <v>198</v>
      </c>
      <c r="H677" s="29"/>
      <c r="I677" s="29">
        <f>ROUND(E677*G677,2)</f>
        <v>0</v>
      </c>
      <c r="J677" s="29">
        <f t="shared" si="77"/>
        <v>0</v>
      </c>
      <c r="K677" s="357">
        <f t="shared" si="78"/>
        <v>0</v>
      </c>
      <c r="L677" s="357">
        <f t="shared" si="79"/>
        <v>0</v>
      </c>
      <c r="Z677" s="49"/>
    </row>
    <row r="678" spans="1:26" ht="31.2" hidden="1" outlineLevel="1" x14ac:dyDescent="0.3">
      <c r="A678" s="34"/>
      <c r="B678" s="113" t="s">
        <v>573</v>
      </c>
      <c r="C678" s="118"/>
      <c r="D678" s="114" t="s">
        <v>22</v>
      </c>
      <c r="E678" s="29">
        <v>0</v>
      </c>
      <c r="F678" s="29"/>
      <c r="G678" s="30">
        <v>120</v>
      </c>
      <c r="H678" s="29"/>
      <c r="I678" s="29">
        <f>ROUND(E678*G678,2)</f>
        <v>0</v>
      </c>
      <c r="J678" s="29">
        <f t="shared" si="77"/>
        <v>0</v>
      </c>
      <c r="K678" s="357">
        <f t="shared" si="78"/>
        <v>0</v>
      </c>
      <c r="L678" s="357">
        <f t="shared" si="79"/>
        <v>0</v>
      </c>
      <c r="Z678" s="49"/>
    </row>
    <row r="679" spans="1:26" ht="31.2" hidden="1" outlineLevel="1" x14ac:dyDescent="0.3">
      <c r="A679" s="34"/>
      <c r="B679" s="113" t="s">
        <v>672</v>
      </c>
      <c r="C679" s="118"/>
      <c r="D679" s="114" t="s">
        <v>458</v>
      </c>
      <c r="E679" s="29">
        <v>0</v>
      </c>
      <c r="F679" s="29"/>
      <c r="G679" s="30">
        <v>35</v>
      </c>
      <c r="H679" s="29"/>
      <c r="I679" s="29">
        <f>ROUND(E679*G679,2)</f>
        <v>0</v>
      </c>
      <c r="J679" s="29">
        <f>H679+I679</f>
        <v>0</v>
      </c>
      <c r="K679" s="357">
        <f t="shared" si="78"/>
        <v>0</v>
      </c>
      <c r="L679" s="357">
        <f t="shared" si="79"/>
        <v>0</v>
      </c>
      <c r="Z679" s="49"/>
    </row>
    <row r="680" spans="1:26" hidden="1" outlineLevel="1" x14ac:dyDescent="0.3">
      <c r="A680" s="34" t="s">
        <v>673</v>
      </c>
      <c r="B680" s="161" t="s">
        <v>674</v>
      </c>
      <c r="C680" s="161"/>
      <c r="D680" s="29"/>
      <c r="E680" s="29"/>
      <c r="F680" s="29"/>
      <c r="G680" s="30"/>
      <c r="H680" s="29"/>
      <c r="I680" s="29"/>
      <c r="J680" s="29">
        <f t="shared" si="77"/>
        <v>0</v>
      </c>
      <c r="K680" s="357">
        <f t="shared" si="78"/>
        <v>0</v>
      </c>
      <c r="L680" s="357">
        <f t="shared" si="79"/>
        <v>0</v>
      </c>
      <c r="Z680" s="49"/>
    </row>
    <row r="681" spans="1:26" ht="31.2" hidden="1" outlineLevel="1" x14ac:dyDescent="0.3">
      <c r="A681" s="34" t="s">
        <v>675</v>
      </c>
      <c r="B681" s="27" t="s">
        <v>602</v>
      </c>
      <c r="C681" s="161"/>
      <c r="D681" s="28" t="s">
        <v>458</v>
      </c>
      <c r="E681" s="28">
        <f>E682+E683+E684</f>
        <v>0</v>
      </c>
      <c r="F681" s="28">
        <v>85</v>
      </c>
      <c r="G681" s="30"/>
      <c r="H681" s="29">
        <f>ROUND(F681*E681,2)</f>
        <v>0</v>
      </c>
      <c r="I681" s="29"/>
      <c r="J681" s="29">
        <f t="shared" si="77"/>
        <v>0</v>
      </c>
      <c r="K681" s="357">
        <f t="shared" si="78"/>
        <v>0</v>
      </c>
      <c r="L681" s="357">
        <f t="shared" si="79"/>
        <v>0</v>
      </c>
      <c r="Z681" s="49"/>
    </row>
    <row r="682" spans="1:26" hidden="1" outlineLevel="1" x14ac:dyDescent="0.3">
      <c r="A682" s="34"/>
      <c r="B682" s="113" t="s">
        <v>676</v>
      </c>
      <c r="C682" s="118"/>
      <c r="D682" s="114" t="s">
        <v>458</v>
      </c>
      <c r="E682" s="29">
        <v>0</v>
      </c>
      <c r="F682" s="29"/>
      <c r="G682" s="30">
        <v>63.8</v>
      </c>
      <c r="H682" s="29"/>
      <c r="I682" s="29">
        <f t="shared" ref="I682:I688" si="80">ROUND(E682*G682,2)</f>
        <v>0</v>
      </c>
      <c r="J682" s="29">
        <f t="shared" si="77"/>
        <v>0</v>
      </c>
      <c r="K682" s="357">
        <f t="shared" si="78"/>
        <v>0</v>
      </c>
      <c r="L682" s="357">
        <f t="shared" si="79"/>
        <v>0</v>
      </c>
      <c r="Z682" s="49"/>
    </row>
    <row r="683" spans="1:26" hidden="1" outlineLevel="1" x14ac:dyDescent="0.3">
      <c r="A683" s="34"/>
      <c r="B683" s="113" t="s">
        <v>677</v>
      </c>
      <c r="C683" s="118"/>
      <c r="D683" s="114" t="s">
        <v>458</v>
      </c>
      <c r="E683" s="29">
        <v>0</v>
      </c>
      <c r="F683" s="29"/>
      <c r="G683" s="30">
        <v>55</v>
      </c>
      <c r="H683" s="29"/>
      <c r="I683" s="29">
        <f t="shared" si="80"/>
        <v>0</v>
      </c>
      <c r="J683" s="29">
        <f>H683+I683</f>
        <v>0</v>
      </c>
      <c r="K683" s="357">
        <f t="shared" si="78"/>
        <v>0</v>
      </c>
      <c r="L683" s="357">
        <f t="shared" si="79"/>
        <v>0</v>
      </c>
      <c r="Z683" s="49"/>
    </row>
    <row r="684" spans="1:26" hidden="1" outlineLevel="1" x14ac:dyDescent="0.3">
      <c r="A684" s="34"/>
      <c r="B684" s="113" t="s">
        <v>603</v>
      </c>
      <c r="C684" s="118"/>
      <c r="D684" s="114" t="s">
        <v>458</v>
      </c>
      <c r="E684" s="29">
        <v>0</v>
      </c>
      <c r="F684" s="29"/>
      <c r="G684" s="30">
        <v>103.95</v>
      </c>
      <c r="H684" s="29"/>
      <c r="I684" s="29">
        <f t="shared" si="80"/>
        <v>0</v>
      </c>
      <c r="J684" s="29">
        <f>H684+I684</f>
        <v>0</v>
      </c>
      <c r="K684" s="357">
        <f t="shared" si="78"/>
        <v>0</v>
      </c>
      <c r="L684" s="357">
        <f t="shared" si="79"/>
        <v>0</v>
      </c>
      <c r="Z684" s="49"/>
    </row>
    <row r="685" spans="1:26" hidden="1" outlineLevel="1" x14ac:dyDescent="0.3">
      <c r="A685" s="34"/>
      <c r="B685" s="113" t="s">
        <v>678</v>
      </c>
      <c r="C685" s="118"/>
      <c r="D685" s="114" t="s">
        <v>22</v>
      </c>
      <c r="E685" s="29">
        <v>0</v>
      </c>
      <c r="F685" s="29"/>
      <c r="G685" s="30">
        <v>61.27</v>
      </c>
      <c r="H685" s="29"/>
      <c r="I685" s="29">
        <f t="shared" si="80"/>
        <v>0</v>
      </c>
      <c r="J685" s="29">
        <f t="shared" si="77"/>
        <v>0</v>
      </c>
      <c r="K685" s="357">
        <f t="shared" si="78"/>
        <v>0</v>
      </c>
      <c r="L685" s="357">
        <f t="shared" si="79"/>
        <v>0</v>
      </c>
      <c r="Z685" s="49"/>
    </row>
    <row r="686" spans="1:26" hidden="1" outlineLevel="1" x14ac:dyDescent="0.3">
      <c r="A686" s="34"/>
      <c r="B686" s="111" t="s">
        <v>220</v>
      </c>
      <c r="C686" s="154"/>
      <c r="D686" s="114" t="s">
        <v>40</v>
      </c>
      <c r="E686" s="29">
        <v>0</v>
      </c>
      <c r="F686" s="29"/>
      <c r="G686" s="30">
        <f>37500/1000</f>
        <v>37.5</v>
      </c>
      <c r="H686" s="29"/>
      <c r="I686" s="29">
        <f t="shared" si="80"/>
        <v>0</v>
      </c>
      <c r="J686" s="29">
        <f t="shared" si="77"/>
        <v>0</v>
      </c>
      <c r="K686" s="357">
        <f t="shared" si="78"/>
        <v>0</v>
      </c>
      <c r="L686" s="357">
        <f t="shared" si="79"/>
        <v>0</v>
      </c>
      <c r="Z686" s="49"/>
    </row>
    <row r="687" spans="1:26" hidden="1" outlineLevel="1" x14ac:dyDescent="0.3">
      <c r="A687" s="34"/>
      <c r="B687" s="113" t="s">
        <v>679</v>
      </c>
      <c r="C687" s="118"/>
      <c r="D687" s="114" t="s">
        <v>22</v>
      </c>
      <c r="E687" s="29">
        <v>0</v>
      </c>
      <c r="F687" s="29"/>
      <c r="G687" s="30">
        <v>320</v>
      </c>
      <c r="H687" s="29"/>
      <c r="I687" s="29">
        <f t="shared" si="80"/>
        <v>0</v>
      </c>
      <c r="J687" s="29">
        <f t="shared" si="77"/>
        <v>0</v>
      </c>
      <c r="K687" s="357">
        <f t="shared" si="78"/>
        <v>0</v>
      </c>
      <c r="L687" s="357">
        <f t="shared" si="79"/>
        <v>0</v>
      </c>
      <c r="Z687" s="49"/>
    </row>
    <row r="688" spans="1:26" hidden="1" outlineLevel="1" x14ac:dyDescent="0.3">
      <c r="A688" s="34"/>
      <c r="B688" s="113" t="s">
        <v>680</v>
      </c>
      <c r="C688" s="118"/>
      <c r="D688" s="114" t="s">
        <v>22</v>
      </c>
      <c r="E688" s="29">
        <v>0</v>
      </c>
      <c r="F688" s="29"/>
      <c r="G688" s="30">
        <v>1250</v>
      </c>
      <c r="H688" s="29"/>
      <c r="I688" s="29">
        <f t="shared" si="80"/>
        <v>0</v>
      </c>
      <c r="J688" s="29">
        <f>H688+I688</f>
        <v>0</v>
      </c>
      <c r="K688" s="357">
        <f t="shared" si="78"/>
        <v>0</v>
      </c>
      <c r="L688" s="357">
        <f t="shared" si="79"/>
        <v>0</v>
      </c>
      <c r="Z688" s="49"/>
    </row>
    <row r="689" spans="1:26" hidden="1" outlineLevel="1" x14ac:dyDescent="0.3">
      <c r="A689" s="34"/>
      <c r="B689" s="161" t="s">
        <v>681</v>
      </c>
      <c r="C689" s="161"/>
      <c r="D689" s="29"/>
      <c r="E689" s="29"/>
      <c r="F689" s="29"/>
      <c r="G689" s="30"/>
      <c r="H689" s="29"/>
      <c r="I689" s="29"/>
      <c r="J689" s="29">
        <f t="shared" si="77"/>
        <v>0</v>
      </c>
      <c r="K689" s="357">
        <f t="shared" si="78"/>
        <v>0</v>
      </c>
      <c r="L689" s="357">
        <f t="shared" si="79"/>
        <v>0</v>
      </c>
      <c r="Z689" s="49"/>
    </row>
    <row r="690" spans="1:26" ht="31.2" hidden="1" outlineLevel="1" x14ac:dyDescent="0.3">
      <c r="A690" s="178"/>
      <c r="B690" s="27" t="s">
        <v>602</v>
      </c>
      <c r="C690" s="161"/>
      <c r="D690" s="29" t="s">
        <v>458</v>
      </c>
      <c r="E690" s="28">
        <f>E691</f>
        <v>0</v>
      </c>
      <c r="F690" s="28">
        <v>85</v>
      </c>
      <c r="G690" s="30"/>
      <c r="H690" s="29">
        <f>ROUND(F690*E690,2)</f>
        <v>0</v>
      </c>
      <c r="I690" s="29"/>
      <c r="J690" s="29">
        <f>H690+I690</f>
        <v>0</v>
      </c>
      <c r="K690" s="357">
        <f t="shared" si="78"/>
        <v>0</v>
      </c>
      <c r="L690" s="357">
        <f t="shared" si="79"/>
        <v>0</v>
      </c>
      <c r="M690" s="342"/>
      <c r="Z690" s="49"/>
    </row>
    <row r="691" spans="1:26" hidden="1" outlineLevel="1" x14ac:dyDescent="0.3">
      <c r="A691" s="34"/>
      <c r="B691" s="113" t="s">
        <v>603</v>
      </c>
      <c r="C691" s="118"/>
      <c r="D691" s="114" t="s">
        <v>458</v>
      </c>
      <c r="E691" s="29">
        <v>0</v>
      </c>
      <c r="F691" s="29"/>
      <c r="G691" s="30">
        <v>103.95</v>
      </c>
      <c r="H691" s="29"/>
      <c r="I691" s="29">
        <f t="shared" ref="I691:I696" si="81">ROUND(E691*G691,2)</f>
        <v>0</v>
      </c>
      <c r="J691" s="29">
        <f t="shared" ref="J691:J696" si="82">H691+I691</f>
        <v>0</v>
      </c>
      <c r="K691" s="357">
        <f t="shared" si="78"/>
        <v>0</v>
      </c>
      <c r="L691" s="357">
        <f t="shared" si="79"/>
        <v>0</v>
      </c>
      <c r="M691" s="342"/>
      <c r="Z691" s="49"/>
    </row>
    <row r="692" spans="1:26" hidden="1" outlineLevel="1" x14ac:dyDescent="0.3">
      <c r="A692" s="34"/>
      <c r="B692" s="113" t="s">
        <v>678</v>
      </c>
      <c r="C692" s="118"/>
      <c r="D692" s="114" t="s">
        <v>22</v>
      </c>
      <c r="E692" s="29">
        <v>0</v>
      </c>
      <c r="F692" s="29"/>
      <c r="G692" s="30">
        <v>61.27</v>
      </c>
      <c r="H692" s="29"/>
      <c r="I692" s="29">
        <f t="shared" si="81"/>
        <v>0</v>
      </c>
      <c r="J692" s="29">
        <f t="shared" si="82"/>
        <v>0</v>
      </c>
      <c r="K692" s="357">
        <f t="shared" si="78"/>
        <v>0</v>
      </c>
      <c r="L692" s="357">
        <f t="shared" si="79"/>
        <v>0</v>
      </c>
      <c r="M692" s="342"/>
      <c r="Z692" s="49"/>
    </row>
    <row r="693" spans="1:26" hidden="1" outlineLevel="1" x14ac:dyDescent="0.3">
      <c r="A693" s="34"/>
      <c r="B693" s="111" t="s">
        <v>220</v>
      </c>
      <c r="C693" s="154"/>
      <c r="D693" s="114" t="s">
        <v>40</v>
      </c>
      <c r="E693" s="29">
        <v>0</v>
      </c>
      <c r="F693" s="29"/>
      <c r="G693" s="30">
        <f>37500/1000</f>
        <v>37.5</v>
      </c>
      <c r="H693" s="29"/>
      <c r="I693" s="29">
        <f t="shared" si="81"/>
        <v>0</v>
      </c>
      <c r="J693" s="29">
        <f t="shared" si="82"/>
        <v>0</v>
      </c>
      <c r="K693" s="357">
        <f t="shared" si="78"/>
        <v>0</v>
      </c>
      <c r="L693" s="357">
        <f t="shared" si="79"/>
        <v>0</v>
      </c>
      <c r="M693" s="342"/>
      <c r="Z693" s="49"/>
    </row>
    <row r="694" spans="1:26" hidden="1" outlineLevel="1" x14ac:dyDescent="0.3">
      <c r="A694" s="34"/>
      <c r="B694" s="113" t="s">
        <v>679</v>
      </c>
      <c r="C694" s="118"/>
      <c r="D694" s="114" t="s">
        <v>22</v>
      </c>
      <c r="E694" s="29">
        <v>0</v>
      </c>
      <c r="F694" s="29"/>
      <c r="G694" s="30">
        <v>320</v>
      </c>
      <c r="H694" s="29"/>
      <c r="I694" s="29">
        <f t="shared" si="81"/>
        <v>0</v>
      </c>
      <c r="J694" s="29">
        <f t="shared" si="82"/>
        <v>0</v>
      </c>
      <c r="K694" s="357">
        <f t="shared" si="78"/>
        <v>0</v>
      </c>
      <c r="L694" s="357">
        <f t="shared" si="79"/>
        <v>0</v>
      </c>
      <c r="M694" s="342"/>
      <c r="Z694" s="49"/>
    </row>
    <row r="695" spans="1:26" hidden="1" outlineLevel="1" x14ac:dyDescent="0.3">
      <c r="A695" s="34"/>
      <c r="B695" s="113" t="s">
        <v>682</v>
      </c>
      <c r="C695" s="118"/>
      <c r="D695" s="114" t="s">
        <v>22</v>
      </c>
      <c r="E695" s="29">
        <v>0</v>
      </c>
      <c r="F695" s="29"/>
      <c r="G695" s="30">
        <v>2435.6</v>
      </c>
      <c r="H695" s="29"/>
      <c r="I695" s="29">
        <f>ROUND(E695*G695,2)</f>
        <v>0</v>
      </c>
      <c r="J695" s="29">
        <f>H695+I695</f>
        <v>0</v>
      </c>
      <c r="K695" s="357">
        <f t="shared" si="78"/>
        <v>0</v>
      </c>
      <c r="L695" s="357">
        <f t="shared" si="79"/>
        <v>0</v>
      </c>
      <c r="M695" s="342"/>
      <c r="Z695" s="49"/>
    </row>
    <row r="696" spans="1:26" hidden="1" outlineLevel="1" x14ac:dyDescent="0.3">
      <c r="A696" s="34"/>
      <c r="B696" s="113" t="s">
        <v>683</v>
      </c>
      <c r="C696" s="118"/>
      <c r="D696" s="114" t="s">
        <v>22</v>
      </c>
      <c r="E696" s="29">
        <v>0</v>
      </c>
      <c r="F696" s="29"/>
      <c r="G696" s="30">
        <v>100</v>
      </c>
      <c r="H696" s="29"/>
      <c r="I696" s="29">
        <f t="shared" si="81"/>
        <v>0</v>
      </c>
      <c r="J696" s="29">
        <f t="shared" si="82"/>
        <v>0</v>
      </c>
      <c r="K696" s="357">
        <f t="shared" si="78"/>
        <v>0</v>
      </c>
      <c r="L696" s="357">
        <f t="shared" si="79"/>
        <v>0</v>
      </c>
      <c r="M696" s="342"/>
      <c r="Z696" s="49"/>
    </row>
    <row r="697" spans="1:26" s="322" customFormat="1" outlineLevel="1" x14ac:dyDescent="0.3">
      <c r="A697" s="313" t="s">
        <v>829</v>
      </c>
      <c r="B697" s="314" t="s">
        <v>824</v>
      </c>
      <c r="C697" s="315"/>
      <c r="D697" s="316" t="s">
        <v>22</v>
      </c>
      <c r="E697" s="316">
        <v>1</v>
      </c>
      <c r="F697" s="316">
        <f>H699</f>
        <v>182000</v>
      </c>
      <c r="G697" s="321"/>
      <c r="H697" s="316">
        <f>F697</f>
        <v>182000</v>
      </c>
      <c r="I697" s="316"/>
      <c r="J697" s="316">
        <f>H697</f>
        <v>182000</v>
      </c>
      <c r="K697" s="357">
        <f t="shared" si="78"/>
        <v>0</v>
      </c>
      <c r="L697" s="357">
        <f t="shared" si="79"/>
        <v>0</v>
      </c>
      <c r="Y697" s="319"/>
      <c r="Z697" s="49"/>
    </row>
    <row r="698" spans="1:26" s="322" customFormat="1" outlineLevel="1" x14ac:dyDescent="0.3">
      <c r="A698" s="313"/>
      <c r="B698" s="320" t="s">
        <v>825</v>
      </c>
      <c r="C698" s="315"/>
      <c r="D698" s="316" t="s">
        <v>826</v>
      </c>
      <c r="E698" s="316">
        <v>1</v>
      </c>
      <c r="F698" s="318"/>
      <c r="G698" s="316">
        <f>I699</f>
        <v>476666.66666666669</v>
      </c>
      <c r="H698" s="316"/>
      <c r="I698" s="316">
        <f>G698</f>
        <v>476666.66666666669</v>
      </c>
      <c r="J698" s="316">
        <f>I698</f>
        <v>476666.66666666669</v>
      </c>
      <c r="K698" s="357">
        <f t="shared" si="78"/>
        <v>0</v>
      </c>
      <c r="L698" s="357">
        <f t="shared" si="79"/>
        <v>0</v>
      </c>
      <c r="Y698" s="319"/>
      <c r="Z698" s="49"/>
    </row>
    <row r="699" spans="1:26" s="25" customFormat="1" ht="26.4" customHeight="1" x14ac:dyDescent="0.3">
      <c r="A699" s="97" t="s">
        <v>832</v>
      </c>
      <c r="B699" s="163" t="s">
        <v>684</v>
      </c>
      <c r="C699" s="164"/>
      <c r="D699" s="164"/>
      <c r="E699" s="164"/>
      <c r="F699" s="164"/>
      <c r="G699" s="163"/>
      <c r="H699" s="164">
        <f>420000/90*39</f>
        <v>182000</v>
      </c>
      <c r="I699" s="164">
        <f>1100000/90*39</f>
        <v>476666.66666666669</v>
      </c>
      <c r="J699" s="164">
        <f>H699+I699</f>
        <v>658666.66666666674</v>
      </c>
      <c r="K699" s="357">
        <f t="shared" si="78"/>
        <v>0</v>
      </c>
      <c r="L699" s="357">
        <f t="shared" si="79"/>
        <v>0</v>
      </c>
      <c r="N699" s="25">
        <f>90*4000+1150000</f>
        <v>1510000</v>
      </c>
      <c r="P699" s="25">
        <f>N699-J699</f>
        <v>851333.33333333326</v>
      </c>
      <c r="W699" s="25">
        <f>90*4000+1150000</f>
        <v>1510000</v>
      </c>
      <c r="X699" s="25">
        <f>W699-T699</f>
        <v>1510000</v>
      </c>
      <c r="Y699" s="201"/>
      <c r="Z699" s="49"/>
    </row>
    <row r="700" spans="1:26" s="25" customFormat="1" x14ac:dyDescent="0.3">
      <c r="A700" s="34"/>
      <c r="B700" s="121" t="s">
        <v>72</v>
      </c>
      <c r="C700" s="217"/>
      <c r="D700" s="39"/>
      <c r="E700" s="28"/>
      <c r="F700" s="28"/>
      <c r="G700" s="50"/>
      <c r="H700" s="28"/>
      <c r="I700" s="28"/>
      <c r="J700" s="28">
        <f>ROUND(J699/1.18*0.18,2)</f>
        <v>100474.58</v>
      </c>
      <c r="K700" s="357">
        <f t="shared" si="78"/>
        <v>0</v>
      </c>
      <c r="L700" s="357">
        <f t="shared" si="79"/>
        <v>0</v>
      </c>
      <c r="Y700" s="201"/>
      <c r="Z700" s="49"/>
    </row>
    <row r="701" spans="1:26" s="25" customFormat="1" ht="18.75" customHeight="1" x14ac:dyDescent="0.3">
      <c r="A701" s="126"/>
      <c r="B701" s="90" t="s">
        <v>685</v>
      </c>
      <c r="C701" s="213"/>
      <c r="D701" s="23"/>
      <c r="E701" s="23"/>
      <c r="F701" s="23"/>
      <c r="G701" s="22"/>
      <c r="H701" s="23"/>
      <c r="I701" s="23"/>
      <c r="J701" s="24"/>
      <c r="K701" s="357">
        <f t="shared" si="78"/>
        <v>0</v>
      </c>
      <c r="L701" s="357">
        <f t="shared" si="79"/>
        <v>0</v>
      </c>
      <c r="Y701" s="201"/>
      <c r="Z701" s="49"/>
    </row>
    <row r="702" spans="1:26" hidden="1" outlineLevel="1" x14ac:dyDescent="0.3">
      <c r="A702" s="105"/>
      <c r="B702" s="180" t="s">
        <v>686</v>
      </c>
      <c r="C702" s="180"/>
      <c r="D702" s="181"/>
      <c r="E702" s="29"/>
      <c r="F702" s="162">
        <f>I736*0.5</f>
        <v>0</v>
      </c>
      <c r="G702" s="182"/>
      <c r="H702" s="19">
        <f>F702</f>
        <v>0</v>
      </c>
      <c r="I702" s="107"/>
      <c r="J702" s="19">
        <f>H702+I702</f>
        <v>0</v>
      </c>
      <c r="K702" s="357">
        <f t="shared" si="78"/>
        <v>0</v>
      </c>
      <c r="L702" s="357">
        <f t="shared" si="79"/>
        <v>0</v>
      </c>
      <c r="Z702" s="49"/>
    </row>
    <row r="703" spans="1:26" hidden="1" outlineLevel="1" x14ac:dyDescent="0.3">
      <c r="A703" s="178" t="s">
        <v>687</v>
      </c>
      <c r="B703" s="27" t="s">
        <v>688</v>
      </c>
      <c r="C703" s="161"/>
      <c r="D703" s="29" t="s">
        <v>22</v>
      </c>
      <c r="E703" s="29">
        <v>0</v>
      </c>
      <c r="F703" s="29"/>
      <c r="G703" s="30"/>
      <c r="H703" s="29"/>
      <c r="I703" s="29"/>
      <c r="J703" s="29">
        <f>H703+I703</f>
        <v>0</v>
      </c>
      <c r="K703" s="357">
        <f t="shared" si="78"/>
        <v>0</v>
      </c>
      <c r="L703" s="357">
        <f t="shared" si="79"/>
        <v>0</v>
      </c>
      <c r="Z703" s="49"/>
    </row>
    <row r="704" spans="1:26" hidden="1" outlineLevel="1" x14ac:dyDescent="0.3">
      <c r="A704" s="34"/>
      <c r="B704" s="113" t="s">
        <v>689</v>
      </c>
      <c r="C704" s="118"/>
      <c r="D704" s="114" t="s">
        <v>22</v>
      </c>
      <c r="E704" s="29">
        <v>0</v>
      </c>
      <c r="F704" s="29"/>
      <c r="G704" s="30">
        <v>1530</v>
      </c>
      <c r="H704" s="29"/>
      <c r="I704" s="29">
        <f>ROUND(E704*G704,2)</f>
        <v>0</v>
      </c>
      <c r="J704" s="29">
        <f t="shared" ref="J704:J730" si="83">H704+I704</f>
        <v>0</v>
      </c>
      <c r="K704" s="357">
        <f t="shared" si="78"/>
        <v>0</v>
      </c>
      <c r="L704" s="357">
        <f t="shared" si="79"/>
        <v>0</v>
      </c>
      <c r="Z704" s="49"/>
    </row>
    <row r="705" spans="1:26" s="31" customFormat="1" hidden="1" outlineLevel="1" x14ac:dyDescent="0.3">
      <c r="A705" s="178" t="s">
        <v>690</v>
      </c>
      <c r="B705" s="79" t="s">
        <v>691</v>
      </c>
      <c r="C705" s="28"/>
      <c r="D705" s="29" t="s">
        <v>485</v>
      </c>
      <c r="E705" s="29">
        <v>0</v>
      </c>
      <c r="F705" s="29"/>
      <c r="G705" s="30"/>
      <c r="H705" s="29"/>
      <c r="I705" s="29"/>
      <c r="J705" s="29">
        <f t="shared" si="83"/>
        <v>0</v>
      </c>
      <c r="K705" s="357">
        <f t="shared" si="78"/>
        <v>0</v>
      </c>
      <c r="L705" s="357">
        <f t="shared" si="79"/>
        <v>0</v>
      </c>
      <c r="Y705" s="200"/>
      <c r="Z705" s="49"/>
    </row>
    <row r="706" spans="1:26" hidden="1" outlineLevel="1" x14ac:dyDescent="0.3">
      <c r="A706" s="34"/>
      <c r="B706" s="30" t="s">
        <v>692</v>
      </c>
      <c r="C706" s="28"/>
      <c r="D706" s="29" t="s">
        <v>22</v>
      </c>
      <c r="E706" s="29">
        <v>0</v>
      </c>
      <c r="F706" s="29"/>
      <c r="G706" s="30">
        <v>4200</v>
      </c>
      <c r="H706" s="29"/>
      <c r="I706" s="29">
        <f>ROUND(E706*G706,2)</f>
        <v>0</v>
      </c>
      <c r="J706" s="29">
        <f t="shared" si="83"/>
        <v>0</v>
      </c>
      <c r="K706" s="357">
        <f t="shared" si="78"/>
        <v>0</v>
      </c>
      <c r="L706" s="357">
        <f t="shared" si="79"/>
        <v>0</v>
      </c>
      <c r="Z706" s="49"/>
    </row>
    <row r="707" spans="1:26" hidden="1" outlineLevel="1" x14ac:dyDescent="0.3">
      <c r="A707" s="34"/>
      <c r="B707" s="30" t="s">
        <v>693</v>
      </c>
      <c r="C707" s="28"/>
      <c r="D707" s="29" t="s">
        <v>22</v>
      </c>
      <c r="E707" s="29">
        <v>0</v>
      </c>
      <c r="F707" s="29"/>
      <c r="G707" s="30">
        <v>380</v>
      </c>
      <c r="H707" s="29"/>
      <c r="I707" s="29">
        <f>ROUND(E707*G707,2)</f>
        <v>0</v>
      </c>
      <c r="J707" s="29">
        <f>H707+I707</f>
        <v>0</v>
      </c>
      <c r="K707" s="357">
        <f t="shared" si="78"/>
        <v>0</v>
      </c>
      <c r="L707" s="357">
        <f t="shared" si="79"/>
        <v>0</v>
      </c>
      <c r="Z707" s="49"/>
    </row>
    <row r="708" spans="1:26" ht="31.2" hidden="1" outlineLevel="1" x14ac:dyDescent="0.3">
      <c r="A708" s="34" t="s">
        <v>694</v>
      </c>
      <c r="B708" s="79" t="s">
        <v>695</v>
      </c>
      <c r="C708" s="28"/>
      <c r="D708" s="29" t="s">
        <v>485</v>
      </c>
      <c r="E708" s="29">
        <v>0</v>
      </c>
      <c r="F708" s="29"/>
      <c r="G708" s="30"/>
      <c r="H708" s="29"/>
      <c r="I708" s="29"/>
      <c r="J708" s="29">
        <f>H708+I708</f>
        <v>0</v>
      </c>
      <c r="K708" s="357">
        <f t="shared" si="78"/>
        <v>0</v>
      </c>
      <c r="L708" s="357">
        <f t="shared" si="79"/>
        <v>0</v>
      </c>
      <c r="Z708" s="49"/>
    </row>
    <row r="709" spans="1:26" ht="25.2" hidden="1" customHeight="1" outlineLevel="1" x14ac:dyDescent="0.3">
      <c r="A709" s="34"/>
      <c r="B709" s="183" t="s">
        <v>696</v>
      </c>
      <c r="C709" s="228"/>
      <c r="D709" s="184" t="s">
        <v>22</v>
      </c>
      <c r="E709" s="184">
        <f>E708</f>
        <v>0</v>
      </c>
      <c r="F709" s="184"/>
      <c r="G709" s="185">
        <f>185000/3</f>
        <v>61666.666666666664</v>
      </c>
      <c r="H709" s="184"/>
      <c r="I709" s="184">
        <f>ROUND(E709*G709,2)</f>
        <v>0</v>
      </c>
      <c r="J709" s="184">
        <f>H709+I709</f>
        <v>0</v>
      </c>
      <c r="K709" s="357">
        <f t="shared" si="78"/>
        <v>0</v>
      </c>
      <c r="L709" s="357">
        <f t="shared" si="79"/>
        <v>0</v>
      </c>
      <c r="N709" s="343"/>
      <c r="O709" s="343"/>
      <c r="P709" s="344"/>
      <c r="Q709" s="343"/>
      <c r="R709" s="343"/>
      <c r="S709" s="344"/>
      <c r="T709" s="343"/>
      <c r="U709" s="343"/>
      <c r="V709" s="344"/>
      <c r="W709" s="343"/>
      <c r="X709" s="344"/>
      <c r="Z709" s="49"/>
    </row>
    <row r="710" spans="1:26" hidden="1" outlineLevel="1" x14ac:dyDescent="0.3">
      <c r="A710" s="34" t="s">
        <v>697</v>
      </c>
      <c r="B710" s="27" t="s">
        <v>698</v>
      </c>
      <c r="C710" s="161"/>
      <c r="D710" s="29" t="s">
        <v>458</v>
      </c>
      <c r="E710" s="29">
        <f>E712+E713+E714+E715+E711</f>
        <v>0</v>
      </c>
      <c r="F710" s="29"/>
      <c r="G710" s="30"/>
      <c r="H710" s="29"/>
      <c r="I710" s="29">
        <f>F710*E710</f>
        <v>0</v>
      </c>
      <c r="J710" s="29">
        <f t="shared" si="83"/>
        <v>0</v>
      </c>
      <c r="K710" s="357">
        <f t="shared" si="78"/>
        <v>0</v>
      </c>
      <c r="L710" s="357">
        <f t="shared" si="79"/>
        <v>0</v>
      </c>
      <c r="Z710" s="49"/>
    </row>
    <row r="711" spans="1:26" hidden="1" outlineLevel="1" x14ac:dyDescent="0.3">
      <c r="A711" s="34"/>
      <c r="B711" s="35" t="s">
        <v>699</v>
      </c>
      <c r="C711" s="161"/>
      <c r="D711" s="29" t="s">
        <v>458</v>
      </c>
      <c r="E711" s="29">
        <v>0</v>
      </c>
      <c r="F711" s="29"/>
      <c r="G711" s="30">
        <v>252.4</v>
      </c>
      <c r="H711" s="29"/>
      <c r="I711" s="29">
        <f t="shared" ref="I711:I730" si="84">ROUND(E711*G711,2)</f>
        <v>0</v>
      </c>
      <c r="J711" s="29">
        <f>H711+I711</f>
        <v>0</v>
      </c>
      <c r="K711" s="357">
        <f t="shared" si="78"/>
        <v>0</v>
      </c>
      <c r="L711" s="357">
        <f t="shared" si="79"/>
        <v>0</v>
      </c>
      <c r="Z711" s="49"/>
    </row>
    <row r="712" spans="1:26" hidden="1" outlineLevel="1" x14ac:dyDescent="0.3">
      <c r="A712" s="34"/>
      <c r="B712" s="35" t="s">
        <v>700</v>
      </c>
      <c r="C712" s="161"/>
      <c r="D712" s="29" t="s">
        <v>458</v>
      </c>
      <c r="E712" s="29">
        <v>0</v>
      </c>
      <c r="F712" s="29"/>
      <c r="G712" s="30">
        <v>145.19999999999999</v>
      </c>
      <c r="H712" s="29"/>
      <c r="I712" s="29">
        <f t="shared" si="84"/>
        <v>0</v>
      </c>
      <c r="J712" s="29">
        <f t="shared" si="83"/>
        <v>0</v>
      </c>
      <c r="K712" s="357">
        <f t="shared" si="78"/>
        <v>0</v>
      </c>
      <c r="L712" s="357">
        <f t="shared" si="79"/>
        <v>0</v>
      </c>
      <c r="Z712" s="49"/>
    </row>
    <row r="713" spans="1:26" hidden="1" outlineLevel="1" x14ac:dyDescent="0.3">
      <c r="A713" s="34"/>
      <c r="B713" s="35" t="s">
        <v>701</v>
      </c>
      <c r="C713" s="161"/>
      <c r="D713" s="29" t="s">
        <v>458</v>
      </c>
      <c r="E713" s="29">
        <v>0</v>
      </c>
      <c r="F713" s="29"/>
      <c r="G713" s="30">
        <f>2.91*42</f>
        <v>122.22</v>
      </c>
      <c r="H713" s="29"/>
      <c r="I713" s="29">
        <f t="shared" si="84"/>
        <v>0</v>
      </c>
      <c r="J713" s="29">
        <f t="shared" si="83"/>
        <v>0</v>
      </c>
      <c r="K713" s="357">
        <f t="shared" si="78"/>
        <v>0</v>
      </c>
      <c r="L713" s="357">
        <f t="shared" si="79"/>
        <v>0</v>
      </c>
      <c r="Z713" s="49"/>
    </row>
    <row r="714" spans="1:26" hidden="1" outlineLevel="1" x14ac:dyDescent="0.3">
      <c r="A714" s="34"/>
      <c r="B714" s="35" t="s">
        <v>702</v>
      </c>
      <c r="C714" s="161"/>
      <c r="D714" s="29" t="s">
        <v>458</v>
      </c>
      <c r="E714" s="29">
        <v>0</v>
      </c>
      <c r="F714" s="29"/>
      <c r="G714" s="30">
        <f>2.12*42</f>
        <v>89.04</v>
      </c>
      <c r="H714" s="29"/>
      <c r="I714" s="29">
        <f t="shared" si="84"/>
        <v>0</v>
      </c>
      <c r="J714" s="29">
        <f t="shared" si="83"/>
        <v>0</v>
      </c>
      <c r="K714" s="357">
        <f t="shared" si="78"/>
        <v>0</v>
      </c>
      <c r="L714" s="357">
        <f t="shared" si="79"/>
        <v>0</v>
      </c>
      <c r="Z714" s="49"/>
    </row>
    <row r="715" spans="1:26" hidden="1" outlineLevel="1" x14ac:dyDescent="0.3">
      <c r="A715" s="34"/>
      <c r="B715" s="35" t="s">
        <v>703</v>
      </c>
      <c r="C715" s="161"/>
      <c r="D715" s="29" t="s">
        <v>458</v>
      </c>
      <c r="E715" s="29">
        <v>0</v>
      </c>
      <c r="F715" s="29"/>
      <c r="G715" s="30">
        <v>70.900000000000006</v>
      </c>
      <c r="H715" s="29"/>
      <c r="I715" s="29">
        <f t="shared" si="84"/>
        <v>0</v>
      </c>
      <c r="J715" s="29">
        <f t="shared" si="83"/>
        <v>0</v>
      </c>
      <c r="K715" s="357">
        <f t="shared" si="78"/>
        <v>0</v>
      </c>
      <c r="L715" s="357">
        <f t="shared" si="79"/>
        <v>0</v>
      </c>
      <c r="Z715" s="49"/>
    </row>
    <row r="716" spans="1:26" hidden="1" outlineLevel="1" x14ac:dyDescent="0.3">
      <c r="A716" s="34"/>
      <c r="B716" s="35" t="s">
        <v>704</v>
      </c>
      <c r="C716" s="161"/>
      <c r="D716" s="29" t="s">
        <v>458</v>
      </c>
      <c r="E716" s="29">
        <v>0</v>
      </c>
      <c r="F716" s="29"/>
      <c r="G716" s="30">
        <v>232</v>
      </c>
      <c r="H716" s="29"/>
      <c r="I716" s="29">
        <f t="shared" si="84"/>
        <v>0</v>
      </c>
      <c r="J716" s="29">
        <f t="shared" si="83"/>
        <v>0</v>
      </c>
      <c r="K716" s="357">
        <f t="shared" si="78"/>
        <v>0</v>
      </c>
      <c r="L716" s="357">
        <f t="shared" si="79"/>
        <v>0</v>
      </c>
      <c r="Z716" s="49"/>
    </row>
    <row r="717" spans="1:26" hidden="1" outlineLevel="1" x14ac:dyDescent="0.3">
      <c r="A717" s="34"/>
      <c r="B717" s="35" t="s">
        <v>705</v>
      </c>
      <c r="C717" s="161"/>
      <c r="D717" s="29" t="s">
        <v>458</v>
      </c>
      <c r="E717" s="29">
        <v>0</v>
      </c>
      <c r="F717" s="29"/>
      <c r="G717" s="30">
        <v>158</v>
      </c>
      <c r="H717" s="29"/>
      <c r="I717" s="29">
        <f t="shared" si="84"/>
        <v>0</v>
      </c>
      <c r="J717" s="29">
        <f t="shared" si="83"/>
        <v>0</v>
      </c>
      <c r="K717" s="357">
        <f t="shared" si="78"/>
        <v>0</v>
      </c>
      <c r="L717" s="357">
        <f t="shared" si="79"/>
        <v>0</v>
      </c>
      <c r="Z717" s="49"/>
    </row>
    <row r="718" spans="1:26" hidden="1" outlineLevel="1" x14ac:dyDescent="0.3">
      <c r="A718" s="34"/>
      <c r="B718" s="35" t="s">
        <v>706</v>
      </c>
      <c r="C718" s="161"/>
      <c r="D718" s="29" t="s">
        <v>40</v>
      </c>
      <c r="E718" s="29">
        <v>0</v>
      </c>
      <c r="F718" s="29"/>
      <c r="G718" s="30">
        <v>45</v>
      </c>
      <c r="H718" s="29"/>
      <c r="I718" s="29">
        <f t="shared" si="84"/>
        <v>0</v>
      </c>
      <c r="J718" s="29">
        <f t="shared" si="83"/>
        <v>0</v>
      </c>
      <c r="K718" s="357">
        <f t="shared" si="78"/>
        <v>0</v>
      </c>
      <c r="L718" s="357">
        <f t="shared" si="79"/>
        <v>0</v>
      </c>
      <c r="Z718" s="49"/>
    </row>
    <row r="719" spans="1:26" hidden="1" outlineLevel="1" x14ac:dyDescent="0.3">
      <c r="A719" s="34" t="s">
        <v>707</v>
      </c>
      <c r="B719" s="79" t="s">
        <v>708</v>
      </c>
      <c r="C719" s="28"/>
      <c r="D719" s="29" t="s">
        <v>22</v>
      </c>
      <c r="E719" s="29">
        <f>E720+E721+E722+E724+E723+E725</f>
        <v>0</v>
      </c>
      <c r="F719" s="29"/>
      <c r="G719" s="30"/>
      <c r="H719" s="29"/>
      <c r="I719" s="29"/>
      <c r="J719" s="29">
        <f t="shared" si="83"/>
        <v>0</v>
      </c>
      <c r="K719" s="357">
        <f t="shared" si="78"/>
        <v>0</v>
      </c>
      <c r="L719" s="357">
        <f t="shared" si="79"/>
        <v>0</v>
      </c>
      <c r="Z719" s="49"/>
    </row>
    <row r="720" spans="1:26" hidden="1" outlineLevel="1" x14ac:dyDescent="0.3">
      <c r="A720" s="34"/>
      <c r="B720" s="113" t="s">
        <v>709</v>
      </c>
      <c r="C720" s="118"/>
      <c r="D720" s="114" t="s">
        <v>22</v>
      </c>
      <c r="E720" s="29">
        <v>0</v>
      </c>
      <c r="F720" s="29"/>
      <c r="G720" s="30">
        <v>278</v>
      </c>
      <c r="H720" s="29"/>
      <c r="I720" s="29">
        <f t="shared" si="84"/>
        <v>0</v>
      </c>
      <c r="J720" s="29">
        <f t="shared" si="83"/>
        <v>0</v>
      </c>
      <c r="K720" s="357">
        <f t="shared" si="78"/>
        <v>0</v>
      </c>
      <c r="L720" s="357">
        <f t="shared" si="79"/>
        <v>0</v>
      </c>
      <c r="Z720" s="49"/>
    </row>
    <row r="721" spans="1:26" hidden="1" outlineLevel="1" x14ac:dyDescent="0.3">
      <c r="A721" s="34"/>
      <c r="B721" s="113" t="s">
        <v>710</v>
      </c>
      <c r="C721" s="118"/>
      <c r="D721" s="114" t="s">
        <v>22</v>
      </c>
      <c r="E721" s="29">
        <v>0</v>
      </c>
      <c r="F721" s="29"/>
      <c r="G721" s="30">
        <v>143</v>
      </c>
      <c r="H721" s="29"/>
      <c r="I721" s="29">
        <f t="shared" si="84"/>
        <v>0</v>
      </c>
      <c r="J721" s="29">
        <f t="shared" si="83"/>
        <v>0</v>
      </c>
      <c r="K721" s="357">
        <f t="shared" si="78"/>
        <v>0</v>
      </c>
      <c r="L721" s="357">
        <f t="shared" si="79"/>
        <v>0</v>
      </c>
      <c r="Z721" s="49"/>
    </row>
    <row r="722" spans="1:26" hidden="1" outlineLevel="1" x14ac:dyDescent="0.3">
      <c r="A722" s="34"/>
      <c r="B722" s="113" t="s">
        <v>711</v>
      </c>
      <c r="C722" s="118"/>
      <c r="D722" s="114" t="s">
        <v>22</v>
      </c>
      <c r="E722" s="29">
        <v>0</v>
      </c>
      <c r="F722" s="29"/>
      <c r="G722" s="30">
        <v>89.7</v>
      </c>
      <c r="H722" s="29"/>
      <c r="I722" s="29">
        <f t="shared" si="84"/>
        <v>0</v>
      </c>
      <c r="J722" s="29">
        <f t="shared" si="83"/>
        <v>0</v>
      </c>
      <c r="K722" s="357">
        <f t="shared" si="78"/>
        <v>0</v>
      </c>
      <c r="L722" s="357">
        <f t="shared" si="79"/>
        <v>0</v>
      </c>
      <c r="Z722" s="49"/>
    </row>
    <row r="723" spans="1:26" hidden="1" outlineLevel="1" x14ac:dyDescent="0.3">
      <c r="A723" s="34"/>
      <c r="B723" s="35" t="s">
        <v>712</v>
      </c>
      <c r="C723" s="161"/>
      <c r="D723" s="29" t="s">
        <v>22</v>
      </c>
      <c r="E723" s="29">
        <v>0</v>
      </c>
      <c r="F723" s="29"/>
      <c r="G723" s="30">
        <v>1320</v>
      </c>
      <c r="H723" s="29"/>
      <c r="I723" s="29">
        <f t="shared" si="84"/>
        <v>0</v>
      </c>
      <c r="J723" s="29">
        <f t="shared" si="83"/>
        <v>0</v>
      </c>
      <c r="K723" s="357">
        <f t="shared" si="78"/>
        <v>0</v>
      </c>
      <c r="L723" s="357">
        <f t="shared" si="79"/>
        <v>0</v>
      </c>
      <c r="Z723" s="49"/>
    </row>
    <row r="724" spans="1:26" hidden="1" outlineLevel="1" x14ac:dyDescent="0.3">
      <c r="A724" s="34"/>
      <c r="B724" s="35" t="s">
        <v>713</v>
      </c>
      <c r="C724" s="161"/>
      <c r="D724" s="29" t="s">
        <v>22</v>
      </c>
      <c r="E724" s="29">
        <v>0</v>
      </c>
      <c r="F724" s="29"/>
      <c r="G724" s="30">
        <v>1200</v>
      </c>
      <c r="H724" s="29"/>
      <c r="I724" s="29">
        <f t="shared" si="84"/>
        <v>0</v>
      </c>
      <c r="J724" s="29">
        <f t="shared" si="83"/>
        <v>0</v>
      </c>
      <c r="K724" s="357">
        <f t="shared" ref="K724:K752" si="85">IF(H724&gt;0,Z724,0)</f>
        <v>0</v>
      </c>
      <c r="L724" s="357">
        <f t="shared" ref="L724:L752" si="86">IF(I724&gt;0,Z724,0)</f>
        <v>0</v>
      </c>
      <c r="Z724" s="49"/>
    </row>
    <row r="725" spans="1:26" hidden="1" outlineLevel="1" x14ac:dyDescent="0.3">
      <c r="A725" s="34"/>
      <c r="B725" s="113" t="s">
        <v>714</v>
      </c>
      <c r="C725" s="118"/>
      <c r="D725" s="114" t="s">
        <v>22</v>
      </c>
      <c r="E725" s="29">
        <v>0</v>
      </c>
      <c r="F725" s="29"/>
      <c r="G725" s="30">
        <v>490</v>
      </c>
      <c r="H725" s="29"/>
      <c r="I725" s="29">
        <f t="shared" si="84"/>
        <v>0</v>
      </c>
      <c r="J725" s="29">
        <f t="shared" si="83"/>
        <v>0</v>
      </c>
      <c r="K725" s="357">
        <f t="shared" si="85"/>
        <v>0</v>
      </c>
      <c r="L725" s="357">
        <f t="shared" si="86"/>
        <v>0</v>
      </c>
      <c r="Z725" s="49"/>
    </row>
    <row r="726" spans="1:26" hidden="1" outlineLevel="1" x14ac:dyDescent="0.3">
      <c r="A726" s="34"/>
      <c r="B726" s="35" t="s">
        <v>715</v>
      </c>
      <c r="C726" s="161"/>
      <c r="D726" s="29" t="s">
        <v>22</v>
      </c>
      <c r="E726" s="29">
        <v>0</v>
      </c>
      <c r="F726" s="29"/>
      <c r="G726" s="30">
        <v>22.22</v>
      </c>
      <c r="H726" s="29"/>
      <c r="I726" s="29">
        <f t="shared" si="84"/>
        <v>0</v>
      </c>
      <c r="J726" s="29">
        <f t="shared" si="83"/>
        <v>0</v>
      </c>
      <c r="K726" s="357">
        <f t="shared" si="85"/>
        <v>0</v>
      </c>
      <c r="L726" s="357">
        <f t="shared" si="86"/>
        <v>0</v>
      </c>
      <c r="Z726" s="49"/>
    </row>
    <row r="727" spans="1:26" hidden="1" outlineLevel="1" x14ac:dyDescent="0.3">
      <c r="A727" s="34"/>
      <c r="B727" s="35" t="s">
        <v>716</v>
      </c>
      <c r="C727" s="161"/>
      <c r="D727" s="29" t="s">
        <v>22</v>
      </c>
      <c r="E727" s="29">
        <v>0</v>
      </c>
      <c r="F727" s="29"/>
      <c r="G727" s="30">
        <v>16.760000000000002</v>
      </c>
      <c r="H727" s="29"/>
      <c r="I727" s="29">
        <f t="shared" si="84"/>
        <v>0</v>
      </c>
      <c r="J727" s="29">
        <f t="shared" si="83"/>
        <v>0</v>
      </c>
      <c r="K727" s="357">
        <f t="shared" si="85"/>
        <v>0</v>
      </c>
      <c r="L727" s="357">
        <f t="shared" si="86"/>
        <v>0</v>
      </c>
      <c r="Z727" s="49"/>
    </row>
    <row r="728" spans="1:26" hidden="1" outlineLevel="1" x14ac:dyDescent="0.3">
      <c r="A728" s="34"/>
      <c r="B728" s="35" t="s">
        <v>717</v>
      </c>
      <c r="C728" s="161"/>
      <c r="D728" s="29" t="s">
        <v>22</v>
      </c>
      <c r="E728" s="29">
        <v>0</v>
      </c>
      <c r="F728" s="29"/>
      <c r="G728" s="30">
        <v>54.92</v>
      </c>
      <c r="H728" s="29"/>
      <c r="I728" s="29">
        <f t="shared" si="84"/>
        <v>0</v>
      </c>
      <c r="J728" s="29">
        <f t="shared" si="83"/>
        <v>0</v>
      </c>
      <c r="K728" s="357">
        <f t="shared" si="85"/>
        <v>0</v>
      </c>
      <c r="L728" s="357">
        <f t="shared" si="86"/>
        <v>0</v>
      </c>
      <c r="Z728" s="49"/>
    </row>
    <row r="729" spans="1:26" hidden="1" outlineLevel="1" x14ac:dyDescent="0.3">
      <c r="A729" s="34"/>
      <c r="B729" s="35" t="s">
        <v>718</v>
      </c>
      <c r="C729" s="161"/>
      <c r="D729" s="29" t="s">
        <v>22</v>
      </c>
      <c r="E729" s="29">
        <v>0</v>
      </c>
      <c r="F729" s="29"/>
      <c r="G729" s="30">
        <v>19.12</v>
      </c>
      <c r="H729" s="29"/>
      <c r="I729" s="29">
        <f t="shared" si="84"/>
        <v>0</v>
      </c>
      <c r="J729" s="29">
        <f t="shared" si="83"/>
        <v>0</v>
      </c>
      <c r="K729" s="357">
        <f t="shared" si="85"/>
        <v>0</v>
      </c>
      <c r="L729" s="357">
        <f t="shared" si="86"/>
        <v>0</v>
      </c>
      <c r="Z729" s="49"/>
    </row>
    <row r="730" spans="1:26" hidden="1" outlineLevel="1" x14ac:dyDescent="0.3">
      <c r="A730" s="34"/>
      <c r="B730" s="35" t="s">
        <v>719</v>
      </c>
      <c r="C730" s="161"/>
      <c r="D730" s="29" t="s">
        <v>22</v>
      </c>
      <c r="E730" s="29">
        <v>0</v>
      </c>
      <c r="F730" s="29"/>
      <c r="G730" s="30">
        <v>19.13</v>
      </c>
      <c r="H730" s="29"/>
      <c r="I730" s="29">
        <f t="shared" si="84"/>
        <v>0</v>
      </c>
      <c r="J730" s="29">
        <f t="shared" si="83"/>
        <v>0</v>
      </c>
      <c r="K730" s="357">
        <f t="shared" si="85"/>
        <v>0</v>
      </c>
      <c r="L730" s="357">
        <f t="shared" si="86"/>
        <v>0</v>
      </c>
      <c r="Z730" s="49"/>
    </row>
    <row r="731" spans="1:26" hidden="1" outlineLevel="1" x14ac:dyDescent="0.3">
      <c r="A731" s="34"/>
      <c r="B731" s="35" t="s">
        <v>720</v>
      </c>
      <c r="C731" s="161"/>
      <c r="D731" s="29" t="s">
        <v>22</v>
      </c>
      <c r="E731" s="29">
        <v>0</v>
      </c>
      <c r="F731" s="29"/>
      <c r="G731" s="30">
        <v>32.700000000000003</v>
      </c>
      <c r="H731" s="29"/>
      <c r="I731" s="29">
        <f>ROUND(E731*G731,2)</f>
        <v>0</v>
      </c>
      <c r="J731" s="29">
        <f>H731+I731</f>
        <v>0</v>
      </c>
      <c r="K731" s="357">
        <f t="shared" si="85"/>
        <v>0</v>
      </c>
      <c r="L731" s="357">
        <f t="shared" si="86"/>
        <v>0</v>
      </c>
      <c r="Z731" s="49"/>
    </row>
    <row r="732" spans="1:26" hidden="1" outlineLevel="1" x14ac:dyDescent="0.3">
      <c r="A732" s="34" t="s">
        <v>721</v>
      </c>
      <c r="B732" s="27" t="s">
        <v>722</v>
      </c>
      <c r="C732" s="161"/>
      <c r="D732" s="29" t="s">
        <v>38</v>
      </c>
      <c r="E732" s="29">
        <v>0</v>
      </c>
      <c r="F732" s="29"/>
      <c r="G732" s="30"/>
      <c r="H732" s="29"/>
      <c r="I732" s="29"/>
      <c r="J732" s="29"/>
      <c r="K732" s="357">
        <f t="shared" si="85"/>
        <v>0</v>
      </c>
      <c r="L732" s="357">
        <f t="shared" si="86"/>
        <v>0</v>
      </c>
      <c r="Z732" s="49"/>
    </row>
    <row r="733" spans="1:26" hidden="1" outlineLevel="1" x14ac:dyDescent="0.3">
      <c r="A733" s="34"/>
      <c r="B733" s="113" t="s">
        <v>723</v>
      </c>
      <c r="C733" s="118"/>
      <c r="D733" s="114" t="s">
        <v>40</v>
      </c>
      <c r="E733" s="29">
        <f>E732*0.2</f>
        <v>0</v>
      </c>
      <c r="F733" s="29"/>
      <c r="G733" s="30">
        <v>100</v>
      </c>
      <c r="H733" s="29"/>
      <c r="I733" s="29">
        <f>ROUND(E733*G733,2)</f>
        <v>0</v>
      </c>
      <c r="J733" s="29">
        <f>I733+H733</f>
        <v>0</v>
      </c>
      <c r="K733" s="357">
        <f t="shared" si="85"/>
        <v>0</v>
      </c>
      <c r="L733" s="357">
        <f t="shared" si="86"/>
        <v>0</v>
      </c>
      <c r="Z733" s="49"/>
    </row>
    <row r="734" spans="1:26" hidden="1" outlineLevel="1" x14ac:dyDescent="0.3">
      <c r="A734" s="34"/>
      <c r="B734" s="113" t="s">
        <v>724</v>
      </c>
      <c r="C734" s="118"/>
      <c r="D734" s="114" t="s">
        <v>40</v>
      </c>
      <c r="E734" s="29">
        <f>E732*0.4</f>
        <v>0</v>
      </c>
      <c r="F734" s="29"/>
      <c r="G734" s="30">
        <v>200</v>
      </c>
      <c r="H734" s="29"/>
      <c r="I734" s="29">
        <f>ROUND(E734*G734,2)</f>
        <v>0</v>
      </c>
      <c r="J734" s="29">
        <f>I734+H734</f>
        <v>0</v>
      </c>
      <c r="K734" s="357">
        <f t="shared" si="85"/>
        <v>0</v>
      </c>
      <c r="L734" s="357">
        <f t="shared" si="86"/>
        <v>0</v>
      </c>
      <c r="Z734" s="49"/>
    </row>
    <row r="735" spans="1:26" hidden="1" outlineLevel="1" x14ac:dyDescent="0.3">
      <c r="A735" s="34" t="s">
        <v>725</v>
      </c>
      <c r="B735" s="186" t="s">
        <v>726</v>
      </c>
      <c r="C735" s="187"/>
      <c r="D735" s="187" t="s">
        <v>458</v>
      </c>
      <c r="E735" s="188">
        <f>E710</f>
        <v>0</v>
      </c>
      <c r="F735" s="189"/>
      <c r="G735" s="190"/>
      <c r="H735" s="191"/>
      <c r="I735" s="29"/>
      <c r="J735" s="29"/>
      <c r="K735" s="357">
        <f t="shared" si="85"/>
        <v>0</v>
      </c>
      <c r="L735" s="357">
        <f t="shared" si="86"/>
        <v>0</v>
      </c>
      <c r="Z735" s="49"/>
    </row>
    <row r="736" spans="1:26" s="25" customFormat="1" collapsed="1" x14ac:dyDescent="0.3">
      <c r="A736" s="97" t="s">
        <v>832</v>
      </c>
      <c r="B736" s="163" t="s">
        <v>727</v>
      </c>
      <c r="C736" s="164"/>
      <c r="D736" s="164"/>
      <c r="E736" s="164"/>
      <c r="F736" s="164"/>
      <c r="G736" s="163"/>
      <c r="H736" s="164"/>
      <c r="I736" s="164"/>
      <c r="J736" s="164"/>
      <c r="K736" s="357">
        <f t="shared" si="85"/>
        <v>0</v>
      </c>
      <c r="L736" s="357">
        <f t="shared" si="86"/>
        <v>0</v>
      </c>
      <c r="Y736" s="201"/>
      <c r="Z736" s="49"/>
    </row>
    <row r="737" spans="1:26" s="25" customFormat="1" ht="18.600000000000001" customHeight="1" x14ac:dyDescent="0.3">
      <c r="A737" s="34"/>
      <c r="B737" s="121" t="s">
        <v>72</v>
      </c>
      <c r="C737" s="217"/>
      <c r="D737" s="39"/>
      <c r="E737" s="28"/>
      <c r="F737" s="28"/>
      <c r="G737" s="50"/>
      <c r="H737" s="28"/>
      <c r="I737" s="28"/>
      <c r="J737" s="28">
        <f>ROUND(J736/1.18*0.18,2)</f>
        <v>0</v>
      </c>
      <c r="K737" s="357">
        <f t="shared" si="85"/>
        <v>0</v>
      </c>
      <c r="L737" s="357">
        <f t="shared" si="86"/>
        <v>0</v>
      </c>
      <c r="Y737" s="201"/>
      <c r="Z737" s="49"/>
    </row>
    <row r="738" spans="1:26" s="25" customFormat="1" ht="18.75" customHeight="1" x14ac:dyDescent="0.3">
      <c r="A738" s="126"/>
      <c r="B738" s="259" t="s">
        <v>780</v>
      </c>
      <c r="C738" s="213"/>
      <c r="D738" s="23"/>
      <c r="E738" s="23"/>
      <c r="F738" s="23"/>
      <c r="G738" s="22"/>
      <c r="H738" s="23"/>
      <c r="I738" s="23"/>
      <c r="J738" s="24"/>
      <c r="K738" s="357">
        <f t="shared" si="85"/>
        <v>0</v>
      </c>
      <c r="L738" s="357">
        <f t="shared" si="86"/>
        <v>0</v>
      </c>
      <c r="Y738" s="201"/>
      <c r="Z738" s="49"/>
    </row>
    <row r="739" spans="1:26" s="25" customFormat="1" ht="18.600000000000001" customHeight="1" x14ac:dyDescent="0.3">
      <c r="A739" s="34" t="s">
        <v>781</v>
      </c>
      <c r="B739" s="264" t="s">
        <v>728</v>
      </c>
      <c r="C739" s="217"/>
      <c r="D739" s="39"/>
      <c r="E739" s="28"/>
      <c r="F739" s="28"/>
      <c r="G739" s="50"/>
      <c r="H739" s="28">
        <f>(J16+J17+J19+J25+J28+J30+J36+J38+J40+J43+J59+J87+J97+J121+J125+J135+J154+J157+J162+J182+J197+J232+J248+J256+J261+J265+J314+J340+J351+J358+H523+H546+H577+H699)*0.08</f>
        <v>300938.54728</v>
      </c>
      <c r="I739" s="28"/>
      <c r="J739" s="25">
        <f>H739</f>
        <v>300938.54728</v>
      </c>
      <c r="K739" s="357">
        <f t="shared" si="85"/>
        <v>0</v>
      </c>
      <c r="L739" s="357">
        <f t="shared" si="86"/>
        <v>0</v>
      </c>
      <c r="Y739" s="201"/>
      <c r="Z739" s="49"/>
    </row>
    <row r="740" spans="1:26" s="25" customFormat="1" ht="18.600000000000001" customHeight="1" x14ac:dyDescent="0.3">
      <c r="A740" s="34" t="s">
        <v>782</v>
      </c>
      <c r="B740" s="264" t="s">
        <v>729</v>
      </c>
      <c r="C740" s="217"/>
      <c r="D740" s="39"/>
      <c r="E740" s="28"/>
      <c r="F740" s="28"/>
      <c r="G740" s="50"/>
      <c r="H740" s="28">
        <v>600000</v>
      </c>
      <c r="I740" s="28"/>
      <c r="J740" s="25">
        <f t="shared" ref="J740:J747" si="87">H740</f>
        <v>600000</v>
      </c>
      <c r="K740" s="357">
        <f t="shared" si="85"/>
        <v>0</v>
      </c>
      <c r="L740" s="357">
        <f t="shared" si="86"/>
        <v>0</v>
      </c>
      <c r="Y740" s="201"/>
      <c r="Z740" s="49"/>
    </row>
    <row r="741" spans="1:26" s="25" customFormat="1" ht="18.600000000000001" customHeight="1" x14ac:dyDescent="0.3">
      <c r="A741" s="34" t="s">
        <v>783</v>
      </c>
      <c r="B741" s="264" t="s">
        <v>730</v>
      </c>
      <c r="C741" s="217"/>
      <c r="D741" s="39"/>
      <c r="E741" s="28"/>
      <c r="F741" s="28"/>
      <c r="G741" s="50"/>
      <c r="H741" s="28">
        <v>400000</v>
      </c>
      <c r="I741" s="28"/>
      <c r="J741" s="25">
        <f t="shared" si="87"/>
        <v>400000</v>
      </c>
      <c r="K741" s="357">
        <f t="shared" si="85"/>
        <v>0</v>
      </c>
      <c r="L741" s="357">
        <f t="shared" si="86"/>
        <v>0</v>
      </c>
      <c r="Y741" s="201"/>
      <c r="Z741" s="49"/>
    </row>
    <row r="742" spans="1:26" s="25" customFormat="1" ht="18.600000000000001" customHeight="1" x14ac:dyDescent="0.3">
      <c r="A742" s="34" t="s">
        <v>784</v>
      </c>
      <c r="B742" s="264" t="s">
        <v>69</v>
      </c>
      <c r="C742" s="217"/>
      <c r="D742" s="39"/>
      <c r="E742" s="28"/>
      <c r="F742" s="28"/>
      <c r="G742" s="50"/>
      <c r="H742" s="28">
        <v>500000</v>
      </c>
      <c r="I742" s="28"/>
      <c r="J742" s="25">
        <f t="shared" si="87"/>
        <v>500000</v>
      </c>
      <c r="K742" s="357">
        <f t="shared" si="85"/>
        <v>0</v>
      </c>
      <c r="L742" s="357">
        <f t="shared" si="86"/>
        <v>0</v>
      </c>
      <c r="Y742" s="201"/>
      <c r="Z742" s="49"/>
    </row>
    <row r="743" spans="1:26" s="25" customFormat="1" ht="18.600000000000001" customHeight="1" x14ac:dyDescent="0.3">
      <c r="A743" s="34" t="s">
        <v>785</v>
      </c>
      <c r="B743" s="264" t="s">
        <v>731</v>
      </c>
      <c r="C743" s="217"/>
      <c r="D743" s="39"/>
      <c r="E743" s="28"/>
      <c r="F743" s="28"/>
      <c r="G743" s="50"/>
      <c r="H743" s="28">
        <v>460000</v>
      </c>
      <c r="I743" s="28"/>
      <c r="J743" s="25">
        <f t="shared" si="87"/>
        <v>460000</v>
      </c>
      <c r="K743" s="357">
        <f t="shared" si="85"/>
        <v>0</v>
      </c>
      <c r="L743" s="357">
        <f t="shared" si="86"/>
        <v>0</v>
      </c>
      <c r="Y743" s="201"/>
      <c r="Z743" s="49"/>
    </row>
    <row r="744" spans="1:26" s="25" customFormat="1" ht="18.600000000000001" customHeight="1" x14ac:dyDescent="0.3">
      <c r="A744" s="34" t="s">
        <v>786</v>
      </c>
      <c r="B744" s="264" t="s">
        <v>732</v>
      </c>
      <c r="C744" s="217"/>
      <c r="D744" s="39"/>
      <c r="E744" s="28"/>
      <c r="F744" s="28"/>
      <c r="G744" s="50"/>
      <c r="H744" s="28">
        <v>200000</v>
      </c>
      <c r="I744" s="28"/>
      <c r="J744" s="25">
        <f t="shared" si="87"/>
        <v>200000</v>
      </c>
      <c r="K744" s="357">
        <f t="shared" si="85"/>
        <v>0</v>
      </c>
      <c r="L744" s="357">
        <f t="shared" si="86"/>
        <v>0</v>
      </c>
      <c r="Y744" s="201"/>
      <c r="Z744" s="49"/>
    </row>
    <row r="745" spans="1:26" s="25" customFormat="1" ht="18.600000000000001" customHeight="1" x14ac:dyDescent="0.3">
      <c r="A745" s="34" t="s">
        <v>787</v>
      </c>
      <c r="B745" s="264" t="s">
        <v>733</v>
      </c>
      <c r="C745" s="217"/>
      <c r="D745" s="39"/>
      <c r="E745" s="28"/>
      <c r="F745" s="28"/>
      <c r="G745" s="50"/>
      <c r="H745" s="28">
        <v>200000</v>
      </c>
      <c r="I745" s="28"/>
      <c r="J745" s="25">
        <f t="shared" si="87"/>
        <v>200000</v>
      </c>
      <c r="K745" s="357">
        <f t="shared" si="85"/>
        <v>0</v>
      </c>
      <c r="L745" s="357">
        <f t="shared" si="86"/>
        <v>0</v>
      </c>
      <c r="Y745" s="201"/>
      <c r="Z745" s="49"/>
    </row>
    <row r="746" spans="1:26" s="25" customFormat="1" ht="18.600000000000001" customHeight="1" x14ac:dyDescent="0.3">
      <c r="A746" s="34" t="s">
        <v>788</v>
      </c>
      <c r="B746" s="264" t="s">
        <v>735</v>
      </c>
      <c r="C746" s="217"/>
      <c r="D746" s="39"/>
      <c r="E746" s="28"/>
      <c r="F746" s="28"/>
      <c r="G746" s="50"/>
      <c r="H746" s="28">
        <v>500000</v>
      </c>
      <c r="I746" s="28"/>
      <c r="J746" s="25">
        <f t="shared" si="87"/>
        <v>500000</v>
      </c>
      <c r="K746" s="357">
        <f t="shared" si="85"/>
        <v>0</v>
      </c>
      <c r="L746" s="357">
        <f t="shared" si="86"/>
        <v>0</v>
      </c>
      <c r="Y746" s="201"/>
      <c r="Z746" s="49"/>
    </row>
    <row r="747" spans="1:26" s="25" customFormat="1" ht="18.600000000000001" customHeight="1" x14ac:dyDescent="0.3">
      <c r="A747" s="34" t="s">
        <v>830</v>
      </c>
      <c r="B747" s="264" t="s">
        <v>734</v>
      </c>
      <c r="C747" s="217"/>
      <c r="D747" s="39"/>
      <c r="E747" s="28"/>
      <c r="F747" s="28"/>
      <c r="G747" s="50"/>
      <c r="H747" s="28">
        <v>350000</v>
      </c>
      <c r="I747" s="28"/>
      <c r="J747" s="25">
        <f t="shared" si="87"/>
        <v>350000</v>
      </c>
      <c r="K747" s="357">
        <f t="shared" si="85"/>
        <v>0</v>
      </c>
      <c r="L747" s="357">
        <f t="shared" si="86"/>
        <v>0</v>
      </c>
      <c r="Y747" s="201"/>
      <c r="Z747" s="49"/>
    </row>
    <row r="748" spans="1:26" s="322" customFormat="1" ht="26.4" customHeight="1" x14ac:dyDescent="0.3">
      <c r="A748" s="313" t="s">
        <v>832</v>
      </c>
      <c r="B748" s="317" t="s">
        <v>831</v>
      </c>
      <c r="C748" s="316"/>
      <c r="D748" s="316"/>
      <c r="E748" s="316"/>
      <c r="F748" s="316"/>
      <c r="G748" s="317"/>
      <c r="H748" s="316">
        <f>SUM(H739:H747)</f>
        <v>3510938.5472800001</v>
      </c>
      <c r="I748" s="316"/>
      <c r="J748" s="316">
        <f>H748</f>
        <v>3510938.5472800001</v>
      </c>
      <c r="K748" s="357">
        <f t="shared" si="85"/>
        <v>0</v>
      </c>
      <c r="L748" s="357">
        <f t="shared" si="86"/>
        <v>0</v>
      </c>
      <c r="N748" s="322">
        <f>90*4000+1150000</f>
        <v>1510000</v>
      </c>
      <c r="P748" s="322">
        <f>N748-J748</f>
        <v>-2000938.5472800001</v>
      </c>
      <c r="W748" s="322">
        <f>90*4000+1150000</f>
        <v>1510000</v>
      </c>
      <c r="X748" s="322">
        <f>W748-T748</f>
        <v>1510000</v>
      </c>
      <c r="Y748" s="319"/>
      <c r="Z748" s="49"/>
    </row>
    <row r="749" spans="1:26" s="322" customFormat="1" x14ac:dyDescent="0.3">
      <c r="A749" s="313"/>
      <c r="B749" s="323" t="s">
        <v>72</v>
      </c>
      <c r="C749" s="324"/>
      <c r="D749" s="325"/>
      <c r="E749" s="316"/>
      <c r="F749" s="316"/>
      <c r="G749" s="317"/>
      <c r="H749" s="316"/>
      <c r="I749" s="316"/>
      <c r="J749" s="316">
        <f>ROUND(J748/1.18*0.18,2)</f>
        <v>535566.9</v>
      </c>
      <c r="K749" s="357">
        <f t="shared" si="85"/>
        <v>0</v>
      </c>
      <c r="L749" s="357">
        <f t="shared" si="86"/>
        <v>0</v>
      </c>
      <c r="Y749" s="319"/>
      <c r="Z749" s="49"/>
    </row>
    <row r="750" spans="1:26" ht="17.399999999999999" x14ac:dyDescent="0.3">
      <c r="A750" s="328" t="s">
        <v>832</v>
      </c>
      <c r="B750" s="192" t="s">
        <v>736</v>
      </c>
      <c r="H750" s="326">
        <f>SUMIF($A$15:$A748,$A750,H$15:H748)</f>
        <v>11612434.33484</v>
      </c>
      <c r="I750" s="326">
        <f>SUMIF($A$15:$A748,$A750,I$15:I748)</f>
        <v>18466285.047978755</v>
      </c>
      <c r="J750" s="327">
        <f>H750+I750</f>
        <v>30078719.382818755</v>
      </c>
      <c r="K750" s="357">
        <f t="shared" si="85"/>
        <v>0</v>
      </c>
      <c r="L750" s="357">
        <f t="shared" si="86"/>
        <v>0</v>
      </c>
      <c r="R750" s="18">
        <v>16758829.720000001</v>
      </c>
      <c r="Z750" s="49"/>
    </row>
    <row r="751" spans="1:26" x14ac:dyDescent="0.3">
      <c r="B751" s="193" t="s">
        <v>737</v>
      </c>
      <c r="J751" s="194">
        <f>J750/1.18*18/100</f>
        <v>4588279.2278876072</v>
      </c>
      <c r="K751" s="357">
        <f t="shared" si="85"/>
        <v>0</v>
      </c>
      <c r="L751" s="357">
        <f t="shared" si="86"/>
        <v>0</v>
      </c>
      <c r="R751" s="329">
        <f>I750-R750</f>
        <v>1707455.3279787544</v>
      </c>
      <c r="Z751" s="49"/>
    </row>
    <row r="752" spans="1:26" ht="25.5" customHeight="1" x14ac:dyDescent="0.3">
      <c r="A752" s="195"/>
      <c r="B752" s="196" t="s">
        <v>5</v>
      </c>
      <c r="C752" s="197"/>
      <c r="D752" s="197"/>
      <c r="E752" s="197"/>
      <c r="F752" s="197"/>
      <c r="G752" s="196"/>
      <c r="H752" s="197">
        <f>H750/$D$10</f>
        <v>7002.1914705981662</v>
      </c>
      <c r="I752" s="197">
        <f>I750/$D$10</f>
        <v>11135.000631921583</v>
      </c>
      <c r="J752" s="197">
        <f>J750/$D$10</f>
        <v>18137.192102519752</v>
      </c>
      <c r="K752" s="357">
        <f t="shared" si="85"/>
        <v>0</v>
      </c>
      <c r="L752" s="357">
        <f t="shared" si="86"/>
        <v>0</v>
      </c>
      <c r="Z752" s="49"/>
    </row>
  </sheetData>
  <autoFilter ref="A13:IY749">
    <filterColumn colId="5" showButton="0"/>
    <filterColumn colId="7" showButton="0"/>
    <filterColumn colId="13" showButton="0"/>
    <filterColumn colId="14" showButton="0"/>
    <filterColumn colId="16" showButton="0"/>
    <filterColumn colId="17" showButton="0"/>
    <filterColumn colId="19" showButton="0"/>
    <filterColumn colId="20" showButton="0"/>
  </autoFilter>
  <mergeCells count="28">
    <mergeCell ref="AA13:AA14"/>
    <mergeCell ref="N13:P13"/>
    <mergeCell ref="Q13:S13"/>
    <mergeCell ref="T13:V13"/>
    <mergeCell ref="T709:V709"/>
    <mergeCell ref="M646:M647"/>
    <mergeCell ref="M690:M696"/>
    <mergeCell ref="N709:P709"/>
    <mergeCell ref="Q709:S709"/>
    <mergeCell ref="W709:X709"/>
    <mergeCell ref="J13:J14"/>
    <mergeCell ref="B15:F15"/>
    <mergeCell ref="B53:G53"/>
    <mergeCell ref="B338:G338"/>
    <mergeCell ref="M630:M639"/>
    <mergeCell ref="B422:E422"/>
    <mergeCell ref="H13:I13"/>
    <mergeCell ref="K13:L13"/>
    <mergeCell ref="B7:I7"/>
    <mergeCell ref="B8:I8"/>
    <mergeCell ref="H9:I9"/>
    <mergeCell ref="A10:B10"/>
    <mergeCell ref="G10:I10"/>
    <mergeCell ref="A13:A14"/>
    <mergeCell ref="B13:B14"/>
    <mergeCell ref="D13:D14"/>
    <mergeCell ref="E13:E14"/>
    <mergeCell ref="F13:G13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7"/>
  <sheetViews>
    <sheetView topLeftCell="A4" workbookViewId="0">
      <selection activeCell="C13" sqref="C13"/>
    </sheetView>
  </sheetViews>
  <sheetFormatPr defaultRowHeight="14.4" outlineLevelRow="1" x14ac:dyDescent="0.3"/>
  <cols>
    <col min="2" max="2" width="29.109375" customWidth="1"/>
    <col min="3" max="3" width="18.109375" customWidth="1"/>
    <col min="6" max="6" width="15.44140625" customWidth="1"/>
    <col min="7" max="7" width="19.33203125" customWidth="1"/>
    <col min="8" max="8" width="18.33203125" customWidth="1"/>
    <col min="9" max="9" width="14.44140625" customWidth="1"/>
    <col min="10" max="10" width="15.6640625" customWidth="1"/>
    <col min="11" max="11" width="12.77734375" style="269" customWidth="1"/>
  </cols>
  <sheetData>
    <row r="1" spans="1:256" s="18" customFormat="1" ht="25.5" customHeight="1" x14ac:dyDescent="0.3">
      <c r="A1" s="332" t="s">
        <v>9</v>
      </c>
      <c r="B1" s="333" t="s">
        <v>10</v>
      </c>
      <c r="C1" s="261"/>
      <c r="D1" s="333" t="s">
        <v>11</v>
      </c>
      <c r="E1" s="333" t="s">
        <v>12</v>
      </c>
      <c r="F1" s="333" t="s">
        <v>13</v>
      </c>
      <c r="G1" s="333"/>
      <c r="H1" s="333" t="s">
        <v>14</v>
      </c>
      <c r="I1" s="333"/>
      <c r="J1" s="333" t="s">
        <v>15</v>
      </c>
      <c r="K1" s="268" t="str">
        <f>X1</f>
        <v>Остаток по смете</v>
      </c>
      <c r="L1" s="346" t="s">
        <v>738</v>
      </c>
      <c r="M1" s="346"/>
      <c r="N1" s="346"/>
      <c r="O1" s="346" t="s">
        <v>742</v>
      </c>
      <c r="P1" s="346"/>
      <c r="Q1" s="346"/>
      <c r="R1" s="346" t="s">
        <v>743</v>
      </c>
      <c r="S1" s="346"/>
      <c r="T1" s="346"/>
      <c r="U1" s="198" t="s">
        <v>744</v>
      </c>
      <c r="V1" s="198"/>
      <c r="W1" s="203"/>
      <c r="X1" s="345" t="s">
        <v>745</v>
      </c>
      <c r="Y1" s="198"/>
      <c r="Z1" s="198"/>
      <c r="AA1" s="198"/>
      <c r="AB1" s="198"/>
      <c r="AC1" s="198"/>
      <c r="AD1" s="198"/>
      <c r="AE1" s="198"/>
      <c r="AF1" s="198"/>
      <c r="AG1" s="198"/>
    </row>
    <row r="2" spans="1:256" s="18" customFormat="1" ht="46.8" x14ac:dyDescent="0.3">
      <c r="A2" s="332"/>
      <c r="B2" s="333"/>
      <c r="C2" s="261" t="s">
        <v>739</v>
      </c>
      <c r="D2" s="333"/>
      <c r="E2" s="333"/>
      <c r="F2" s="261" t="s">
        <v>16</v>
      </c>
      <c r="G2" s="20" t="s">
        <v>17</v>
      </c>
      <c r="H2" s="261" t="s">
        <v>16</v>
      </c>
      <c r="I2" s="261" t="s">
        <v>18</v>
      </c>
      <c r="J2" s="333"/>
      <c r="K2" s="268"/>
      <c r="L2" s="262" t="s">
        <v>741</v>
      </c>
      <c r="M2" s="262" t="s">
        <v>746</v>
      </c>
      <c r="N2" s="262" t="s">
        <v>747</v>
      </c>
      <c r="O2" s="262" t="s">
        <v>741</v>
      </c>
      <c r="P2" s="262" t="s">
        <v>746</v>
      </c>
      <c r="Q2" s="262" t="s">
        <v>747</v>
      </c>
      <c r="R2" s="262" t="s">
        <v>741</v>
      </c>
      <c r="S2" s="262" t="s">
        <v>746</v>
      </c>
      <c r="T2" s="262" t="s">
        <v>747</v>
      </c>
      <c r="U2" s="262" t="s">
        <v>741</v>
      </c>
      <c r="V2" s="198"/>
      <c r="W2" s="203"/>
      <c r="X2" s="345"/>
      <c r="Y2" s="198"/>
      <c r="Z2" s="198"/>
      <c r="AA2" s="198"/>
      <c r="AB2" s="198"/>
      <c r="AC2" s="198"/>
      <c r="AD2" s="198"/>
      <c r="AE2" s="198"/>
      <c r="AF2" s="198"/>
      <c r="AG2" s="198"/>
    </row>
    <row r="3" spans="1:256" s="36" customFormat="1" ht="22.2" customHeight="1" outlineLevel="1" x14ac:dyDescent="0.25">
      <c r="A3" s="26" t="s">
        <v>30</v>
      </c>
      <c r="B3" s="27" t="s">
        <v>31</v>
      </c>
      <c r="C3" s="161" t="s">
        <v>740</v>
      </c>
      <c r="D3" s="28" t="s">
        <v>25</v>
      </c>
      <c r="E3" s="265">
        <f>25+67</f>
        <v>92</v>
      </c>
      <c r="F3" s="28">
        <f>2500</f>
        <v>2500</v>
      </c>
      <c r="G3" s="30"/>
      <c r="H3" s="29">
        <f t="shared" ref="H3:H6" si="0">F3*E3</f>
        <v>230000</v>
      </c>
      <c r="I3" s="29">
        <f t="shared" ref="I3:I6" si="1">G3*E3</f>
        <v>0</v>
      </c>
      <c r="J3" s="30">
        <f t="shared" ref="J3:J6" si="2">H3+I3</f>
        <v>230000</v>
      </c>
      <c r="K3" s="268">
        <v>20</v>
      </c>
      <c r="L3" s="25"/>
      <c r="M3" s="25"/>
      <c r="N3" s="25">
        <f t="shared" ref="N3:N6" si="3">M3*L3</f>
        <v>0</v>
      </c>
      <c r="O3" s="25"/>
      <c r="P3" s="25"/>
      <c r="Q3" s="25">
        <f t="shared" ref="Q3:Q6" si="4">O3*P3</f>
        <v>0</v>
      </c>
      <c r="R3" s="25">
        <v>92</v>
      </c>
      <c r="S3" s="25">
        <v>2500</v>
      </c>
      <c r="T3" s="25">
        <f t="shared" ref="T3:T6" si="5">R3*S3</f>
        <v>230000</v>
      </c>
      <c r="U3" s="25"/>
      <c r="V3" s="25">
        <f t="shared" ref="V3:V6" si="6">U3*F3+U3*G3</f>
        <v>0</v>
      </c>
      <c r="W3" s="201">
        <f t="shared" ref="W3:W6" si="7">N3+Q3+T3+V3</f>
        <v>230000</v>
      </c>
      <c r="X3" s="25">
        <f t="shared" ref="X3:X6" si="8">J3-W3</f>
        <v>0</v>
      </c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  <c r="FB3" s="18"/>
      <c r="FC3" s="18"/>
      <c r="FD3" s="18"/>
      <c r="FE3" s="18"/>
      <c r="FF3" s="18"/>
      <c r="FG3" s="18"/>
      <c r="FH3" s="18"/>
      <c r="FI3" s="18"/>
      <c r="FJ3" s="18"/>
      <c r="FK3" s="18"/>
      <c r="FL3" s="18"/>
      <c r="FM3" s="18"/>
      <c r="FN3" s="18"/>
      <c r="FO3" s="18"/>
      <c r="FP3" s="18"/>
      <c r="FQ3" s="18"/>
      <c r="FR3" s="18"/>
      <c r="FS3" s="18"/>
      <c r="FT3" s="18"/>
      <c r="FU3" s="18"/>
      <c r="FV3" s="18"/>
      <c r="FW3" s="18"/>
      <c r="FX3" s="18"/>
      <c r="FY3" s="18"/>
      <c r="FZ3" s="18"/>
      <c r="GA3" s="18"/>
      <c r="GB3" s="18"/>
      <c r="GC3" s="18"/>
      <c r="GD3" s="18"/>
      <c r="GE3" s="18"/>
      <c r="GF3" s="18"/>
      <c r="GG3" s="18"/>
      <c r="GH3" s="18"/>
      <c r="GI3" s="18"/>
      <c r="GJ3" s="18"/>
      <c r="GK3" s="18"/>
      <c r="GL3" s="18"/>
      <c r="GM3" s="18"/>
      <c r="GN3" s="18"/>
      <c r="GO3" s="18"/>
      <c r="GP3" s="18"/>
      <c r="GQ3" s="18"/>
      <c r="GR3" s="18"/>
      <c r="GS3" s="18"/>
      <c r="GT3" s="18"/>
      <c r="GU3" s="18"/>
      <c r="GV3" s="18"/>
      <c r="GW3" s="18"/>
      <c r="GX3" s="18"/>
      <c r="GY3" s="18"/>
      <c r="GZ3" s="18"/>
      <c r="HA3" s="18"/>
      <c r="HB3" s="18"/>
      <c r="HC3" s="18"/>
      <c r="HD3" s="18"/>
      <c r="HE3" s="18"/>
      <c r="HF3" s="18"/>
      <c r="HG3" s="18"/>
      <c r="HH3" s="18"/>
      <c r="HI3" s="18"/>
      <c r="HJ3" s="18"/>
      <c r="HK3" s="18"/>
      <c r="HL3" s="18"/>
      <c r="HM3" s="18"/>
      <c r="HN3" s="18"/>
      <c r="HO3" s="18"/>
      <c r="HP3" s="18"/>
      <c r="HQ3" s="18"/>
      <c r="HR3" s="18"/>
      <c r="HS3" s="18"/>
      <c r="HT3" s="18"/>
      <c r="HU3" s="18"/>
      <c r="HV3" s="18"/>
      <c r="HW3" s="18"/>
      <c r="HX3" s="18"/>
      <c r="HY3" s="18"/>
      <c r="HZ3" s="18"/>
      <c r="IA3" s="18"/>
      <c r="IB3" s="18"/>
      <c r="IC3" s="18"/>
      <c r="ID3" s="18"/>
      <c r="IE3" s="18"/>
      <c r="IF3" s="18"/>
      <c r="IG3" s="18"/>
      <c r="IH3" s="18"/>
      <c r="II3" s="18"/>
      <c r="IJ3" s="18"/>
      <c r="IK3" s="18"/>
      <c r="IL3" s="18"/>
      <c r="IM3" s="18"/>
      <c r="IN3" s="18"/>
      <c r="IO3" s="18"/>
      <c r="IP3" s="18"/>
      <c r="IQ3" s="18"/>
      <c r="IR3" s="18"/>
      <c r="IS3" s="18"/>
      <c r="IT3" s="18"/>
      <c r="IU3" s="18"/>
      <c r="IV3" s="18"/>
    </row>
    <row r="4" spans="1:256" s="36" customFormat="1" ht="31.2" outlineLevel="1" x14ac:dyDescent="0.25">
      <c r="A4" s="37"/>
      <c r="B4" s="30" t="s">
        <v>32</v>
      </c>
      <c r="C4" s="28" t="s">
        <v>749</v>
      </c>
      <c r="D4" s="29" t="s">
        <v>25</v>
      </c>
      <c r="E4" s="266">
        <f>E3*1.015</f>
        <v>93.38</v>
      </c>
      <c r="F4" s="29"/>
      <c r="G4" s="30">
        <v>4600</v>
      </c>
      <c r="H4" s="29">
        <f t="shared" si="0"/>
        <v>0</v>
      </c>
      <c r="I4" s="29">
        <f t="shared" si="1"/>
        <v>429548</v>
      </c>
      <c r="J4" s="30">
        <f t="shared" si="2"/>
        <v>429548</v>
      </c>
      <c r="K4" s="268">
        <f>$K$3/$E$3*E4</f>
        <v>20.299999999999997</v>
      </c>
      <c r="L4" s="25"/>
      <c r="M4" s="25"/>
      <c r="N4" s="25">
        <f t="shared" si="3"/>
        <v>0</v>
      </c>
      <c r="O4" s="25"/>
      <c r="P4" s="25"/>
      <c r="Q4" s="25">
        <f t="shared" si="4"/>
        <v>0</v>
      </c>
      <c r="R4" s="25">
        <f>R3/E3*E4</f>
        <v>93.38</v>
      </c>
      <c r="S4" s="25">
        <v>4600</v>
      </c>
      <c r="T4" s="25">
        <f t="shared" si="5"/>
        <v>429548</v>
      </c>
      <c r="U4" s="25"/>
      <c r="V4" s="25">
        <f t="shared" si="6"/>
        <v>0</v>
      </c>
      <c r="W4" s="201">
        <f t="shared" si="7"/>
        <v>429548</v>
      </c>
      <c r="X4" s="25">
        <f t="shared" si="8"/>
        <v>0</v>
      </c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  <c r="FB4" s="18"/>
      <c r="FC4" s="18"/>
      <c r="FD4" s="18"/>
      <c r="FE4" s="18"/>
      <c r="FF4" s="18"/>
      <c r="FG4" s="18"/>
      <c r="FH4" s="18"/>
      <c r="FI4" s="18"/>
      <c r="FJ4" s="18"/>
      <c r="FK4" s="18"/>
      <c r="FL4" s="18"/>
      <c r="FM4" s="18"/>
      <c r="FN4" s="18"/>
      <c r="FO4" s="18"/>
      <c r="FP4" s="18"/>
      <c r="FQ4" s="18"/>
      <c r="FR4" s="18"/>
      <c r="FS4" s="18"/>
      <c r="FT4" s="18"/>
      <c r="FU4" s="18"/>
      <c r="FV4" s="18"/>
      <c r="FW4" s="18"/>
      <c r="FX4" s="18"/>
      <c r="FY4" s="18"/>
      <c r="FZ4" s="18"/>
      <c r="GA4" s="18"/>
      <c r="GB4" s="18"/>
      <c r="GC4" s="18"/>
      <c r="GD4" s="18"/>
      <c r="GE4" s="18"/>
      <c r="GF4" s="18"/>
      <c r="GG4" s="18"/>
      <c r="GH4" s="18"/>
      <c r="GI4" s="18"/>
      <c r="GJ4" s="18"/>
      <c r="GK4" s="18"/>
      <c r="GL4" s="18"/>
      <c r="GM4" s="18"/>
      <c r="GN4" s="18"/>
      <c r="GO4" s="18"/>
      <c r="GP4" s="18"/>
      <c r="GQ4" s="18"/>
      <c r="GR4" s="18"/>
      <c r="GS4" s="18"/>
      <c r="GT4" s="18"/>
      <c r="GU4" s="18"/>
      <c r="GV4" s="18"/>
      <c r="GW4" s="18"/>
      <c r="GX4" s="18"/>
      <c r="GY4" s="18"/>
      <c r="GZ4" s="18"/>
      <c r="HA4" s="18"/>
      <c r="HB4" s="18"/>
      <c r="HC4" s="18"/>
      <c r="HD4" s="18"/>
      <c r="HE4" s="18"/>
      <c r="HF4" s="18"/>
      <c r="HG4" s="18"/>
      <c r="HH4" s="18"/>
      <c r="HI4" s="18"/>
      <c r="HJ4" s="18"/>
      <c r="HK4" s="18"/>
      <c r="HL4" s="18"/>
      <c r="HM4" s="18"/>
      <c r="HN4" s="18"/>
      <c r="HO4" s="18"/>
      <c r="HP4" s="18"/>
      <c r="HQ4" s="18"/>
      <c r="HR4" s="18"/>
      <c r="HS4" s="18"/>
      <c r="HT4" s="18"/>
      <c r="HU4" s="18"/>
      <c r="HV4" s="18"/>
      <c r="HW4" s="18"/>
      <c r="HX4" s="18"/>
      <c r="HY4" s="18"/>
      <c r="HZ4" s="18"/>
      <c r="IA4" s="18"/>
      <c r="IB4" s="18"/>
      <c r="IC4" s="18"/>
      <c r="ID4" s="18"/>
      <c r="IE4" s="18"/>
      <c r="IF4" s="18"/>
      <c r="IG4" s="18"/>
      <c r="IH4" s="18"/>
      <c r="II4" s="18"/>
      <c r="IJ4" s="18"/>
      <c r="IK4" s="18"/>
      <c r="IL4" s="18"/>
      <c r="IM4" s="18"/>
      <c r="IN4" s="18"/>
      <c r="IO4" s="18"/>
      <c r="IP4" s="18"/>
      <c r="IQ4" s="18"/>
      <c r="IR4" s="18"/>
      <c r="IS4" s="18"/>
      <c r="IT4" s="18"/>
      <c r="IU4" s="18"/>
      <c r="IV4" s="18"/>
    </row>
    <row r="5" spans="1:256" s="25" customFormat="1" ht="20.25" customHeight="1" outlineLevel="1" x14ac:dyDescent="0.3">
      <c r="A5" s="34"/>
      <c r="B5" s="35" t="s">
        <v>33</v>
      </c>
      <c r="C5" s="161" t="s">
        <v>750</v>
      </c>
      <c r="D5" s="29" t="s">
        <v>34</v>
      </c>
      <c r="E5" s="267">
        <v>3.9480330000000015</v>
      </c>
      <c r="F5" s="29"/>
      <c r="G5" s="30">
        <v>35000</v>
      </c>
      <c r="H5" s="29">
        <f t="shared" si="0"/>
        <v>0</v>
      </c>
      <c r="I5" s="29">
        <f t="shared" si="1"/>
        <v>138181.15500000006</v>
      </c>
      <c r="J5" s="30">
        <f t="shared" si="2"/>
        <v>138181.15500000006</v>
      </c>
      <c r="K5" s="268">
        <f>$K$3/$E$3*E5</f>
        <v>0.85826804347826113</v>
      </c>
      <c r="N5" s="25">
        <f t="shared" si="3"/>
        <v>0</v>
      </c>
      <c r="Q5" s="25">
        <f t="shared" si="4"/>
        <v>0</v>
      </c>
      <c r="R5" s="25">
        <f>R3/E3*E5</f>
        <v>3.9480330000000015</v>
      </c>
      <c r="S5" s="25">
        <v>35000</v>
      </c>
      <c r="T5" s="25">
        <f t="shared" si="5"/>
        <v>138181.15500000006</v>
      </c>
      <c r="V5" s="25">
        <f t="shared" si="6"/>
        <v>0</v>
      </c>
      <c r="W5" s="201">
        <f t="shared" si="7"/>
        <v>138181.15500000006</v>
      </c>
      <c r="X5" s="25">
        <f t="shared" si="8"/>
        <v>0</v>
      </c>
    </row>
    <row r="6" spans="1:256" s="18" customFormat="1" ht="15.6" outlineLevel="1" x14ac:dyDescent="0.3">
      <c r="A6" s="37"/>
      <c r="B6" s="30" t="s">
        <v>35</v>
      </c>
      <c r="C6" s="28"/>
      <c r="D6" s="29" t="s">
        <v>25</v>
      </c>
      <c r="E6" s="266">
        <v>1</v>
      </c>
      <c r="F6" s="29"/>
      <c r="G6" s="30">
        <v>7500</v>
      </c>
      <c r="H6" s="29">
        <f t="shared" si="0"/>
        <v>0</v>
      </c>
      <c r="I6" s="29">
        <f t="shared" si="1"/>
        <v>7500</v>
      </c>
      <c r="J6" s="30">
        <f t="shared" si="2"/>
        <v>7500</v>
      </c>
      <c r="K6" s="268">
        <f>$K$3/$E$3*E6</f>
        <v>0.21739130434782608</v>
      </c>
      <c r="L6" s="25"/>
      <c r="M6" s="25"/>
      <c r="N6" s="25">
        <f t="shared" si="3"/>
        <v>0</v>
      </c>
      <c r="O6" s="25"/>
      <c r="P6" s="25"/>
      <c r="Q6" s="25">
        <f t="shared" si="4"/>
        <v>0</v>
      </c>
      <c r="R6" s="25">
        <v>1</v>
      </c>
      <c r="S6" s="206">
        <v>7000</v>
      </c>
      <c r="T6" s="25">
        <f t="shared" si="5"/>
        <v>7000</v>
      </c>
      <c r="U6" s="25"/>
      <c r="V6" s="25">
        <f t="shared" si="6"/>
        <v>0</v>
      </c>
      <c r="W6" s="201">
        <f t="shared" si="7"/>
        <v>7000</v>
      </c>
      <c r="X6" s="206">
        <f t="shared" si="8"/>
        <v>500</v>
      </c>
    </row>
    <row r="9" spans="1:256" x14ac:dyDescent="0.3">
      <c r="B9" s="310" t="s">
        <v>793</v>
      </c>
      <c r="I9">
        <v>92</v>
      </c>
      <c r="J9">
        <v>100</v>
      </c>
    </row>
    <row r="10" spans="1:256" ht="15.6" x14ac:dyDescent="0.3">
      <c r="A10" s="26" t="s">
        <v>30</v>
      </c>
      <c r="B10" s="27" t="s">
        <v>31</v>
      </c>
      <c r="I10">
        <v>20</v>
      </c>
      <c r="J10" t="s">
        <v>799</v>
      </c>
    </row>
    <row r="11" spans="1:256" x14ac:dyDescent="0.3">
      <c r="A11" s="270"/>
      <c r="B11" s="271" t="s">
        <v>797</v>
      </c>
    </row>
    <row r="12" spans="1:256" ht="15" thickBot="1" x14ac:dyDescent="0.35">
      <c r="B12" s="311" t="s">
        <v>794</v>
      </c>
      <c r="F12" t="s">
        <v>800</v>
      </c>
      <c r="G12" s="272" t="s">
        <v>801</v>
      </c>
      <c r="H12" s="272" t="s">
        <v>798</v>
      </c>
      <c r="I12" s="272" t="s">
        <v>802</v>
      </c>
    </row>
    <row r="13" spans="1:256" x14ac:dyDescent="0.3">
      <c r="A13" s="273"/>
      <c r="B13" s="308" t="s">
        <v>795</v>
      </c>
      <c r="C13" s="312" t="s">
        <v>796</v>
      </c>
      <c r="D13" s="274"/>
      <c r="E13" s="274"/>
      <c r="F13" s="274"/>
      <c r="G13" s="274"/>
      <c r="H13" s="274"/>
      <c r="I13" s="274"/>
      <c r="J13" s="275"/>
    </row>
    <row r="14" spans="1:256" x14ac:dyDescent="0.3">
      <c r="A14" s="276"/>
      <c r="B14" s="277"/>
      <c r="C14" s="278"/>
      <c r="D14" s="279" t="s">
        <v>25</v>
      </c>
      <c r="E14" s="278"/>
      <c r="F14" s="280">
        <f>K3</f>
        <v>20</v>
      </c>
      <c r="G14" s="281">
        <f>E3</f>
        <v>92</v>
      </c>
      <c r="H14" s="282">
        <f>G14-F14</f>
        <v>72</v>
      </c>
      <c r="I14" s="283">
        <v>30</v>
      </c>
      <c r="J14" s="284"/>
    </row>
    <row r="15" spans="1:256" x14ac:dyDescent="0.3">
      <c r="A15" s="276"/>
      <c r="B15" s="305" t="s">
        <v>803</v>
      </c>
      <c r="C15" s="306" t="s">
        <v>804</v>
      </c>
      <c r="D15" s="279"/>
      <c r="E15" s="278"/>
      <c r="F15" s="278"/>
      <c r="G15" s="285" t="s">
        <v>805</v>
      </c>
      <c r="H15" s="278"/>
      <c r="I15" s="278"/>
      <c r="J15" s="284"/>
    </row>
    <row r="16" spans="1:256" x14ac:dyDescent="0.3">
      <c r="A16" s="276"/>
      <c r="B16" s="278"/>
      <c r="C16" s="278"/>
      <c r="D16" s="278"/>
      <c r="E16" s="278"/>
      <c r="F16" s="278"/>
      <c r="G16" s="278"/>
      <c r="H16" s="278"/>
      <c r="I16" s="278"/>
      <c r="J16" s="284"/>
    </row>
    <row r="17" spans="1:10" ht="31.2" x14ac:dyDescent="0.3">
      <c r="A17" s="297"/>
      <c r="B17" s="298" t="s">
        <v>32</v>
      </c>
      <c r="C17" s="299"/>
      <c r="D17" s="299"/>
      <c r="E17" s="299"/>
      <c r="F17" s="299"/>
      <c r="G17" s="300" t="s">
        <v>805</v>
      </c>
      <c r="H17" s="301">
        <f>E4</f>
        <v>93.38</v>
      </c>
      <c r="I17" s="299">
        <f>$I$14/$E$3*E4</f>
        <v>30.45</v>
      </c>
      <c r="J17" s="302">
        <f>ROUND(I17,2)</f>
        <v>30.45</v>
      </c>
    </row>
    <row r="18" spans="1:10" x14ac:dyDescent="0.3">
      <c r="A18" s="297"/>
      <c r="B18" s="303" t="str">
        <f>B5</f>
        <v>Каркасы арматурные, закладные детали</v>
      </c>
      <c r="C18" s="299"/>
      <c r="D18" s="299"/>
      <c r="E18" s="299"/>
      <c r="F18" s="304" t="s">
        <v>808</v>
      </c>
      <c r="G18" s="300" t="s">
        <v>806</v>
      </c>
      <c r="H18" s="301">
        <f>E5</f>
        <v>3.9480330000000015</v>
      </c>
      <c r="I18" s="299">
        <f t="shared" ref="I18:I19" si="9">$I$14/$E$3*E5</f>
        <v>1.2874020652173919</v>
      </c>
      <c r="J18" s="302">
        <f t="shared" ref="J18:J19" si="10">ROUND(I18,2)</f>
        <v>1.29</v>
      </c>
    </row>
    <row r="19" spans="1:10" x14ac:dyDescent="0.3">
      <c r="A19" s="297"/>
      <c r="B19" s="303" t="str">
        <f>B6</f>
        <v>Пиломатериал</v>
      </c>
      <c r="C19" s="299"/>
      <c r="D19" s="299"/>
      <c r="E19" s="299"/>
      <c r="F19" s="299"/>
      <c r="G19" s="300" t="s">
        <v>807</v>
      </c>
      <c r="H19" s="301">
        <f>E6</f>
        <v>1</v>
      </c>
      <c r="I19" s="299">
        <f t="shared" si="9"/>
        <v>0.32608695652173914</v>
      </c>
      <c r="J19" s="302">
        <f t="shared" si="10"/>
        <v>0.33</v>
      </c>
    </row>
    <row r="20" spans="1:10" x14ac:dyDescent="0.3">
      <c r="A20" s="276"/>
      <c r="B20" s="278"/>
      <c r="C20" s="278"/>
      <c r="D20" s="278"/>
      <c r="E20" s="278"/>
      <c r="F20" s="278"/>
      <c r="G20" s="278"/>
      <c r="H20" s="278"/>
      <c r="I20" s="278"/>
      <c r="J20" s="284"/>
    </row>
    <row r="21" spans="1:10" x14ac:dyDescent="0.3">
      <c r="A21" s="276"/>
      <c r="B21" s="278"/>
      <c r="C21" s="278"/>
      <c r="D21" s="278"/>
      <c r="E21" s="278"/>
      <c r="F21" s="278"/>
      <c r="G21" s="278"/>
      <c r="H21" s="278"/>
      <c r="I21" s="278" t="s">
        <v>809</v>
      </c>
      <c r="J21" s="284"/>
    </row>
    <row r="22" spans="1:10" ht="15" thickBot="1" x14ac:dyDescent="0.35">
      <c r="A22" s="286"/>
      <c r="B22" s="287"/>
      <c r="C22" s="287"/>
      <c r="D22" s="287"/>
      <c r="E22" s="287"/>
      <c r="F22" s="287"/>
      <c r="G22" s="287"/>
      <c r="H22" s="287"/>
      <c r="I22" s="287" t="s">
        <v>810</v>
      </c>
      <c r="J22" s="288"/>
    </row>
    <row r="23" spans="1:10" x14ac:dyDescent="0.3">
      <c r="A23" s="273"/>
      <c r="B23" s="308" t="s">
        <v>811</v>
      </c>
      <c r="C23" s="307" t="s">
        <v>813</v>
      </c>
      <c r="D23" s="274"/>
      <c r="E23" s="274"/>
      <c r="F23" s="274"/>
      <c r="G23" s="274" t="s">
        <v>819</v>
      </c>
      <c r="H23" s="274"/>
      <c r="I23" s="289" t="s">
        <v>12</v>
      </c>
      <c r="J23" s="275"/>
    </row>
    <row r="24" spans="1:10" x14ac:dyDescent="0.3">
      <c r="A24" s="276"/>
      <c r="B24" s="277" t="s">
        <v>817</v>
      </c>
      <c r="C24" s="290" t="s">
        <v>812</v>
      </c>
      <c r="D24" s="278"/>
      <c r="E24" s="278"/>
      <c r="F24" s="278"/>
      <c r="G24" s="278"/>
      <c r="H24" s="285" t="s">
        <v>814</v>
      </c>
      <c r="I24" s="291">
        <f>E3-K3</f>
        <v>72</v>
      </c>
      <c r="J24" s="284"/>
    </row>
    <row r="25" spans="1:10" x14ac:dyDescent="0.3">
      <c r="A25" s="276"/>
      <c r="B25" s="277" t="s">
        <v>802</v>
      </c>
      <c r="C25" s="292">
        <v>1</v>
      </c>
      <c r="D25" s="278"/>
      <c r="E25" s="278"/>
      <c r="F25" s="278"/>
      <c r="G25" s="278"/>
      <c r="H25" s="285" t="s">
        <v>814</v>
      </c>
      <c r="I25" s="291">
        <f>E3-K3</f>
        <v>72</v>
      </c>
      <c r="J25" s="284"/>
    </row>
    <row r="26" spans="1:10" ht="15" thickBot="1" x14ac:dyDescent="0.35">
      <c r="A26" s="286"/>
      <c r="B26" s="293" t="s">
        <v>802</v>
      </c>
      <c r="C26" s="294">
        <v>40</v>
      </c>
      <c r="D26" s="287" t="s">
        <v>820</v>
      </c>
      <c r="E26" s="287" t="s">
        <v>815</v>
      </c>
      <c r="F26" s="295" t="s">
        <v>816</v>
      </c>
      <c r="G26" s="287">
        <f>ROUND((E3-K3)*100/E3,2)</f>
        <v>78.260000000000005</v>
      </c>
      <c r="H26" s="295" t="s">
        <v>818</v>
      </c>
      <c r="I26" s="296">
        <f>C26*E3/100</f>
        <v>36.799999999999997</v>
      </c>
      <c r="J26" s="288"/>
    </row>
    <row r="27" spans="1:10" x14ac:dyDescent="0.3">
      <c r="C27" s="309" t="s">
        <v>821</v>
      </c>
    </row>
  </sheetData>
  <mergeCells count="11">
    <mergeCell ref="H1:I1"/>
    <mergeCell ref="A1:A2"/>
    <mergeCell ref="B1:B2"/>
    <mergeCell ref="D1:D2"/>
    <mergeCell ref="E1:E2"/>
    <mergeCell ref="F1:G1"/>
    <mergeCell ref="J1:J2"/>
    <mergeCell ref="L1:N1"/>
    <mergeCell ref="O1:Q1"/>
    <mergeCell ref="R1:T1"/>
    <mergeCell ref="X1:X2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8"/>
  <sheetViews>
    <sheetView workbookViewId="0">
      <selection activeCell="H8" sqref="H8"/>
    </sheetView>
  </sheetViews>
  <sheetFormatPr defaultColWidth="9.109375" defaultRowHeight="14.4" x14ac:dyDescent="0.3"/>
  <cols>
    <col min="1" max="1" width="10.44140625" style="232" customWidth="1"/>
    <col min="2" max="2" width="55.44140625" style="232" customWidth="1"/>
    <col min="3" max="3" width="20.33203125" style="232" hidden="1" customWidth="1"/>
    <col min="4" max="4" width="17.6640625" style="232" hidden="1" customWidth="1"/>
    <col min="5" max="5" width="16.44140625" style="232" hidden="1" customWidth="1"/>
    <col min="6" max="6" width="17.6640625" style="232" hidden="1" customWidth="1"/>
    <col min="7" max="7" width="16.6640625" style="232" hidden="1" customWidth="1"/>
    <col min="8" max="8" width="16.88671875" style="232" customWidth="1"/>
    <col min="9" max="9" width="15.44140625" style="232" customWidth="1"/>
    <col min="10" max="10" width="10.88671875" style="232" customWidth="1"/>
    <col min="11" max="11" width="10.44140625" style="232" customWidth="1"/>
    <col min="12" max="12" width="10.33203125" style="232" customWidth="1"/>
    <col min="13" max="14" width="11" style="232" customWidth="1"/>
    <col min="15" max="15" width="11.6640625" style="232" customWidth="1"/>
    <col min="16" max="16" width="10.88671875" style="232" customWidth="1"/>
    <col min="17" max="17" width="10.44140625" style="232" customWidth="1"/>
    <col min="18" max="16384" width="9.109375" style="232"/>
  </cols>
  <sheetData>
    <row r="1" spans="1:17" ht="15.6" x14ac:dyDescent="0.3">
      <c r="A1" s="229"/>
      <c r="B1" s="230"/>
      <c r="C1" s="231"/>
      <c r="D1"/>
      <c r="E1"/>
      <c r="F1"/>
    </row>
    <row r="2" spans="1:17" ht="15.6" x14ac:dyDescent="0.3">
      <c r="A2" s="230"/>
      <c r="B2" s="256" t="s">
        <v>775</v>
      </c>
      <c r="C2" s="233" t="s">
        <v>751</v>
      </c>
      <c r="D2" s="234" t="s">
        <v>752</v>
      </c>
      <c r="E2" s="234" t="s">
        <v>753</v>
      </c>
      <c r="F2" s="234" t="s">
        <v>754</v>
      </c>
      <c r="G2" s="235" t="s">
        <v>755</v>
      </c>
      <c r="H2" s="234" t="s">
        <v>776</v>
      </c>
      <c r="I2" s="234" t="s">
        <v>777</v>
      </c>
      <c r="J2" s="255">
        <v>42741</v>
      </c>
      <c r="K2" s="255">
        <v>42742</v>
      </c>
      <c r="L2" s="255">
        <v>42743</v>
      </c>
      <c r="M2" s="255">
        <v>42744</v>
      </c>
      <c r="N2" s="255">
        <v>42745</v>
      </c>
      <c r="O2" s="255">
        <v>42746</v>
      </c>
      <c r="P2" s="255">
        <v>42747</v>
      </c>
      <c r="Q2" s="255">
        <v>42748</v>
      </c>
    </row>
    <row r="3" spans="1:17" ht="15.6" x14ac:dyDescent="0.3">
      <c r="A3" s="230"/>
      <c r="B3" s="236" t="s">
        <v>756</v>
      </c>
      <c r="C3" s="237">
        <v>585</v>
      </c>
      <c r="D3" s="237">
        <v>1175.7</v>
      </c>
      <c r="E3" s="237">
        <v>606.90000000000009</v>
      </c>
      <c r="F3" s="237">
        <v>1145.5999999999999</v>
      </c>
      <c r="G3" s="238">
        <f>SUM(C3:F3)</f>
        <v>3513.2000000000003</v>
      </c>
      <c r="H3" s="239">
        <f>'[1]41'!C10</f>
        <v>1637.9</v>
      </c>
      <c r="I3" s="239"/>
      <c r="J3" s="244"/>
      <c r="K3" s="244"/>
      <c r="L3" s="244"/>
      <c r="M3" s="244"/>
      <c r="N3" s="244"/>
      <c r="O3" s="244"/>
      <c r="P3" s="244"/>
      <c r="Q3" s="244"/>
    </row>
    <row r="4" spans="1:17" ht="15.6" x14ac:dyDescent="0.3">
      <c r="A4" s="230"/>
      <c r="B4" s="236" t="s">
        <v>757</v>
      </c>
      <c r="C4" s="240">
        <v>18</v>
      </c>
      <c r="D4" s="237">
        <v>30</v>
      </c>
      <c r="E4" s="237">
        <v>12</v>
      </c>
      <c r="F4" s="237">
        <v>30</v>
      </c>
      <c r="G4" s="238">
        <f>SUM(C4:F4)</f>
        <v>90</v>
      </c>
      <c r="H4" s="237">
        <v>39</v>
      </c>
      <c r="I4" s="237"/>
      <c r="J4" s="244"/>
      <c r="K4" s="244"/>
      <c r="L4" s="244"/>
      <c r="M4" s="244"/>
      <c r="N4" s="244"/>
      <c r="O4" s="244"/>
      <c r="P4" s="244"/>
      <c r="Q4" s="244"/>
    </row>
    <row r="5" spans="1:17" ht="15.6" x14ac:dyDescent="0.3">
      <c r="A5" s="241" t="s">
        <v>758</v>
      </c>
      <c r="B5" s="241" t="s">
        <v>759</v>
      </c>
      <c r="C5" s="242"/>
      <c r="D5" s="243"/>
      <c r="E5" s="243"/>
      <c r="F5" s="243"/>
      <c r="H5" s="244"/>
      <c r="I5" s="244"/>
      <c r="J5" s="244"/>
      <c r="K5" s="244"/>
      <c r="L5" s="244"/>
      <c r="M5" s="244"/>
      <c r="N5" s="244"/>
      <c r="O5" s="244"/>
      <c r="P5" s="244"/>
      <c r="Q5" s="244"/>
    </row>
    <row r="6" spans="1:17" ht="15.6" x14ac:dyDescent="0.3">
      <c r="A6" s="245">
        <v>1</v>
      </c>
      <c r="B6" s="246" t="s">
        <v>760</v>
      </c>
      <c r="C6" s="242"/>
      <c r="D6" s="247"/>
      <c r="E6" s="243"/>
      <c r="F6" s="243"/>
      <c r="H6" s="244"/>
      <c r="I6" s="244"/>
      <c r="J6" s="244"/>
      <c r="K6" s="244"/>
      <c r="L6" s="244"/>
      <c r="M6" s="244"/>
      <c r="N6" s="244"/>
      <c r="O6" s="244"/>
      <c r="P6" s="244"/>
      <c r="Q6" s="244"/>
    </row>
    <row r="7" spans="1:17" ht="15.6" x14ac:dyDescent="0.3">
      <c r="A7" s="245">
        <v>2</v>
      </c>
      <c r="B7" s="246" t="s">
        <v>761</v>
      </c>
      <c r="C7" s="248" t="e">
        <f>#REF!</f>
        <v>#REF!</v>
      </c>
      <c r="D7" s="248" t="e">
        <f>#REF!</f>
        <v>#REF!</v>
      </c>
      <c r="E7" s="248" t="e">
        <f>#REF!</f>
        <v>#REF!</v>
      </c>
      <c r="F7" s="248" t="e">
        <f>#REF!</f>
        <v>#REF!</v>
      </c>
      <c r="G7" s="238" t="e">
        <f>SUM(C7:F7)</f>
        <v>#REF!</v>
      </c>
      <c r="H7" s="239">
        <f>'[1]41'!I51</f>
        <v>2272050.0960000004</v>
      </c>
      <c r="I7" s="239"/>
      <c r="J7" s="244"/>
      <c r="K7" s="244"/>
      <c r="L7" s="244"/>
      <c r="M7" s="244"/>
      <c r="N7" s="244"/>
      <c r="O7" s="244"/>
      <c r="P7" s="244"/>
      <c r="Q7" s="244"/>
    </row>
    <row r="8" spans="1:17" ht="15.6" x14ac:dyDescent="0.3">
      <c r="A8" s="245">
        <v>3</v>
      </c>
      <c r="B8" s="246" t="s">
        <v>762</v>
      </c>
      <c r="C8" s="248" t="e">
        <f>#REF!</f>
        <v>#REF!</v>
      </c>
      <c r="D8" s="248" t="e">
        <f>#REF!</f>
        <v>#REF!</v>
      </c>
      <c r="E8" s="248" t="e">
        <f>#REF!</f>
        <v>#REF!</v>
      </c>
      <c r="F8" s="248" t="e">
        <f>#REF!</f>
        <v>#REF!</v>
      </c>
      <c r="G8" s="238" t="e">
        <f t="shared" ref="G8:G15" si="0">SUM(C8:F8)</f>
        <v>#REF!</v>
      </c>
      <c r="H8" s="239">
        <f>'[1]41'!I112</f>
        <v>1379811.5135000001</v>
      </c>
      <c r="I8" s="239"/>
      <c r="J8" s="244">
        <f>Себестоимость!S51</f>
        <v>103874</v>
      </c>
      <c r="K8" s="244">
        <f>Себестоимость!V51</f>
        <v>804729.15500000003</v>
      </c>
      <c r="L8" s="244"/>
      <c r="M8" s="244"/>
      <c r="N8" s="244"/>
      <c r="O8" s="244"/>
      <c r="P8" s="244"/>
      <c r="Q8" s="244"/>
    </row>
    <row r="9" spans="1:17" ht="15.6" x14ac:dyDescent="0.3">
      <c r="A9" s="245">
        <v>4</v>
      </c>
      <c r="B9" s="246" t="s">
        <v>763</v>
      </c>
      <c r="C9" s="248" t="e">
        <f>#REF!+#REF!+#REF!+#REF!</f>
        <v>#REF!</v>
      </c>
      <c r="D9" s="248" t="e">
        <f>#REF!+#REF!+#REF!+#REF!</f>
        <v>#REF!</v>
      </c>
      <c r="E9" s="248" t="e">
        <f>#REF!+#REF!+#REF!+#REF!</f>
        <v>#REF!</v>
      </c>
      <c r="F9" s="248" t="e">
        <f>#REF!+#REF!+#REF!+#REF!</f>
        <v>#REF!</v>
      </c>
      <c r="G9" s="238" t="e">
        <f t="shared" si="0"/>
        <v>#REF!</v>
      </c>
      <c r="H9" s="239">
        <f>'[1]41'!I179+'[1]41'!I205+'[1]41'!I229+'[1]41'!I296</f>
        <v>14283222.00547</v>
      </c>
      <c r="I9" s="239"/>
      <c r="J9" s="244"/>
      <c r="K9" s="244"/>
      <c r="L9" s="244"/>
      <c r="M9" s="244"/>
      <c r="N9" s="244"/>
      <c r="O9" s="244"/>
      <c r="P9" s="244"/>
      <c r="Q9" s="244"/>
    </row>
    <row r="10" spans="1:17" ht="15.6" x14ac:dyDescent="0.3">
      <c r="A10" s="245">
        <v>5</v>
      </c>
      <c r="B10" s="246" t="s">
        <v>764</v>
      </c>
      <c r="C10" s="248" t="e">
        <f>#REF!</f>
        <v>#REF!</v>
      </c>
      <c r="D10" s="248" t="e">
        <f>#REF!</f>
        <v>#REF!</v>
      </c>
      <c r="E10" s="248" t="e">
        <f>#REF!</f>
        <v>#REF!</v>
      </c>
      <c r="F10" s="248" t="e">
        <f>#REF!</f>
        <v>#REF!</v>
      </c>
      <c r="G10" s="238" t="e">
        <f t="shared" si="0"/>
        <v>#REF!</v>
      </c>
      <c r="H10" s="239">
        <f>'[1]41'!I356</f>
        <v>2430284.0283336006</v>
      </c>
      <c r="I10" s="239"/>
      <c r="J10" s="244"/>
      <c r="K10" s="244"/>
      <c r="L10" s="244"/>
      <c r="M10" s="244"/>
      <c r="N10" s="244"/>
      <c r="O10" s="244"/>
      <c r="P10" s="244"/>
      <c r="Q10" s="244"/>
    </row>
    <row r="11" spans="1:17" ht="15.6" x14ac:dyDescent="0.3">
      <c r="A11" s="245">
        <v>6</v>
      </c>
      <c r="B11" s="249" t="s">
        <v>765</v>
      </c>
      <c r="C11" s="248" t="e">
        <f>#REF!</f>
        <v>#REF!</v>
      </c>
      <c r="D11" s="248" t="e">
        <f>#REF!</f>
        <v>#REF!</v>
      </c>
      <c r="E11" s="248" t="e">
        <f>#REF!</f>
        <v>#REF!</v>
      </c>
      <c r="F11" s="248" t="e">
        <f>#REF!</f>
        <v>#REF!</v>
      </c>
      <c r="G11" s="238" t="e">
        <f t="shared" si="0"/>
        <v>#REF!</v>
      </c>
      <c r="H11" s="239">
        <f>'[1]41'!I362</f>
        <v>1443270.16</v>
      </c>
      <c r="I11" s="239"/>
      <c r="J11" s="244"/>
      <c r="K11" s="244"/>
      <c r="L11" s="244"/>
      <c r="M11" s="244"/>
      <c r="N11" s="244"/>
      <c r="O11" s="244"/>
      <c r="P11" s="244"/>
      <c r="Q11" s="244"/>
    </row>
    <row r="12" spans="1:17" ht="15.6" x14ac:dyDescent="0.3">
      <c r="A12" s="245">
        <v>7</v>
      </c>
      <c r="B12" s="246" t="s">
        <v>766</v>
      </c>
      <c r="C12" s="248" t="e">
        <f>#REF!</f>
        <v>#REF!</v>
      </c>
      <c r="D12" s="248" t="e">
        <f>#REF!</f>
        <v>#REF!</v>
      </c>
      <c r="E12" s="248" t="e">
        <f>#REF!</f>
        <v>#REF!</v>
      </c>
      <c r="F12" s="248" t="e">
        <f>#REF!</f>
        <v>#REF!</v>
      </c>
      <c r="G12" s="238" t="e">
        <f t="shared" si="0"/>
        <v>#REF!</v>
      </c>
      <c r="H12" s="239">
        <f>'[1]41'!I380</f>
        <v>342236</v>
      </c>
      <c r="I12" s="239"/>
      <c r="J12" s="244"/>
      <c r="K12" s="244"/>
      <c r="L12" s="244"/>
      <c r="M12" s="244"/>
      <c r="N12" s="244"/>
      <c r="O12" s="244"/>
      <c r="P12" s="244"/>
      <c r="Q12" s="244"/>
    </row>
    <row r="13" spans="1:17" ht="15.6" x14ac:dyDescent="0.3">
      <c r="A13" s="245">
        <v>8</v>
      </c>
      <c r="B13" s="246" t="s">
        <v>767</v>
      </c>
      <c r="C13" s="248" t="e">
        <f>#REF!+#REF!+#REF!</f>
        <v>#REF!</v>
      </c>
      <c r="D13" s="248" t="e">
        <f>#REF!+#REF!+#REF!</f>
        <v>#REF!</v>
      </c>
      <c r="E13" s="248" t="e">
        <f>#REF!+#REF!+#REF!</f>
        <v>#REF!</v>
      </c>
      <c r="F13" s="248" t="e">
        <f>#REF!+#REF!+#REF!</f>
        <v>#REF!</v>
      </c>
      <c r="G13" s="238" t="e">
        <f t="shared" si="0"/>
        <v>#REF!</v>
      </c>
      <c r="H13" s="239">
        <f>'[1]41'!I415+'[1]41'!I442+'[1]41'!I460</f>
        <v>2931761.3370000008</v>
      </c>
      <c r="I13" s="239"/>
      <c r="J13" s="244"/>
      <c r="K13" s="244"/>
      <c r="L13" s="244"/>
      <c r="M13" s="244"/>
      <c r="N13" s="244"/>
      <c r="O13" s="244"/>
      <c r="P13" s="244"/>
      <c r="Q13" s="244"/>
    </row>
    <row r="14" spans="1:17" ht="15.6" x14ac:dyDescent="0.3">
      <c r="A14" s="245">
        <v>9</v>
      </c>
      <c r="B14" s="246" t="s">
        <v>768</v>
      </c>
      <c r="C14" s="248" t="e">
        <f>#REF!</f>
        <v>#REF!</v>
      </c>
      <c r="D14" s="248" t="e">
        <f>#REF!</f>
        <v>#REF!</v>
      </c>
      <c r="E14" s="248" t="e">
        <f>#REF!</f>
        <v>#REF!</v>
      </c>
      <c r="F14" s="248" t="e">
        <f>#REF!</f>
        <v>#REF!</v>
      </c>
      <c r="G14" s="238" t="e">
        <f t="shared" si="0"/>
        <v>#REF!</v>
      </c>
      <c r="H14" s="239">
        <f>'[1]41'!I387</f>
        <v>1960957.2100000002</v>
      </c>
      <c r="I14" s="239"/>
      <c r="J14" s="244"/>
      <c r="K14" s="244"/>
      <c r="L14" s="244"/>
      <c r="M14" s="244"/>
      <c r="N14" s="244"/>
      <c r="O14" s="244"/>
      <c r="P14" s="244"/>
      <c r="Q14" s="244"/>
    </row>
    <row r="15" spans="1:17" ht="15.6" x14ac:dyDescent="0.3">
      <c r="A15" s="245">
        <v>10</v>
      </c>
      <c r="B15" s="246" t="s">
        <v>769</v>
      </c>
      <c r="C15" s="248" t="e">
        <f>#REF!</f>
        <v>#REF!</v>
      </c>
      <c r="D15" s="248" t="e">
        <f>#REF!</f>
        <v>#REF!</v>
      </c>
      <c r="E15" s="248" t="e">
        <f>#REF!</f>
        <v>#REF!</v>
      </c>
      <c r="F15" s="248" t="e">
        <f>#REF!</f>
        <v>#REF!</v>
      </c>
      <c r="G15" s="238" t="e">
        <f t="shared" si="0"/>
        <v>#REF!</v>
      </c>
      <c r="H15" s="239">
        <f>'[1]41'!I471</f>
        <v>92127.74</v>
      </c>
      <c r="I15" s="239"/>
      <c r="J15" s="244"/>
      <c r="K15" s="244"/>
      <c r="L15" s="244"/>
      <c r="M15" s="244"/>
      <c r="N15" s="244"/>
      <c r="O15" s="244"/>
      <c r="P15" s="244"/>
      <c r="Q15" s="244"/>
    </row>
    <row r="16" spans="1:17" ht="15.6" x14ac:dyDescent="0.3">
      <c r="A16" s="245">
        <v>11</v>
      </c>
      <c r="B16" s="246" t="s">
        <v>770</v>
      </c>
      <c r="C16" s="247"/>
      <c r="D16" s="247"/>
      <c r="E16" s="243"/>
      <c r="F16" s="247"/>
      <c r="H16" s="250">
        <f>'[1]41'!I779</f>
        <v>1050000</v>
      </c>
      <c r="I16" s="250"/>
      <c r="J16" s="244"/>
      <c r="K16" s="244"/>
      <c r="L16" s="244"/>
      <c r="M16" s="244"/>
      <c r="N16" s="244"/>
      <c r="O16" s="244"/>
      <c r="P16" s="244"/>
      <c r="Q16" s="244"/>
    </row>
    <row r="17" spans="1:17" ht="15.6" x14ac:dyDescent="0.3">
      <c r="A17" s="245">
        <v>12</v>
      </c>
      <c r="B17" s="246" t="s">
        <v>771</v>
      </c>
      <c r="C17" s="247"/>
      <c r="D17" s="247"/>
      <c r="E17" s="243"/>
      <c r="F17" s="247"/>
      <c r="H17" s="250">
        <f>'[1]41'!I742</f>
        <v>1105000</v>
      </c>
      <c r="I17" s="250"/>
      <c r="J17" s="244"/>
      <c r="K17" s="244"/>
      <c r="L17" s="244"/>
      <c r="M17" s="244"/>
      <c r="N17" s="244"/>
      <c r="O17" s="244"/>
      <c r="P17" s="244"/>
      <c r="Q17" s="244"/>
    </row>
    <row r="18" spans="1:17" ht="15.6" x14ac:dyDescent="0.3">
      <c r="A18" s="245">
        <v>13</v>
      </c>
      <c r="B18" s="251" t="s">
        <v>772</v>
      </c>
      <c r="C18" s="247"/>
      <c r="D18" s="247"/>
      <c r="E18" s="243"/>
      <c r="F18" s="243"/>
      <c r="H18" s="250">
        <f>'[1]41'!I622+'[1]41'!I593</f>
        <v>3044666.666666667</v>
      </c>
      <c r="I18" s="250"/>
      <c r="J18" s="244"/>
      <c r="K18" s="244"/>
      <c r="L18" s="244"/>
      <c r="M18" s="244"/>
      <c r="N18" s="244"/>
      <c r="O18" s="244"/>
      <c r="P18" s="244"/>
      <c r="Q18" s="244"/>
    </row>
    <row r="19" spans="1:17" ht="15.6" x14ac:dyDescent="0.3">
      <c r="A19" s="245">
        <v>14</v>
      </c>
      <c r="B19" s="246" t="s">
        <v>773</v>
      </c>
      <c r="C19" s="242"/>
      <c r="D19" s="247"/>
      <c r="E19" s="243"/>
      <c r="F19" s="243"/>
      <c r="H19" s="250">
        <f>'[1]41'!I572</f>
        <v>1727000</v>
      </c>
      <c r="I19" s="250"/>
      <c r="J19" s="244"/>
      <c r="K19" s="244"/>
      <c r="L19" s="244"/>
      <c r="M19" s="244"/>
      <c r="N19" s="244"/>
      <c r="O19" s="244"/>
      <c r="P19" s="244"/>
      <c r="Q19" s="244"/>
    </row>
    <row r="20" spans="1:17" ht="15.6" x14ac:dyDescent="0.3">
      <c r="A20" s="246"/>
      <c r="B20" s="252" t="s">
        <v>774</v>
      </c>
      <c r="C20" s="253" t="e">
        <f>SUM(C6:C19)</f>
        <v>#REF!</v>
      </c>
      <c r="D20" s="253" t="e">
        <f>SUM(D6:D19)</f>
        <v>#REF!</v>
      </c>
      <c r="E20" s="253" t="e">
        <f>SUM(E6:E19)</f>
        <v>#REF!</v>
      </c>
      <c r="F20" s="253" t="e">
        <f>SUM(F6:F19)</f>
        <v>#REF!</v>
      </c>
      <c r="G20" s="254" t="e">
        <f>SUM(C20:F20)</f>
        <v>#REF!</v>
      </c>
      <c r="H20" s="239">
        <f>'[1]41'!I781</f>
        <v>34062386.756970271</v>
      </c>
      <c r="I20" s="239">
        <f>SUM(J20:Q20)</f>
        <v>908603.15500000003</v>
      </c>
      <c r="J20" s="244">
        <f>SUM(J5:J19)</f>
        <v>103874</v>
      </c>
      <c r="K20" s="244">
        <f t="shared" ref="K20:Q20" si="1">SUM(K5:K19)</f>
        <v>804729.15500000003</v>
      </c>
      <c r="L20" s="244">
        <f t="shared" si="1"/>
        <v>0</v>
      </c>
      <c r="M20" s="244">
        <f t="shared" si="1"/>
        <v>0</v>
      </c>
      <c r="N20" s="244">
        <f t="shared" si="1"/>
        <v>0</v>
      </c>
      <c r="O20" s="244">
        <f t="shared" si="1"/>
        <v>0</v>
      </c>
      <c r="P20" s="244">
        <f t="shared" si="1"/>
        <v>0</v>
      </c>
      <c r="Q20" s="244">
        <f t="shared" si="1"/>
        <v>0</v>
      </c>
    </row>
    <row r="21" spans="1:17" ht="15.6" x14ac:dyDescent="0.3">
      <c r="B21" s="256" t="s">
        <v>778</v>
      </c>
    </row>
    <row r="22" spans="1:17" ht="15.6" x14ac:dyDescent="0.3">
      <c r="A22" s="241" t="s">
        <v>758</v>
      </c>
      <c r="B22" s="241" t="s">
        <v>759</v>
      </c>
      <c r="C22" s="242"/>
      <c r="D22" s="243"/>
      <c r="E22" s="243"/>
      <c r="F22" s="243"/>
      <c r="H22" s="244"/>
      <c r="I22" s="244"/>
      <c r="J22" s="244"/>
      <c r="K22" s="244"/>
      <c r="L22" s="244"/>
      <c r="M22" s="244"/>
      <c r="N22" s="244"/>
      <c r="O22" s="244"/>
      <c r="P22" s="244"/>
      <c r="Q22" s="244"/>
    </row>
    <row r="23" spans="1:17" ht="15.6" x14ac:dyDescent="0.3">
      <c r="A23" s="245">
        <v>1</v>
      </c>
      <c r="B23" s="246" t="s">
        <v>760</v>
      </c>
      <c r="C23" s="242"/>
      <c r="D23" s="247"/>
      <c r="E23" s="243"/>
      <c r="F23" s="243"/>
      <c r="H23" s="244"/>
      <c r="I23" s="244"/>
      <c r="J23" s="244"/>
      <c r="K23" s="244"/>
      <c r="L23" s="244"/>
      <c r="M23" s="244"/>
      <c r="N23" s="244"/>
      <c r="O23" s="244"/>
      <c r="P23" s="244"/>
      <c r="Q23" s="244"/>
    </row>
    <row r="24" spans="1:17" ht="15.6" x14ac:dyDescent="0.3">
      <c r="A24" s="245">
        <v>2</v>
      </c>
      <c r="B24" s="246" t="s">
        <v>761</v>
      </c>
      <c r="C24" s="248" t="e">
        <f>#REF!</f>
        <v>#REF!</v>
      </c>
      <c r="D24" s="248" t="e">
        <f>#REF!</f>
        <v>#REF!</v>
      </c>
      <c r="E24" s="248" t="e">
        <f>#REF!</f>
        <v>#REF!</v>
      </c>
      <c r="F24" s="248" t="e">
        <f>#REF!</f>
        <v>#REF!</v>
      </c>
      <c r="G24" s="238" t="e">
        <f>SUM(C24:F24)</f>
        <v>#REF!</v>
      </c>
      <c r="H24" s="239">
        <v>6864457.3700000001</v>
      </c>
      <c r="I24" s="239"/>
      <c r="J24" s="244"/>
      <c r="K24" s="244"/>
      <c r="L24" s="244"/>
      <c r="M24" s="244"/>
      <c r="N24" s="244"/>
      <c r="O24" s="244"/>
      <c r="P24" s="244"/>
      <c r="Q24" s="244"/>
    </row>
    <row r="25" spans="1:17" ht="15.6" x14ac:dyDescent="0.3">
      <c r="A25" s="245">
        <v>3</v>
      </c>
      <c r="B25" s="246" t="s">
        <v>762</v>
      </c>
      <c r="C25" s="248" t="e">
        <f>#REF!</f>
        <v>#REF!</v>
      </c>
      <c r="D25" s="248" t="e">
        <f>#REF!</f>
        <v>#REF!</v>
      </c>
      <c r="E25" s="248" t="e">
        <f>#REF!</f>
        <v>#REF!</v>
      </c>
      <c r="F25" s="248" t="e">
        <f>#REF!</f>
        <v>#REF!</v>
      </c>
      <c r="G25" s="238" t="e">
        <f t="shared" ref="G25:G32" si="2">SUM(C25:F25)</f>
        <v>#REF!</v>
      </c>
      <c r="H25" s="239">
        <v>1401102.02</v>
      </c>
      <c r="I25" s="239"/>
      <c r="J25" s="244"/>
      <c r="K25" s="244"/>
      <c r="L25" s="244"/>
      <c r="M25" s="244"/>
      <c r="N25" s="244"/>
      <c r="O25" s="244"/>
      <c r="P25" s="244"/>
      <c r="Q25" s="244"/>
    </row>
    <row r="26" spans="1:17" ht="15.6" x14ac:dyDescent="0.3">
      <c r="A26" s="245">
        <v>4</v>
      </c>
      <c r="B26" s="246" t="s">
        <v>763</v>
      </c>
      <c r="C26" s="248" t="e">
        <f>#REF!+#REF!+#REF!+#REF!</f>
        <v>#REF!</v>
      </c>
      <c r="D26" s="248" t="e">
        <f>#REF!+#REF!+#REF!+#REF!</f>
        <v>#REF!</v>
      </c>
      <c r="E26" s="248" t="e">
        <f>#REF!+#REF!+#REF!+#REF!</f>
        <v>#REF!</v>
      </c>
      <c r="F26" s="248" t="e">
        <f>#REF!+#REF!+#REF!+#REF!</f>
        <v>#REF!</v>
      </c>
      <c r="G26" s="238" t="e">
        <f t="shared" si="2"/>
        <v>#REF!</v>
      </c>
      <c r="H26" s="239">
        <v>14253181.68</v>
      </c>
      <c r="I26" s="239"/>
      <c r="J26" s="244"/>
      <c r="K26" s="244"/>
      <c r="L26" s="244"/>
      <c r="M26" s="244"/>
      <c r="N26" s="244"/>
      <c r="O26" s="244"/>
      <c r="P26" s="244"/>
      <c r="Q26" s="244"/>
    </row>
    <row r="27" spans="1:17" ht="15.6" x14ac:dyDescent="0.3">
      <c r="A27" s="245">
        <v>5</v>
      </c>
      <c r="B27" s="246" t="s">
        <v>764</v>
      </c>
      <c r="C27" s="248" t="e">
        <f>#REF!</f>
        <v>#REF!</v>
      </c>
      <c r="D27" s="248" t="e">
        <f>#REF!</f>
        <v>#REF!</v>
      </c>
      <c r="E27" s="248" t="e">
        <f>#REF!</f>
        <v>#REF!</v>
      </c>
      <c r="F27" s="248" t="e">
        <f>#REF!</f>
        <v>#REF!</v>
      </c>
      <c r="G27" s="238" t="e">
        <f t="shared" si="2"/>
        <v>#REF!</v>
      </c>
      <c r="H27" s="239">
        <v>2398265.79</v>
      </c>
      <c r="I27" s="239"/>
      <c r="J27" s="244"/>
      <c r="K27" s="244"/>
      <c r="L27" s="244"/>
      <c r="M27" s="244"/>
      <c r="N27" s="244"/>
      <c r="O27" s="244"/>
      <c r="P27" s="244"/>
      <c r="Q27" s="244"/>
    </row>
    <row r="28" spans="1:17" ht="15.6" x14ac:dyDescent="0.3">
      <c r="A28" s="245">
        <v>6</v>
      </c>
      <c r="B28" s="249" t="s">
        <v>765</v>
      </c>
      <c r="C28" s="248" t="e">
        <f>#REF!</f>
        <v>#REF!</v>
      </c>
      <c r="D28" s="248" t="e">
        <f>#REF!</f>
        <v>#REF!</v>
      </c>
      <c r="E28" s="248" t="e">
        <f>#REF!</f>
        <v>#REF!</v>
      </c>
      <c r="F28" s="248" t="e">
        <f>#REF!</f>
        <v>#REF!</v>
      </c>
      <c r="G28" s="238" t="e">
        <f t="shared" si="2"/>
        <v>#REF!</v>
      </c>
      <c r="H28" s="239">
        <v>1443270.16</v>
      </c>
      <c r="I28" s="239"/>
      <c r="J28" s="244"/>
      <c r="K28" s="244"/>
      <c r="L28" s="244"/>
      <c r="M28" s="244"/>
      <c r="N28" s="244"/>
      <c r="O28" s="244"/>
      <c r="P28" s="244"/>
      <c r="Q28" s="244"/>
    </row>
    <row r="29" spans="1:17" ht="15.6" x14ac:dyDescent="0.3">
      <c r="A29" s="245">
        <v>7</v>
      </c>
      <c r="B29" s="246" t="s">
        <v>766</v>
      </c>
      <c r="C29" s="248" t="e">
        <f>#REF!</f>
        <v>#REF!</v>
      </c>
      <c r="D29" s="248" t="e">
        <f>#REF!</f>
        <v>#REF!</v>
      </c>
      <c r="E29" s="248" t="e">
        <f>#REF!</f>
        <v>#REF!</v>
      </c>
      <c r="F29" s="248" t="e">
        <f>#REF!</f>
        <v>#REF!</v>
      </c>
      <c r="G29" s="238" t="e">
        <f t="shared" si="2"/>
        <v>#REF!</v>
      </c>
      <c r="H29" s="239">
        <v>342236</v>
      </c>
      <c r="I29" s="239"/>
      <c r="J29" s="244"/>
      <c r="K29" s="244"/>
      <c r="L29" s="244"/>
      <c r="M29" s="244"/>
      <c r="N29" s="244"/>
      <c r="O29" s="244"/>
      <c r="P29" s="244"/>
      <c r="Q29" s="244"/>
    </row>
    <row r="30" spans="1:17" ht="15.6" x14ac:dyDescent="0.3">
      <c r="A30" s="245">
        <v>8</v>
      </c>
      <c r="B30" s="246" t="s">
        <v>767</v>
      </c>
      <c r="C30" s="248" t="e">
        <f>#REF!+#REF!+#REF!</f>
        <v>#REF!</v>
      </c>
      <c r="D30" s="248" t="e">
        <f>#REF!+#REF!+#REF!</f>
        <v>#REF!</v>
      </c>
      <c r="E30" s="248" t="e">
        <f>#REF!+#REF!+#REF!</f>
        <v>#REF!</v>
      </c>
      <c r="F30" s="248" t="e">
        <f>#REF!+#REF!+#REF!</f>
        <v>#REF!</v>
      </c>
      <c r="G30" s="238" t="e">
        <f t="shared" si="2"/>
        <v>#REF!</v>
      </c>
      <c r="H30" s="239">
        <v>2557591.61</v>
      </c>
      <c r="I30" s="239"/>
      <c r="J30" s="244"/>
      <c r="K30" s="244"/>
      <c r="L30" s="244"/>
      <c r="M30" s="244"/>
      <c r="N30" s="244"/>
      <c r="O30" s="244"/>
      <c r="P30" s="244"/>
      <c r="Q30" s="244"/>
    </row>
    <row r="31" spans="1:17" ht="15.6" x14ac:dyDescent="0.3">
      <c r="A31" s="245">
        <v>9</v>
      </c>
      <c r="B31" s="246" t="s">
        <v>768</v>
      </c>
      <c r="C31" s="248" t="e">
        <f>#REF!</f>
        <v>#REF!</v>
      </c>
      <c r="D31" s="248" t="e">
        <f>#REF!</f>
        <v>#REF!</v>
      </c>
      <c r="E31" s="248" t="e">
        <f>#REF!</f>
        <v>#REF!</v>
      </c>
      <c r="F31" s="248" t="e">
        <f>#REF!</f>
        <v>#REF!</v>
      </c>
      <c r="G31" s="238" t="e">
        <f t="shared" si="2"/>
        <v>#REF!</v>
      </c>
      <c r="H31" s="239">
        <v>1941645.58</v>
      </c>
      <c r="I31" s="239"/>
      <c r="J31" s="244"/>
      <c r="K31" s="244"/>
      <c r="L31" s="244"/>
      <c r="M31" s="244"/>
      <c r="N31" s="244"/>
      <c r="O31" s="244"/>
      <c r="P31" s="244"/>
      <c r="Q31" s="244"/>
    </row>
    <row r="32" spans="1:17" ht="15.6" x14ac:dyDescent="0.3">
      <c r="A32" s="245">
        <v>10</v>
      </c>
      <c r="B32" s="246" t="s">
        <v>769</v>
      </c>
      <c r="C32" s="248" t="e">
        <f>#REF!</f>
        <v>#REF!</v>
      </c>
      <c r="D32" s="248" t="e">
        <f>#REF!</f>
        <v>#REF!</v>
      </c>
      <c r="E32" s="248" t="e">
        <f>#REF!</f>
        <v>#REF!</v>
      </c>
      <c r="F32" s="248" t="e">
        <f>#REF!</f>
        <v>#REF!</v>
      </c>
      <c r="G32" s="238" t="e">
        <f t="shared" si="2"/>
        <v>#REF!</v>
      </c>
      <c r="H32" s="239">
        <v>92127.74</v>
      </c>
      <c r="I32" s="239"/>
      <c r="J32" s="244"/>
      <c r="K32" s="244"/>
      <c r="L32" s="244"/>
      <c r="M32" s="244"/>
      <c r="N32" s="244"/>
      <c r="O32" s="244"/>
      <c r="P32" s="244"/>
      <c r="Q32" s="244"/>
    </row>
    <row r="33" spans="1:17" ht="15.6" x14ac:dyDescent="0.3">
      <c r="A33" s="245">
        <v>11</v>
      </c>
      <c r="B33" s="246" t="s">
        <v>770</v>
      </c>
      <c r="C33" s="247"/>
      <c r="D33" s="247"/>
      <c r="E33" s="243"/>
      <c r="F33" s="247"/>
      <c r="H33" s="250">
        <v>1050000</v>
      </c>
      <c r="I33" s="250"/>
      <c r="J33" s="244"/>
      <c r="K33" s="244"/>
      <c r="L33" s="244"/>
      <c r="M33" s="244"/>
      <c r="N33" s="244"/>
      <c r="O33" s="244"/>
      <c r="P33" s="244"/>
      <c r="Q33" s="244"/>
    </row>
    <row r="34" spans="1:17" ht="15.6" x14ac:dyDescent="0.3">
      <c r="A34" s="245">
        <v>12</v>
      </c>
      <c r="B34" s="246" t="s">
        <v>771</v>
      </c>
      <c r="C34" s="247"/>
      <c r="D34" s="247"/>
      <c r="E34" s="243"/>
      <c r="F34" s="247"/>
      <c r="H34" s="250">
        <v>1105000</v>
      </c>
      <c r="I34" s="250"/>
      <c r="J34" s="244"/>
      <c r="K34" s="244"/>
      <c r="L34" s="244"/>
      <c r="M34" s="244"/>
      <c r="N34" s="244"/>
      <c r="O34" s="244"/>
      <c r="P34" s="244"/>
      <c r="Q34" s="244"/>
    </row>
    <row r="35" spans="1:17" ht="15.6" x14ac:dyDescent="0.3">
      <c r="A35" s="245">
        <v>13</v>
      </c>
      <c r="B35" s="251" t="s">
        <v>772</v>
      </c>
      <c r="C35" s="247"/>
      <c r="D35" s="247"/>
      <c r="E35" s="243"/>
      <c r="F35" s="243"/>
      <c r="H35" s="250">
        <v>3044666.67</v>
      </c>
      <c r="I35" s="250"/>
      <c r="J35" s="244"/>
      <c r="K35" s="244"/>
      <c r="L35" s="244"/>
      <c r="M35" s="244"/>
      <c r="N35" s="244"/>
      <c r="O35" s="244"/>
      <c r="P35" s="244"/>
      <c r="Q35" s="244"/>
    </row>
    <row r="36" spans="1:17" ht="15.6" x14ac:dyDescent="0.3">
      <c r="A36" s="245">
        <v>14</v>
      </c>
      <c r="B36" s="246" t="s">
        <v>773</v>
      </c>
      <c r="C36" s="242"/>
      <c r="D36" s="247"/>
      <c r="E36" s="243"/>
      <c r="F36" s="243"/>
      <c r="H36" s="250">
        <v>1727000</v>
      </c>
      <c r="I36" s="250"/>
      <c r="J36" s="244"/>
      <c r="K36" s="244"/>
      <c r="L36" s="244"/>
      <c r="M36" s="244"/>
      <c r="N36" s="244"/>
      <c r="O36" s="244"/>
      <c r="P36" s="244"/>
      <c r="Q36" s="244"/>
    </row>
    <row r="37" spans="1:17" ht="15.6" x14ac:dyDescent="0.3">
      <c r="A37" s="246"/>
      <c r="B37" s="252" t="s">
        <v>774</v>
      </c>
      <c r="C37" s="253" t="e">
        <f>SUM(C23:C36)</f>
        <v>#REF!</v>
      </c>
      <c r="D37" s="253" t="e">
        <f>SUM(D23:D36)</f>
        <v>#REF!</v>
      </c>
      <c r="E37" s="253" t="e">
        <f>SUM(E23:E36)</f>
        <v>#REF!</v>
      </c>
      <c r="F37" s="253" t="e">
        <f>SUM(F23:F36)</f>
        <v>#REF!</v>
      </c>
      <c r="G37" s="254" t="e">
        <f>SUM(C37:F37)</f>
        <v>#REF!</v>
      </c>
      <c r="H37" s="239">
        <f>SUM(H24:H36)</f>
        <v>38220544.619999997</v>
      </c>
      <c r="I37" s="239"/>
      <c r="J37" s="244"/>
      <c r="K37" s="244"/>
      <c r="L37" s="244"/>
      <c r="M37" s="244"/>
      <c r="N37" s="244"/>
      <c r="O37" s="244"/>
      <c r="P37" s="244"/>
      <c r="Q37" s="244"/>
    </row>
    <row r="38" spans="1:17" s="258" customFormat="1" ht="15.6" x14ac:dyDescent="0.3">
      <c r="B38" s="257" t="s">
        <v>779</v>
      </c>
      <c r="J38" s="258">
        <f>J20+J37</f>
        <v>103874</v>
      </c>
      <c r="K38" s="258">
        <f t="shared" ref="K38:Q38" si="3">K20+K37</f>
        <v>804729.15500000003</v>
      </c>
      <c r="L38" s="258">
        <f t="shared" si="3"/>
        <v>0</v>
      </c>
      <c r="M38" s="258">
        <f t="shared" si="3"/>
        <v>0</v>
      </c>
      <c r="N38" s="258">
        <f t="shared" si="3"/>
        <v>0</v>
      </c>
      <c r="O38" s="258">
        <f t="shared" si="3"/>
        <v>0</v>
      </c>
      <c r="P38" s="258">
        <f t="shared" si="3"/>
        <v>0</v>
      </c>
      <c r="Q38" s="258">
        <f t="shared" si="3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2"/>
  <sheetViews>
    <sheetView topLeftCell="A31" workbookViewId="0">
      <selection activeCell="H5" sqref="H5"/>
    </sheetView>
  </sheetViews>
  <sheetFormatPr defaultRowHeight="14.4" x14ac:dyDescent="0.3"/>
  <sheetData>
    <row r="2" spans="2:3" x14ac:dyDescent="0.3">
      <c r="B2" t="s">
        <v>822</v>
      </c>
      <c r="C2" t="s">
        <v>823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Себестоимость</vt:lpstr>
      <vt:lpstr>наряд</vt:lpstr>
      <vt:lpstr>Финансирование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Большой Э</dc:creator>
  <cp:lastModifiedBy>numerus</cp:lastModifiedBy>
  <dcterms:created xsi:type="dcterms:W3CDTF">2017-01-05T08:20:35Z</dcterms:created>
  <dcterms:modified xsi:type="dcterms:W3CDTF">2017-07-23T06:05:17Z</dcterms:modified>
</cp:coreProperties>
</file>